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esktop\"/>
    </mc:Choice>
  </mc:AlternateContent>
  <xr:revisionPtr revIDLastSave="0" documentId="8_{5490877A-2C9C-4725-ADA7-93FA4EBF0700}" xr6:coauthVersionLast="47" xr6:coauthVersionMax="47" xr10:uidLastSave="{00000000-0000-0000-0000-000000000000}"/>
  <bookViews>
    <workbookView xWindow="20370" yWindow="-3375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7" i="6" l="1"/>
  <c r="E265" i="6" l="1"/>
  <c r="E234" i="6"/>
  <c r="E203" i="6"/>
  <c r="E172" i="6"/>
  <c r="E141" i="6"/>
  <c r="E110" i="6"/>
  <c r="E79" i="6"/>
  <c r="E4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G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G57" i="2"/>
  <c r="EV57" i="2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HI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C113" i="2"/>
  <c r="EX113" i="2"/>
  <c r="EW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I130" i="2"/>
  <c r="FS130" i="2"/>
  <c r="HG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EX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A144" i="2"/>
  <c r="EB144" i="2"/>
  <c r="HG144" i="2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EX145" i="2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EV150" i="2"/>
  <c r="FS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HH155" i="2"/>
  <c r="EA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D155" i="2"/>
  <c r="EB156" i="2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HH157" i="2"/>
  <c r="EA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W158" i="2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EC160" i="2"/>
  <c r="HI160" i="2"/>
  <c r="HG160" i="2"/>
  <c r="FS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Y161" i="2"/>
  <c r="EW162" i="2"/>
  <c r="EC162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A163" i="2"/>
  <c r="HG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DI163" i="2"/>
  <c r="ED163" i="2"/>
  <c r="FR164" i="2"/>
  <c r="DH164" i="2"/>
  <c r="EA164" i="2"/>
  <c r="EV164" i="2"/>
  <c r="EX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X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EC167" i="2"/>
  <c r="DG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EW168" i="2"/>
  <c r="EB168" i="2"/>
  <c r="EC168" i="2"/>
  <c r="DG168" i="2"/>
  <c r="DI167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B169" i="2"/>
  <c r="EA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HI172" i="2"/>
  <c r="ED171" i="2"/>
  <c r="EV172" i="2"/>
  <c r="EW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H173" i="2"/>
  <c r="EW173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FS175" i="2"/>
  <c r="EW175" i="2"/>
  <c r="EA175" i="2"/>
  <c r="A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EW178" i="2"/>
  <c r="ED177" i="2"/>
  <c r="EB178" i="2"/>
  <c r="HG178" i="2"/>
  <c r="FS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EV179" i="2"/>
  <c r="EA179" i="2"/>
  <c r="HG179" i="2"/>
  <c r="HI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D184" i="2"/>
  <c r="EY184" i="2"/>
  <c r="EW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A186" i="2"/>
  <c r="FS186" i="2"/>
  <c r="EB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EB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V192" i="2"/>
  <c r="EB192" i="2"/>
  <c r="EW192" i="2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DI192" i="2"/>
  <c r="EA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X195" i="2"/>
  <c r="ED194" i="2"/>
  <c r="AA195" i="2"/>
  <c r="DH195" i="2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HG197" i="2"/>
  <c r="FS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HG199" i="2"/>
  <c r="FS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D201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2" i="2" a="1"/>
  <c r="EI162" i="2" s="1"/>
  <c r="EI145" i="2" a="1"/>
  <c r="EI145" i="2" s="1"/>
  <c r="CS66" i="2" a="1"/>
  <c r="CS66" i="2" s="1"/>
  <c r="DN124" i="2" a="1"/>
  <c r="DN124" i="2" s="1"/>
  <c r="CS52" i="2" a="1"/>
  <c r="CS52" i="2" s="1"/>
  <c r="DN137" i="2" a="1"/>
  <c r="DN137" i="2" s="1"/>
  <c r="DN41" i="2" a="1"/>
  <c r="DN41" i="2" s="1"/>
  <c r="DN29" i="2" a="1"/>
  <c r="DN29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09" i="2" a="1"/>
  <c r="EI109" i="2" s="1"/>
  <c r="EI165" i="2" a="1"/>
  <c r="EI165" i="2" s="1"/>
  <c r="EI128" i="2" a="1"/>
  <c r="EI128" i="2" s="1"/>
  <c r="EI113" i="2" a="1"/>
  <c r="EI113" i="2" s="1"/>
  <c r="EI67" i="2" a="1"/>
  <c r="EI67" i="2" s="1"/>
  <c r="EI139" i="2" a="1"/>
  <c r="EI139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FD59" i="2" l="1" a="1"/>
  <c r="FD59" i="2" s="1"/>
  <c r="EI71" i="2" a="1"/>
  <c r="EI71" i="2" s="1"/>
  <c r="EI195" i="2" a="1"/>
  <c r="EI195" i="2" s="1"/>
  <c r="EI106" i="2" a="1"/>
  <c r="EI106" i="2" s="1"/>
  <c r="EI87" i="2" a="1"/>
  <c r="EI87" i="2" s="1"/>
  <c r="EI153" i="2" a="1"/>
  <c r="EI153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2" i="2" a="1"/>
  <c r="EI142" i="2" s="1"/>
  <c r="EI150" i="2" a="1"/>
  <c r="EI150" i="2" s="1"/>
  <c r="EI166" i="2" a="1"/>
  <c r="EI166" i="2" s="1"/>
  <c r="EI35" i="2" a="1"/>
  <c r="EI35" i="2" s="1"/>
  <c r="EI16" i="2" a="1"/>
  <c r="EI16" i="2" s="1"/>
  <c r="EI34" i="2" a="1"/>
  <c r="EI34" i="2" s="1"/>
  <c r="EI36" i="2" a="1"/>
  <c r="EI36" i="2" s="1"/>
  <c r="EI178" i="2" a="1"/>
  <c r="EI178" i="2" s="1"/>
  <c r="EI29" i="2" a="1"/>
  <c r="EI29" i="2" s="1"/>
  <c r="EI198" i="2" a="1"/>
  <c r="EI198" i="2" s="1"/>
  <c r="FD144" i="2" a="1"/>
  <c r="FD144" i="2" s="1"/>
  <c r="FD188" i="2" a="1"/>
  <c r="FD188" i="2" s="1"/>
  <c r="DN155" i="2" a="1"/>
  <c r="DN155" i="2" s="1"/>
  <c r="DN152" i="2" a="1"/>
  <c r="DN152" i="2" s="1"/>
  <c r="DN43" i="2" a="1"/>
  <c r="DN43" i="2" s="1"/>
  <c r="BC126" i="2" a="1"/>
  <c r="BC126" i="2" s="1"/>
  <c r="BC82" i="2" a="1"/>
  <c r="BC82" i="2" s="1"/>
  <c r="FD21" i="2" a="1"/>
  <c r="FD21" i="2" s="1"/>
  <c r="EY202" i="2"/>
  <c r="DN186" i="2" a="1"/>
  <c r="DN186" i="2" s="1"/>
  <c r="DN56" i="2" a="1"/>
  <c r="DN56" i="2" s="1"/>
  <c r="CS129" i="2" a="1"/>
  <c r="CS129" i="2" s="1"/>
  <c r="BC65" i="2" a="1"/>
  <c r="BC65" i="2" s="1"/>
  <c r="BC47" i="2" a="1"/>
  <c r="BC47" i="2" s="1"/>
  <c r="BC114" i="2" a="1"/>
  <c r="BC114" i="2" s="1"/>
  <c r="BC68" i="2" a="1"/>
  <c r="BC68" i="2" s="1"/>
  <c r="HG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J132" i="2" l="1"/>
  <c r="FJ139" i="2"/>
  <c r="FJ97" i="2"/>
  <c r="FJ86" i="2"/>
  <c r="FJ74" i="2"/>
  <c r="FJ83" i="2"/>
  <c r="FJ187" i="2"/>
  <c r="FJ20" i="2"/>
  <c r="FJ146" i="2"/>
  <c r="FJ35" i="2"/>
  <c r="FJ25" i="2"/>
  <c r="FJ79" i="2"/>
  <c r="FJ41" i="2"/>
  <c r="FJ31" i="2"/>
  <c r="FJ105" i="2"/>
  <c r="FJ163" i="2"/>
  <c r="FJ123" i="2"/>
  <c r="FJ34" i="2"/>
  <c r="FJ196" i="2"/>
  <c r="FJ77" i="2"/>
  <c r="FJ19" i="2"/>
  <c r="FJ145" i="2"/>
  <c r="FJ115" i="2"/>
  <c r="FJ67" i="2"/>
  <c r="FJ116" i="2"/>
  <c r="FJ17" i="2"/>
  <c r="FJ198" i="2"/>
  <c r="FJ47" i="2"/>
  <c r="FJ142" i="2"/>
  <c r="FJ68" i="2"/>
  <c r="FJ199" i="2"/>
  <c r="FJ202" i="2"/>
  <c r="FJ10" i="2"/>
  <c r="FJ190" i="2"/>
  <c r="FJ131" i="2"/>
  <c r="FJ114" i="2"/>
  <c r="FJ153" i="2"/>
  <c r="FJ88" i="2"/>
  <c r="FJ55" i="2"/>
  <c r="FJ92" i="2"/>
  <c r="FJ169" i="2"/>
  <c r="FJ4" i="2"/>
  <c r="FJ95" i="2"/>
  <c r="FJ173" i="2"/>
  <c r="FJ157" i="2"/>
  <c r="FJ133" i="2"/>
  <c r="FJ96" i="2"/>
  <c r="FJ191" i="2"/>
  <c r="FJ53" i="2"/>
  <c r="FJ201" i="2"/>
  <c r="FJ122" i="2"/>
  <c r="FJ73" i="2"/>
  <c r="FJ119" i="2"/>
  <c r="FJ159" i="2"/>
  <c r="FJ156" i="2"/>
  <c r="FJ37" i="2"/>
  <c r="FJ80" i="2"/>
  <c r="FJ110" i="2"/>
  <c r="FJ160" i="2"/>
  <c r="FJ136" i="2"/>
  <c r="FJ174" i="2"/>
  <c r="FJ32" i="2"/>
  <c r="FJ197" i="2"/>
  <c r="FJ61" i="2"/>
  <c r="FJ188" i="2"/>
  <c r="FJ200" i="2"/>
  <c r="FJ117" i="2"/>
  <c r="FJ167" i="2"/>
  <c r="FJ81" i="2"/>
  <c r="FJ23" i="2"/>
  <c r="FJ165" i="2"/>
  <c r="FJ52" i="2"/>
  <c r="FJ186" i="2"/>
  <c r="FJ179" i="2"/>
  <c r="FJ11" i="2"/>
  <c r="FJ66" i="2"/>
  <c r="FJ22" i="2"/>
  <c r="FJ39" i="2"/>
  <c r="FJ50" i="2"/>
  <c r="FJ192" i="2"/>
  <c r="FJ99" i="2"/>
  <c r="FJ40" i="2"/>
  <c r="FJ172" i="2"/>
  <c r="FJ78" i="2"/>
  <c r="FJ162" i="2"/>
  <c r="FJ128" i="2"/>
  <c r="FJ176" i="2"/>
  <c r="FJ38" i="2"/>
  <c r="FJ129" i="2"/>
  <c r="FJ168" i="2"/>
  <c r="FJ91" i="2"/>
  <c r="FJ158" i="2"/>
  <c r="FJ9" i="2"/>
  <c r="FJ152" i="2"/>
  <c r="FJ63" i="2"/>
  <c r="FJ12" i="2"/>
  <c r="FJ121" i="2"/>
  <c r="FJ104" i="2"/>
  <c r="FJ150" i="2"/>
  <c r="FJ69" i="2"/>
  <c r="FJ6" i="2"/>
  <c r="FJ94" i="2"/>
  <c r="FJ54" i="2"/>
  <c r="FJ106" i="2"/>
  <c r="FJ49" i="2"/>
  <c r="FJ65" i="2"/>
  <c r="FJ85" i="2"/>
  <c r="FJ194" i="2"/>
  <c r="FJ90" i="2"/>
  <c r="FJ161" i="2"/>
  <c r="FJ33" i="2"/>
  <c r="FJ13" i="2"/>
  <c r="FJ76" i="2"/>
  <c r="FJ21" i="2"/>
  <c r="FJ26" i="2"/>
  <c r="FJ171" i="2"/>
  <c r="FJ60" i="2"/>
  <c r="FJ102" i="2"/>
  <c r="FJ178" i="2"/>
  <c r="FJ57" i="2"/>
  <c r="FJ155" i="2"/>
  <c r="FJ143" i="2"/>
  <c r="FJ137" i="2"/>
  <c r="FJ141" i="2"/>
  <c r="FJ7" i="2"/>
  <c r="FJ14" i="2"/>
  <c r="FJ135" i="2"/>
  <c r="FJ27" i="2"/>
  <c r="FJ5" i="2"/>
  <c r="FJ75" i="2"/>
  <c r="FJ126" i="2"/>
  <c r="FJ56" i="2"/>
  <c r="FJ181" i="2"/>
  <c r="FJ138" i="2"/>
  <c r="FJ203" i="2"/>
  <c r="FJ151" i="2"/>
  <c r="FJ98" i="2"/>
  <c r="FJ72" i="2"/>
  <c r="FJ147" i="2"/>
  <c r="FJ118" i="2"/>
  <c r="FJ43" i="2"/>
  <c r="FJ125" i="2"/>
  <c r="FJ109" i="2"/>
  <c r="FJ185" i="2"/>
  <c r="FJ112" i="2"/>
  <c r="FJ84" i="2"/>
  <c r="FJ111" i="2"/>
  <c r="FJ166" i="2"/>
  <c r="FJ46" i="2"/>
  <c r="FJ113" i="2"/>
  <c r="FJ127" i="2"/>
  <c r="FJ8" i="2"/>
  <c r="FJ149" i="2"/>
  <c r="FJ101" i="2"/>
  <c r="FJ182" i="2"/>
  <c r="FJ3" i="2"/>
  <c r="C13" i="4" s="1"/>
  <c r="E13" i="4" s="1"/>
  <c r="F13" i="4" s="1"/>
  <c r="G13" i="4" s="1"/>
  <c r="L13" i="4" s="1"/>
  <c r="FJ177" i="2"/>
  <c r="FJ62" i="2"/>
  <c r="FJ18" i="2"/>
  <c r="FJ120" i="2"/>
  <c r="FJ87" i="2"/>
  <c r="FJ36" i="2"/>
  <c r="FJ100" i="2"/>
  <c r="FJ51" i="2"/>
  <c r="FJ16" i="2"/>
  <c r="FJ148" i="2"/>
  <c r="FJ59" i="2"/>
  <c r="FJ164" i="2"/>
  <c r="FJ29" i="2"/>
  <c r="FJ82" i="2"/>
  <c r="FJ45" i="2"/>
  <c r="FJ42" i="2"/>
  <c r="FJ189" i="2"/>
  <c r="FJ89" i="2"/>
  <c r="FJ130" i="2"/>
  <c r="FJ24" i="2"/>
  <c r="FJ180" i="2"/>
  <c r="FJ30" i="2"/>
  <c r="FJ58" i="2"/>
  <c r="FJ154" i="2"/>
  <c r="FJ93" i="2"/>
  <c r="FJ184" i="2"/>
  <c r="FJ193" i="2"/>
  <c r="FJ134" i="2"/>
  <c r="FJ107" i="2"/>
  <c r="FJ144" i="2"/>
  <c r="FJ48" i="2"/>
  <c r="FJ44" i="2"/>
  <c r="FJ15" i="2"/>
  <c r="FJ170" i="2"/>
  <c r="FJ64" i="2"/>
  <c r="FJ124" i="2"/>
  <c r="FJ140" i="2"/>
  <c r="FJ103" i="2"/>
  <c r="FJ183" i="2"/>
  <c r="FJ28" i="2"/>
  <c r="FJ195" i="2"/>
  <c r="FJ70" i="2"/>
  <c r="FJ71" i="2"/>
  <c r="FJ175" i="2"/>
  <c r="FJ108" i="2"/>
  <c r="GE166" i="2"/>
  <c r="GE87" i="2"/>
  <c r="GE83" i="2"/>
  <c r="GE123" i="2"/>
  <c r="GE6" i="2"/>
  <c r="GE65" i="2"/>
  <c r="GE29" i="2"/>
  <c r="GE34" i="2"/>
  <c r="GE190" i="2"/>
  <c r="GE200" i="2"/>
  <c r="GE47" i="2"/>
  <c r="GE25" i="2"/>
  <c r="GE191" i="2"/>
  <c r="GE115" i="2"/>
  <c r="GE140" i="2"/>
  <c r="GE168" i="2"/>
  <c r="GE42" i="2"/>
  <c r="GE27" i="2"/>
  <c r="GE130" i="2"/>
  <c r="GE102" i="2"/>
  <c r="GE48" i="2"/>
  <c r="GE82" i="2"/>
  <c r="GE26" i="2"/>
  <c r="GE146" i="2"/>
  <c r="GE7" i="2"/>
  <c r="GE23" i="2"/>
  <c r="GE174" i="2"/>
  <c r="GE39" i="2"/>
  <c r="GE12" i="2"/>
  <c r="GE169" i="2"/>
  <c r="GE107" i="2"/>
  <c r="GE20" i="2"/>
  <c r="GE99" i="2"/>
  <c r="GE121" i="2"/>
  <c r="GE157" i="2"/>
  <c r="GE141" i="2"/>
  <c r="GE144" i="2"/>
  <c r="GE37" i="2"/>
  <c r="GE89" i="2"/>
  <c r="GE49" i="2"/>
  <c r="GE148" i="2"/>
  <c r="GE180" i="2"/>
  <c r="GE184" i="2"/>
  <c r="GE110" i="2"/>
  <c r="GE21" i="2"/>
  <c r="GE31" i="2"/>
  <c r="GE71" i="2"/>
  <c r="GE114" i="2"/>
  <c r="GE44" i="2"/>
  <c r="GE97" i="2"/>
  <c r="GE84" i="2"/>
  <c r="GE56" i="2"/>
  <c r="GE201" i="2"/>
  <c r="GE149" i="2"/>
  <c r="GE75" i="2"/>
  <c r="GE160" i="2"/>
  <c r="GE11" i="2"/>
  <c r="GE150" i="2"/>
  <c r="GE100" i="2"/>
  <c r="GE5" i="2"/>
  <c r="GE164" i="2"/>
  <c r="GE156" i="2"/>
  <c r="GE51" i="2"/>
  <c r="GE55" i="2"/>
  <c r="GE142" i="2"/>
  <c r="GE109" i="2"/>
  <c r="GE41" i="2"/>
  <c r="GE28" i="2"/>
  <c r="GE132" i="2"/>
  <c r="GE4" i="2"/>
  <c r="GE196" i="2"/>
  <c r="GE76" i="2"/>
  <c r="GE112" i="2"/>
  <c r="GE86" i="2"/>
  <c r="GE124" i="2"/>
  <c r="GE165" i="2"/>
  <c r="GE171" i="2"/>
  <c r="GE133" i="2"/>
  <c r="GE61" i="2"/>
  <c r="GE95" i="2"/>
  <c r="GE80" i="2"/>
  <c r="GE104" i="2"/>
  <c r="GE143" i="2"/>
  <c r="GE134" i="2"/>
  <c r="GE178" i="2"/>
  <c r="GE79" i="2"/>
  <c r="GE54" i="2"/>
  <c r="GE179" i="2"/>
  <c r="GE136" i="2"/>
  <c r="GE138" i="2"/>
  <c r="GE101" i="2"/>
  <c r="GE67" i="2"/>
  <c r="GE198" i="2"/>
  <c r="GE199" i="2"/>
  <c r="GE19" i="2"/>
  <c r="GE103" i="2"/>
  <c r="GE88" i="2"/>
  <c r="GE60" i="2"/>
  <c r="GE111" i="2"/>
  <c r="GE173" i="2"/>
  <c r="GE145" i="2"/>
  <c r="GE35" i="2"/>
  <c r="GE161" i="2"/>
  <c r="GE203" i="2"/>
  <c r="GE129" i="2"/>
  <c r="GE22" i="2"/>
  <c r="GE128" i="2"/>
  <c r="GE139" i="2"/>
  <c r="GE131" i="2"/>
  <c r="GE151" i="2"/>
  <c r="GE43" i="2"/>
  <c r="GE116" i="2"/>
  <c r="GE18" i="2"/>
  <c r="GE125" i="2"/>
  <c r="GE94" i="2"/>
  <c r="GE163" i="2"/>
  <c r="GE172" i="2"/>
  <c r="GE106" i="2"/>
  <c r="GE187" i="2"/>
  <c r="GE120" i="2"/>
  <c r="GE105" i="2"/>
  <c r="GE68" i="2"/>
  <c r="GE170" i="2"/>
  <c r="GE58" i="2"/>
  <c r="GE181" i="2"/>
  <c r="GE167" i="2"/>
  <c r="GE192" i="2"/>
  <c r="GE78" i="2"/>
  <c r="GE176" i="2"/>
  <c r="GE59" i="2"/>
  <c r="GE202" i="2"/>
  <c r="GE52" i="2"/>
  <c r="GE159" i="2"/>
  <c r="GE91" i="2"/>
  <c r="GE93" i="2"/>
  <c r="GE195" i="2"/>
  <c r="GE73" i="2"/>
  <c r="GE186" i="2"/>
  <c r="GE96" i="2"/>
  <c r="GE36" i="2"/>
  <c r="GE30" i="2"/>
  <c r="GE45" i="2"/>
  <c r="GE16" i="2"/>
  <c r="GE154" i="2"/>
  <c r="GE185" i="2"/>
  <c r="GE15" i="2"/>
  <c r="GE62" i="2"/>
  <c r="GE74" i="2"/>
  <c r="GE9" i="2"/>
  <c r="GE118" i="2"/>
  <c r="GE98" i="2"/>
  <c r="GE175" i="2"/>
  <c r="GE152" i="2"/>
  <c r="GE38" i="2"/>
  <c r="GE64" i="2"/>
  <c r="GE155" i="2"/>
  <c r="GE127" i="2"/>
  <c r="GE193" i="2"/>
  <c r="GE66" i="2"/>
  <c r="GE10" i="2"/>
  <c r="GE183" i="2"/>
  <c r="GE113" i="2"/>
  <c r="GE33" i="2"/>
  <c r="GE194" i="2"/>
  <c r="GE189" i="2"/>
  <c r="GE14" i="2"/>
  <c r="GE69" i="2"/>
  <c r="GE135" i="2"/>
  <c r="GE85" i="2"/>
  <c r="GE72" i="2"/>
  <c r="GE40" i="2"/>
  <c r="GE119" i="2"/>
  <c r="GE122" i="2"/>
  <c r="GE177" i="2"/>
  <c r="GE57" i="2"/>
  <c r="GE108" i="2"/>
  <c r="GE24" i="2"/>
  <c r="GE13" i="2"/>
  <c r="GE197" i="2"/>
  <c r="GE137" i="2"/>
  <c r="GE50" i="2"/>
  <c r="GE92" i="2"/>
  <c r="GE90" i="2"/>
  <c r="GE46" i="2"/>
  <c r="GE32" i="2"/>
  <c r="GE77" i="2"/>
  <c r="GE17" i="2"/>
  <c r="GE162" i="2"/>
  <c r="GE3" i="2"/>
  <c r="C14" i="4" s="1"/>
  <c r="E14" i="4" s="1"/>
  <c r="F14" i="4" s="1"/>
  <c r="G14" i="4" s="1"/>
  <c r="L14" i="4" s="1"/>
  <c r="GE126" i="2"/>
  <c r="GE81" i="2"/>
  <c r="GE188" i="2"/>
  <c r="GE158" i="2"/>
  <c r="GE117" i="2"/>
  <c r="GE182" i="2"/>
  <c r="GE8" i="2"/>
  <c r="GE147" i="2"/>
  <c r="GE53" i="2"/>
  <c r="GE63" i="2"/>
  <c r="GE153" i="2"/>
  <c r="GE70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<sst xmlns="http://schemas.openxmlformats.org/spreadsheetml/2006/main" count="1178" uniqueCount="324">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</sst>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46.234119941610061</c:v>
                </c:pt>
                <c:pt idx="14">
                  <c:v>57.595727469096431</c:v>
                </c:pt>
                <c:pt idx="15">
                  <c:v>68.898503230689343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1.4923559376951252</c:v>
                </c:pt>
                <c:pt idx="2">
                  <c:v>1.9204154254659542</c:v>
                </c:pt>
                <c:pt idx="3">
                  <c:v>2.4717602801419631</c:v>
                </c:pt>
                <c:pt idx="4">
                  <c:v>3.1820349091477023</c:v>
                </c:pt>
                <c:pt idx="5">
                  <c:v>4.0972264317065195</c:v>
                </c:pt>
                <c:pt idx="6">
                  <c:v>5.2766757981818477</c:v>
                </c:pt>
                <c:pt idx="7">
                  <c:v>6.7969682529142608</c:v>
                </c:pt>
                <c:pt idx="8">
                  <c:v>8.7569606623641629</c:v>
                </c:pt>
                <c:pt idx="9">
                  <c:v>11.28427884142112</c:v>
                </c:pt>
                <c:pt idx="10">
                  <c:v>14.543715873725574</c:v>
                </c:pt>
                <c:pt idx="11">
                  <c:v>18.748089099163185</c:v>
                </c:pt>
                <c:pt idx="12">
                  <c:v>24.172277434725984</c:v>
                </c:pt>
                <c:pt idx="13">
                  <c:v>31.171373017955645</c:v>
                </c:pt>
                <c:pt idx="14">
                  <c:v>40.204156086329469</c:v>
                </c:pt>
                <c:pt idx="15">
                  <c:v>51.86345802381566</c:v>
                </c:pt>
                <c:pt idx="16">
                  <c:v>66.915438582149918</c:v>
                </c:pt>
                <c:pt idx="17">
                  <c:v>86.350400477788369</c:v>
                </c:pt>
                <c:pt idx="18">
                  <c:v>111.44853813148332</c:v>
                </c:pt>
                <c:pt idx="19">
                  <c:v>109.51040959893378</c:v>
                </c:pt>
                <c:pt idx="20">
                  <c:v>126.92506638022944</c:v>
                </c:pt>
                <c:pt idx="21">
                  <c:v>144.281756426751</c:v>
                </c:pt>
                <c:pt idx="22">
                  <c:v>134.64578214935264</c:v>
                </c:pt>
                <c:pt idx="23">
                  <c:v>150.05587486409408</c:v>
                </c:pt>
                <c:pt idx="24">
                  <c:v>165.4282275996666</c:v>
                </c:pt>
                <c:pt idx="25">
                  <c:v>151.17799771882599</c:v>
                </c:pt>
                <c:pt idx="26">
                  <c:v>164.78841141554</c:v>
                </c:pt>
                <c:pt idx="27">
                  <c:v>178.37226908212995</c:v>
                </c:pt>
                <c:pt idx="28">
                  <c:v>191.93187916892097</c:v>
                </c:pt>
                <c:pt idx="29">
                  <c:v>205.46919690430647</c:v>
                </c:pt>
                <c:pt idx="30">
                  <c:v>218.98589856656301</c:v>
                </c:pt>
                <c:pt idx="31">
                  <c:v>180.60722849859246</c:v>
                </c:pt>
                <c:pt idx="32">
                  <c:v>192.88816473851827</c:v>
                </c:pt>
                <c:pt idx="33">
                  <c:v>205.15091471540586</c:v>
                </c:pt>
                <c:pt idx="34">
                  <c:v>217.39671931355429</c:v>
                </c:pt>
                <c:pt idx="35">
                  <c:v>229.6266680752102</c:v>
                </c:pt>
                <c:pt idx="36">
                  <c:v>241.84172491120606</c:v>
                </c:pt>
                <c:pt idx="37">
                  <c:v>193.6849850718213</c:v>
                </c:pt>
                <c:pt idx="38">
                  <c:v>204.67347000617065</c:v>
                </c:pt>
                <c:pt idx="39">
                  <c:v>215.64831336819194</c:v>
                </c:pt>
                <c:pt idx="40">
                  <c:v>226.61030776837933</c:v>
                </c:pt>
                <c:pt idx="41">
                  <c:v>237.56016280045489</c:v>
                </c:pt>
                <c:pt idx="42">
                  <c:v>248.49851724533332</c:v>
                </c:pt>
                <c:pt idx="43">
                  <c:v>194.80040550421191</c:v>
                </c:pt>
                <c:pt idx="44">
                  <c:v>204.99176933831743</c:v>
                </c:pt>
                <c:pt idx="45">
                  <c:v>215.17141886562385</c:v>
                </c:pt>
                <c:pt idx="46">
                  <c:v>225.33998688532935</c:v>
                </c:pt>
                <c:pt idx="47">
                  <c:v>235.49804436414118</c:v>
                </c:pt>
                <c:pt idx="48">
                  <c:v>245.6461089428318</c:v>
                </c:pt>
                <c:pt idx="49">
                  <c:v>192.96785021374399</c:v>
                </c:pt>
                <c:pt idx="50">
                  <c:v>202.28585849281009</c:v>
                </c:pt>
                <c:pt idx="51">
                  <c:v>211.59393002653371</c:v>
                </c:pt>
                <c:pt idx="52">
                  <c:v>220.89256401436327</c:v>
                </c:pt>
                <c:pt idx="53">
                  <c:v>230.18221414728112</c:v>
                </c:pt>
                <c:pt idx="54">
                  <c:v>239.46329446603622</c:v>
                </c:pt>
                <c:pt idx="55">
                  <c:v>248.73618426254862</c:v>
                </c:pt>
                <c:pt idx="56">
                  <c:v>258.00123221136005</c:v>
                </c:pt>
                <c:pt idx="57">
                  <c:v>267.25875987596851</c:v>
                </c:pt>
                <c:pt idx="58">
                  <c:v>276.509064703462</c:v>
                </c:pt>
                <c:pt idx="59">
                  <c:v>285.75242259710848</c:v>
                </c:pt>
                <c:pt idx="60">
                  <c:v>294.98909013839432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2.1949567858312258</c:v>
                </c:pt>
                <c:pt idx="2">
                  <c:v>2.7816251237368212</c:v>
                </c:pt>
                <c:pt idx="3">
                  <c:v>3.5257195799874221</c:v>
                </c:pt>
                <c:pt idx="4">
                  <c:v>4.4696410633675532</c:v>
                </c:pt>
                <c:pt idx="5">
                  <c:v>5.6672503486462702</c:v>
                </c:pt>
                <c:pt idx="6">
                  <c:v>7.1869753481789695</c:v>
                </c:pt>
                <c:pt idx="7">
                  <c:v>9.115763396449081</c:v>
                </c:pt>
                <c:pt idx="8">
                  <c:v>11.564108969029164</c:v>
                </c:pt>
                <c:pt idx="9">
                  <c:v>14.672450244662597</c:v>
                </c:pt>
                <c:pt idx="10">
                  <c:v>18.619308162818584</c:v>
                </c:pt>
                <c:pt idx="11">
                  <c:v>23.631643866370535</c:v>
                </c:pt>
                <c:pt idx="12">
                  <c:v>29.998040690014353</c:v>
                </c:pt>
                <c:pt idx="13">
                  <c:v>38.085482861379397</c:v>
                </c:pt>
                <c:pt idx="14">
                  <c:v>48.360714644740732</c:v>
                </c:pt>
                <c:pt idx="15">
                  <c:v>61.4174333018235</c:v>
                </c:pt>
                <c:pt idx="16">
                  <c:v>71.249871520456722</c:v>
                </c:pt>
                <c:pt idx="17">
                  <c:v>85.490803817484263</c:v>
                </c:pt>
                <c:pt idx="18">
                  <c:v>99.671872945964807</c:v>
                </c:pt>
                <c:pt idx="19">
                  <c:v>113.80282201771517</c:v>
                </c:pt>
                <c:pt idx="20">
                  <c:v>127.89076379214983</c:v>
                </c:pt>
                <c:pt idx="21">
                  <c:v>106.74311974600884</c:v>
                </c:pt>
                <c:pt idx="22">
                  <c:v>122.31905294762315</c:v>
                </c:pt>
                <c:pt idx="23">
                  <c:v>137.84670781868599</c:v>
                </c:pt>
                <c:pt idx="24">
                  <c:v>153.33229557513832</c:v>
                </c:pt>
                <c:pt idx="25">
                  <c:v>168.78066680719567</c:v>
                </c:pt>
                <c:pt idx="26">
                  <c:v>146.17875680898456</c:v>
                </c:pt>
                <c:pt idx="27">
                  <c:v>162.95520023865575</c:v>
                </c:pt>
                <c:pt idx="28">
                  <c:v>179.69078619560835</c:v>
                </c:pt>
                <c:pt idx="29">
                  <c:v>196.38985757072419</c:v>
                </c:pt>
                <c:pt idx="30">
                  <c:v>213.05595726994454</c:v>
                </c:pt>
                <c:pt idx="31">
                  <c:v>229.69202803102669</c:v>
                </c:pt>
                <c:pt idx="32">
                  <c:v>194.21365668950932</c:v>
                </c:pt>
                <c:pt idx="33">
                  <c:v>210.88387892336638</c:v>
                </c:pt>
                <c:pt idx="34">
                  <c:v>227.52371705254282</c:v>
                </c:pt>
                <c:pt idx="35">
                  <c:v>244.13570624979181</c:v>
                </c:pt>
                <c:pt idx="36">
                  <c:v>260.72200828834224</c:v>
                </c:pt>
                <c:pt idx="37">
                  <c:v>277.28448730625303</c:v>
                </c:pt>
                <c:pt idx="38">
                  <c:v>241.45481667314718</c:v>
                </c:pt>
                <c:pt idx="39">
                  <c:v>257.53027834050721</c:v>
                </c:pt>
                <c:pt idx="40">
                  <c:v>273.58305693525381</c:v>
                </c:pt>
                <c:pt idx="41">
                  <c:v>289.61467077326057</c:v>
                </c:pt>
                <c:pt idx="42">
                  <c:v>305.62645631332936</c:v>
                </c:pt>
                <c:pt idx="43">
                  <c:v>321.61959852692468</c:v>
                </c:pt>
                <c:pt idx="44">
                  <c:v>337.59515490696026</c:v>
                </c:pt>
                <c:pt idx="45">
                  <c:v>290.77001527116278</c:v>
                </c:pt>
                <c:pt idx="46">
                  <c:v>305.67774556928345</c:v>
                </c:pt>
                <c:pt idx="47">
                  <c:v>320.56931776876598</c:v>
                </c:pt>
                <c:pt idx="48">
                  <c:v>335.44558817007095</c:v>
                </c:pt>
                <c:pt idx="49">
                  <c:v>350.3073309177887</c:v>
                </c:pt>
                <c:pt idx="50">
                  <c:v>365.15524910721001</c:v>
                </c:pt>
                <c:pt idx="51">
                  <c:v>379.9899839895499</c:v>
                </c:pt>
                <c:pt idx="52">
                  <c:v>394.81212266433704</c:v>
                </c:pt>
                <c:pt idx="53">
                  <c:v>339.5653263103564</c:v>
                </c:pt>
                <c:pt idx="54">
                  <c:v>352.9916936181225</c:v>
                </c:pt>
                <c:pt idx="55">
                  <c:v>366.40687182764276</c:v>
                </c:pt>
                <c:pt idx="56">
                  <c:v>379.81132833930809</c:v>
                </c:pt>
                <c:pt idx="57">
                  <c:v>393.20549486765344</c:v>
                </c:pt>
                <c:pt idx="58">
                  <c:v>406.58977131437899</c:v>
                </c:pt>
                <c:pt idx="59">
                  <c:v>419.96452910473823</c:v>
                </c:pt>
                <c:pt idx="60">
                  <c:v>433.33011407671552</c:v>
                </c:pt>
                <c:pt idx="61">
                  <c:v>378.62024388593505</c:v>
                </c:pt>
                <c:pt idx="62">
                  <c:v>391.00358835387692</c:v>
                </c:pt>
                <c:pt idx="63">
                  <c:v>403.3784266253918</c:v>
                </c:pt>
                <c:pt idx="64">
                  <c:v>415.74505644902712</c:v>
                </c:pt>
                <c:pt idx="65">
                  <c:v>428.10375641326391</c:v>
                </c:pt>
                <c:pt idx="66">
                  <c:v>440.4547877086984</c:v>
                </c:pt>
                <c:pt idx="67">
                  <c:v>452.79839568226072</c:v>
                </c:pt>
                <c:pt idx="68">
                  <c:v>465.13481121312185</c:v>
                </c:pt>
                <c:pt idx="69">
                  <c:v>477.46425193503552</c:v>
                </c:pt>
                <c:pt idx="70">
                  <c:v>1.1825802166488628E-12</c:v>
                </c:pt>
                <c:pt idx="71">
                  <c:v>1.1825802166488628E-12</c:v>
                </c:pt>
                <c:pt idx="72">
                  <c:v>1.1825802166488628E-12</c:v>
                </c:pt>
                <c:pt idx="73">
                  <c:v>1.1825802166488628E-12</c:v>
                </c:pt>
                <c:pt idx="74">
                  <c:v>1.1825802166488628E-12</c:v>
                </c:pt>
                <c:pt idx="75">
                  <c:v>1.1825802166488628E-12</c:v>
                </c:pt>
                <c:pt idx="76">
                  <c:v>1.1825802166488628E-12</c:v>
                </c:pt>
                <c:pt idx="77">
                  <c:v>1.1825802166488628E-12</c:v>
                </c:pt>
                <c:pt idx="78">
                  <c:v>1.1825802166488628E-12</c:v>
                </c:pt>
                <c:pt idx="79">
                  <c:v>1.1825802166488628E-12</c:v>
                </c:pt>
                <c:pt idx="80">
                  <c:v>1.1825802166488628E-12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674.10145501330055</c:v>
                </c:pt>
                <c:pt idx="92">
                  <c:v>688.61247220601751</c:v>
                </c:pt>
                <c:pt idx="93">
                  <c:v>703.11722207803894</c:v>
                </c:pt>
                <c:pt idx="94">
                  <c:v>717.61585204639096</c:v>
                </c:pt>
                <c:pt idx="95">
                  <c:v>732.10850308988859</c:v>
                </c:pt>
                <c:pt idx="96">
                  <c:v>683.06489038449229</c:v>
                </c:pt>
                <c:pt idx="97">
                  <c:v>693.7325036031707</c:v>
                </c:pt>
                <c:pt idx="98">
                  <c:v>704.39675702945044</c:v>
                </c:pt>
                <c:pt idx="99">
                  <c:v>715.05770867875651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136.15232577620679</c:v>
                </c:pt>
                <c:pt idx="92">
                  <c:v>267.61439341566029</c:v>
                </c:pt>
                <c:pt idx="93">
                  <c:v>397.56174311317301</c:v>
                </c:pt>
                <c:pt idx="94">
                  <c:v>526.57538542767463</c:v>
                </c:pt>
                <c:pt idx="95">
                  <c:v>654.91865339125764</c:v>
                </c:pt>
                <c:pt idx="96">
                  <c:v>611.05629477119874</c:v>
                </c:pt>
                <c:pt idx="97">
                  <c:v>620.5969777295353</c:v>
                </c:pt>
                <c:pt idx="98">
                  <c:v>630.13462269202103</c:v>
                </c:pt>
                <c:pt idx="99">
                  <c:v>639.6692821174388</c:v>
                </c:pt>
                <c:pt idx="100">
                  <c:v>649.20100677344158</c:v>
                </c:pt>
                <c:pt idx="101">
                  <c:v>608.0026257927675</c:v>
                </c:pt>
                <c:pt idx="102">
                  <c:v>618.3074928990726</c:v>
                </c:pt>
                <c:pt idx="103">
                  <c:v>628.60880146856755</c:v>
                </c:pt>
                <c:pt idx="104">
                  <c:v>638.90661802503575</c:v>
                </c:pt>
                <c:pt idx="105">
                  <c:v>649.20100677344124</c:v>
                </c:pt>
                <c:pt idx="106">
                  <c:v>609.1477888796602</c:v>
                </c:pt>
                <c:pt idx="107">
                  <c:v>618.68908588691158</c:v>
                </c:pt>
                <c:pt idx="108">
                  <c:v>628.22733419629969</c:v>
                </c:pt>
                <c:pt idx="109">
                  <c:v>637.76258661477334</c:v>
                </c:pt>
                <c:pt idx="110">
                  <c:v>647.29489424172436</c:v>
                </c:pt>
                <c:pt idx="111">
                  <c:v>608.76607282046393</c:v>
                </c:pt>
                <c:pt idx="112">
                  <c:v>617.92589503011754</c:v>
                </c:pt>
                <c:pt idx="113">
                  <c:v>627.08290360699914</c:v>
                </c:pt>
                <c:pt idx="114">
                  <c:v>636.23714542572077</c:v>
                </c:pt>
                <c:pt idx="115">
                  <c:v>645.38866590218845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145.29205371594352</c:v>
                </c:pt>
                <c:pt idx="92">
                  <c:v>285.6091534570931</c:v>
                </c:pt>
                <c:pt idx="93">
                  <c:v>424.31959279145195</c:v>
                </c:pt>
                <c:pt idx="94">
                  <c:v>562.03964926820106</c:v>
                </c:pt>
                <c:pt idx="95">
                  <c:v>699.04864007554306</c:v>
                </c:pt>
                <c:pt idx="96">
                  <c:v>652.2242590309254</c:v>
                </c:pt>
                <c:pt idx="97">
                  <c:v>662.40918693208585</c:v>
                </c:pt>
                <c:pt idx="98">
                  <c:v>672.59089243288099</c:v>
                </c:pt>
                <c:pt idx="99">
                  <c:v>682.76943117631015</c:v>
                </c:pt>
                <c:pt idx="100">
                  <c:v>692.94485701159181</c:v>
                </c:pt>
                <c:pt idx="101">
                  <c:v>648.96439218997534</c:v>
                </c:pt>
                <c:pt idx="102">
                  <c:v>659.96510025530495</c:v>
                </c:pt>
                <c:pt idx="103">
                  <c:v>670.96203378278835</c:v>
                </c:pt>
                <c:pt idx="104">
                  <c:v>681.95526333416149</c:v>
                </c:pt>
                <c:pt idx="105">
                  <c:v>692.94485701159158</c:v>
                </c:pt>
                <c:pt idx="106">
                  <c:v>650.18688173454279</c:v>
                </c:pt>
                <c:pt idx="107">
                  <c:v>660.37246095701653</c:v>
                </c:pt>
                <c:pt idx="108">
                  <c:v>670.55480642750706</c:v>
                </c:pt>
                <c:pt idx="109">
                  <c:v>680.73397415831244</c:v>
                </c:pt>
                <c:pt idx="110">
                  <c:v>690.91001835052714</c:v>
                </c:pt>
                <c:pt idx="111">
                  <c:v>649.77939049111683</c:v>
                </c:pt>
                <c:pt idx="112">
                  <c:v>659.55773437619644</c:v>
                </c:pt>
                <c:pt idx="113">
                  <c:v>669.33309384269319</c:v>
                </c:pt>
                <c:pt idx="114">
                  <c:v>679.10551861047941</c:v>
                </c:pt>
                <c:pt idx="115">
                  <c:v>688.87505685217911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I20" sqref="I2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8.65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0.31809999999999999</v>
      </c>
      <c r="D9" s="33">
        <f t="shared" ref="D9:D18" si="0">C9*$C$5</f>
        <v>2.7515650000000003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36</v>
      </c>
      <c r="C10" s="32">
        <v>0.1</v>
      </c>
      <c r="D10" s="33">
        <f t="shared" si="0"/>
        <v>0.8650000000000001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156</v>
      </c>
      <c r="C11" s="32">
        <v>0.1</v>
      </c>
      <c r="D11" s="33">
        <f t="shared" si="0"/>
        <v>0.8650000000000001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29</v>
      </c>
      <c r="C12" s="32">
        <v>0.02</v>
      </c>
      <c r="D12" s="33">
        <f t="shared" si="0"/>
        <v>0.17300000000000001</v>
      </c>
      <c r="E12" s="34">
        <v>69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50</v>
      </c>
      <c r="C13" s="32">
        <v>0.02</v>
      </c>
      <c r="D13" s="33">
        <f t="shared" si="0"/>
        <v>0.17300000000000001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23</v>
      </c>
      <c r="C14" s="32">
        <v>0.02</v>
      </c>
      <c r="D14" s="33">
        <f t="shared" si="0"/>
        <v>0.17300000000000001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12</v>
      </c>
      <c r="C15" s="32">
        <v>0.2</v>
      </c>
      <c r="D15" s="33">
        <f t="shared" si="0"/>
        <v>1.7300000000000002</v>
      </c>
      <c r="E15" s="34">
        <v>115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14</v>
      </c>
      <c r="C16" s="32">
        <v>0.2</v>
      </c>
      <c r="D16" s="33">
        <f t="shared" si="0"/>
        <v>1.7300000000000002</v>
      </c>
      <c r="E16" s="34">
        <v>115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1</v>
      </c>
      <c r="C17" s="32">
        <v>0.02</v>
      </c>
      <c r="D17" s="33">
        <f t="shared" si="0"/>
        <v>0.17300000000000001</v>
      </c>
      <c r="E17" s="34">
        <v>115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0.99809999999999999</v>
      </c>
      <c r="D19" s="38">
        <f>SUM(D9:D18)</f>
        <v>8.6335650000000008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19</v>
      </c>
      <c r="B36" s="60">
        <v>162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335</v>
      </c>
      <c r="C37" s="60">
        <v>2</v>
      </c>
      <c r="D37" s="60">
        <v>54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421</v>
      </c>
      <c r="C38" s="60">
        <v>3</v>
      </c>
      <c r="D38" s="60">
        <v>54</v>
      </c>
      <c r="E38" s="51">
        <v>0.2</v>
      </c>
      <c r="F38" s="51">
        <v>0.6</v>
      </c>
      <c r="G38" s="51">
        <v>0.2</v>
      </c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505</v>
      </c>
      <c r="C39" s="60">
        <v>4</v>
      </c>
      <c r="D39" s="60">
        <v>69</v>
      </c>
      <c r="E39" s="51"/>
      <c r="F39" s="51"/>
      <c r="G39" s="51"/>
      <c r="H39" s="51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564</v>
      </c>
      <c r="C40" s="60">
        <v>5</v>
      </c>
      <c r="D40" s="60">
        <v>72</v>
      </c>
      <c r="E40" s="51"/>
      <c r="F40" s="51"/>
      <c r="G40" s="51"/>
      <c r="H40" s="51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606</v>
      </c>
      <c r="C41" s="60">
        <v>6</v>
      </c>
      <c r="D41" s="60">
        <v>66</v>
      </c>
      <c r="E41" s="51"/>
      <c r="F41" s="51"/>
      <c r="G41" s="51"/>
      <c r="H41" s="51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629</v>
      </c>
      <c r="C42" s="60">
        <v>7</v>
      </c>
      <c r="D42" s="60">
        <v>48</v>
      </c>
      <c r="E42" s="51"/>
      <c r="F42" s="51"/>
      <c r="G42" s="51"/>
      <c r="H42" s="51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650</v>
      </c>
      <c r="C43" s="60">
        <v>8</v>
      </c>
      <c r="D43" s="60">
        <v>35</v>
      </c>
      <c r="E43" s="51"/>
      <c r="F43" s="51"/>
      <c r="G43" s="51"/>
      <c r="H43" s="51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666</v>
      </c>
      <c r="C44" s="60">
        <v>9</v>
      </c>
      <c r="D44" s="60">
        <v>666</v>
      </c>
      <c r="E44" s="51"/>
      <c r="F44" s="51"/>
      <c r="G44" s="51"/>
      <c r="H44" s="51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12</v>
      </c>
      <c r="B62" s="60">
        <v>25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2.0833333333333335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16</v>
      </c>
      <c r="B63" s="60">
        <v>59</v>
      </c>
      <c r="C63" s="60">
        <v>2</v>
      </c>
      <c r="D63" s="60">
        <v>8</v>
      </c>
      <c r="E63" s="51">
        <v>0.2</v>
      </c>
      <c r="F63" s="51">
        <v>0.2</v>
      </c>
      <c r="G63" s="51">
        <v>0.6</v>
      </c>
      <c r="H63" s="51"/>
      <c r="I63" s="49">
        <f>IF(A63&lt;&gt;0,(B63-(B62-D62))/(A63-A62),"")</f>
        <v>8.5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91</v>
      </c>
      <c r="C64" s="60">
        <v>3</v>
      </c>
      <c r="D64" s="60">
        <v>14</v>
      </c>
      <c r="E64" s="51">
        <v>0.3</v>
      </c>
      <c r="F64" s="51">
        <v>0.4</v>
      </c>
      <c r="G64" s="51">
        <v>0.3</v>
      </c>
      <c r="H64" s="51"/>
      <c r="I64" s="49">
        <f>IF(A64&lt;&gt;0,(B64-(B63-D63))/(A64-A63),"")</f>
        <v>10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24</v>
      </c>
      <c r="B65" s="60">
        <v>121</v>
      </c>
      <c r="C65" s="60">
        <v>4</v>
      </c>
      <c r="D65" s="60">
        <v>20</v>
      </c>
      <c r="E65" s="51">
        <v>0.4</v>
      </c>
      <c r="F65" s="51">
        <v>0.3</v>
      </c>
      <c r="G65" s="51">
        <v>0.3</v>
      </c>
      <c r="H65" s="51"/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28</v>
      </c>
      <c r="B66" s="60">
        <v>146</v>
      </c>
      <c r="C66" s="60">
        <v>5</v>
      </c>
      <c r="D66" s="60">
        <v>23</v>
      </c>
      <c r="E66" s="51">
        <v>0.4</v>
      </c>
      <c r="F66" s="51">
        <v>0.3</v>
      </c>
      <c r="G66" s="51">
        <v>0.3</v>
      </c>
      <c r="H66" s="51"/>
      <c r="I66" s="49">
        <f t="shared" ref="I66:I81" si="2">IF(A66&lt;&gt;0,(B66-(B65-D65))/(A66-A65),"")</f>
        <v>11.25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34</v>
      </c>
      <c r="B67" s="60">
        <v>193</v>
      </c>
      <c r="C67" s="60">
        <v>6</v>
      </c>
      <c r="D67" s="60">
        <v>38</v>
      </c>
      <c r="E67" s="51"/>
      <c r="F67" s="51"/>
      <c r="G67" s="51"/>
      <c r="H67" s="51"/>
      <c r="I67" s="49">
        <f t="shared" si="2"/>
        <v>11.666666666666666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40</v>
      </c>
      <c r="B68" s="60">
        <v>215</v>
      </c>
      <c r="C68" s="60">
        <v>7</v>
      </c>
      <c r="D68" s="60">
        <v>31</v>
      </c>
      <c r="E68" s="51"/>
      <c r="F68" s="51"/>
      <c r="G68" s="51"/>
      <c r="H68" s="51"/>
      <c r="I68" s="49">
        <f t="shared" si="2"/>
        <v>10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46</v>
      </c>
      <c r="B69" s="50">
        <v>228</v>
      </c>
      <c r="C69" s="50">
        <v>8</v>
      </c>
      <c r="D69" s="50">
        <v>23</v>
      </c>
      <c r="E69" s="51"/>
      <c r="F69" s="51"/>
      <c r="G69" s="51"/>
      <c r="H69" s="51"/>
      <c r="I69" s="49">
        <f t="shared" si="2"/>
        <v>7.333333333333333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54</v>
      </c>
      <c r="B70" s="50">
        <v>246</v>
      </c>
      <c r="C70" s="50">
        <v>9</v>
      </c>
      <c r="D70" s="50">
        <v>22</v>
      </c>
      <c r="E70" s="51"/>
      <c r="F70" s="51"/>
      <c r="G70" s="51"/>
      <c r="H70" s="51"/>
      <c r="I70" s="49">
        <f t="shared" si="2"/>
        <v>5.125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62</v>
      </c>
      <c r="B71" s="50">
        <v>241</v>
      </c>
      <c r="C71" s="50">
        <v>10</v>
      </c>
      <c r="D71" s="50">
        <v>241</v>
      </c>
      <c r="E71" s="51"/>
      <c r="F71" s="51"/>
      <c r="G71" s="51"/>
      <c r="H71" s="51"/>
      <c r="I71" s="49">
        <f t="shared" si="2"/>
        <v>2.125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Séquoia toujours vert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18</v>
      </c>
      <c r="B88" s="60">
        <v>112</v>
      </c>
      <c r="C88" s="60">
        <v>1</v>
      </c>
      <c r="D88" s="60">
        <v>20</v>
      </c>
      <c r="E88" s="51"/>
      <c r="F88" s="51">
        <v>0.4</v>
      </c>
      <c r="G88" s="51">
        <v>0.6</v>
      </c>
      <c r="H88" s="87"/>
      <c r="I88" s="53">
        <f>IFERROR(B88/A88,"")</f>
        <v>6.2222222222222223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21</v>
      </c>
      <c r="B89" s="60">
        <v>146</v>
      </c>
      <c r="C89" s="60">
        <v>2</v>
      </c>
      <c r="D89" s="60">
        <v>26</v>
      </c>
      <c r="E89" s="51"/>
      <c r="F89" s="51">
        <v>0.4</v>
      </c>
      <c r="G89" s="51">
        <v>0.6</v>
      </c>
      <c r="H89" s="87"/>
      <c r="I89" s="53">
        <f t="shared" ref="I89:I107" si="3">IF(A89&lt;&gt;0,(B89-(B88-D88))/(A89-A88),"")</f>
        <v>18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24</v>
      </c>
      <c r="B90" s="60">
        <v>168</v>
      </c>
      <c r="C90" s="60">
        <v>3</v>
      </c>
      <c r="D90" s="60">
        <v>29</v>
      </c>
      <c r="E90" s="87"/>
      <c r="F90" s="87">
        <v>0.4</v>
      </c>
      <c r="G90" s="87">
        <v>0.6</v>
      </c>
      <c r="H90" s="87"/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v>224</v>
      </c>
      <c r="C91" s="60">
        <v>4</v>
      </c>
      <c r="D91" s="60">
        <v>53</v>
      </c>
      <c r="E91" s="87">
        <v>0.2</v>
      </c>
      <c r="F91" s="87">
        <v>0.6</v>
      </c>
      <c r="G91" s="87">
        <v>0.2</v>
      </c>
      <c r="H91" s="87"/>
      <c r="I91" s="53">
        <f t="shared" si="3"/>
        <v>14.166666666666666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36</v>
      </c>
      <c r="B92" s="60">
        <v>248</v>
      </c>
      <c r="C92" s="60">
        <v>5</v>
      </c>
      <c r="D92" s="60">
        <v>62</v>
      </c>
      <c r="E92" s="87"/>
      <c r="F92" s="87"/>
      <c r="G92" s="87"/>
      <c r="H92" s="87"/>
      <c r="I92" s="53">
        <f t="shared" si="3"/>
        <v>12.833333333333334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42</v>
      </c>
      <c r="B93" s="60">
        <v>255</v>
      </c>
      <c r="C93" s="60">
        <v>6</v>
      </c>
      <c r="D93" s="60">
        <v>67</v>
      </c>
      <c r="E93" s="87"/>
      <c r="F93" s="87"/>
      <c r="G93" s="87"/>
      <c r="H93" s="87"/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48</v>
      </c>
      <c r="B94" s="60">
        <v>252</v>
      </c>
      <c r="C94" s="60">
        <v>7</v>
      </c>
      <c r="D94" s="60">
        <v>65</v>
      </c>
      <c r="E94" s="87"/>
      <c r="F94" s="87"/>
      <c r="G94" s="87"/>
      <c r="H94" s="87"/>
      <c r="I94" s="53">
        <f t="shared" si="3"/>
        <v>10.666666666666666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60</v>
      </c>
      <c r="B95" s="60">
        <v>304</v>
      </c>
      <c r="C95" s="60">
        <v>8</v>
      </c>
      <c r="D95" s="60">
        <v>304</v>
      </c>
      <c r="E95" s="87"/>
      <c r="F95" s="87"/>
      <c r="G95" s="87"/>
      <c r="H95" s="87"/>
      <c r="I95" s="53">
        <f t="shared" si="3"/>
        <v>9.75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40</v>
      </c>
      <c r="C114" s="50">
        <v>1</v>
      </c>
      <c r="D114" s="60">
        <v>3</v>
      </c>
      <c r="E114" s="51">
        <v>0.2</v>
      </c>
      <c r="F114" s="51">
        <v>0.2</v>
      </c>
      <c r="G114" s="51">
        <v>0.6</v>
      </c>
      <c r="H114" s="51"/>
      <c r="I114" s="53">
        <f>IFERROR(B114/A114,"")</f>
        <v>2.6666666666666665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85</v>
      </c>
      <c r="C115" s="50">
        <v>2</v>
      </c>
      <c r="D115" s="60">
        <v>25</v>
      </c>
      <c r="E115" s="51">
        <v>0.3</v>
      </c>
      <c r="F115" s="51">
        <v>0.4</v>
      </c>
      <c r="G115" s="51">
        <v>0.3</v>
      </c>
      <c r="H115" s="51"/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25</v>
      </c>
      <c r="B116" s="60">
        <v>113</v>
      </c>
      <c r="C116" s="50">
        <v>3</v>
      </c>
      <c r="D116" s="60">
        <v>27</v>
      </c>
      <c r="E116" s="51">
        <v>0.3</v>
      </c>
      <c r="F116" s="51">
        <v>0.4</v>
      </c>
      <c r="G116" s="51">
        <v>0.3</v>
      </c>
      <c r="H116" s="51"/>
      <c r="I116" s="53">
        <f t="shared" si="4"/>
        <v>10.6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31</v>
      </c>
      <c r="B117" s="60">
        <v>155</v>
      </c>
      <c r="C117" s="50">
        <v>4</v>
      </c>
      <c r="D117" s="60">
        <v>36</v>
      </c>
      <c r="E117" s="51"/>
      <c r="F117" s="51"/>
      <c r="G117" s="51"/>
      <c r="H117" s="51"/>
      <c r="I117" s="53">
        <f t="shared" si="4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37</v>
      </c>
      <c r="B118" s="60">
        <v>188</v>
      </c>
      <c r="C118" s="50">
        <v>5</v>
      </c>
      <c r="D118" s="60">
        <v>36</v>
      </c>
      <c r="E118" s="51"/>
      <c r="F118" s="51"/>
      <c r="G118" s="51"/>
      <c r="H118" s="51"/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44</v>
      </c>
      <c r="B119" s="60">
        <v>230</v>
      </c>
      <c r="C119" s="50">
        <v>6</v>
      </c>
      <c r="D119" s="60">
        <v>43</v>
      </c>
      <c r="E119" s="51"/>
      <c r="F119" s="51"/>
      <c r="G119" s="51"/>
      <c r="H119" s="51"/>
      <c r="I119" s="53">
        <f t="shared" si="4"/>
        <v>11.142857142857142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52</v>
      </c>
      <c r="B120" s="60">
        <v>270</v>
      </c>
      <c r="C120" s="60">
        <v>7</v>
      </c>
      <c r="D120" s="60">
        <v>48</v>
      </c>
      <c r="E120" s="87"/>
      <c r="F120" s="87"/>
      <c r="G120" s="87"/>
      <c r="H120" s="87"/>
      <c r="I120" s="53">
        <f t="shared" si="4"/>
        <v>10.375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60</v>
      </c>
      <c r="B121" s="60">
        <v>297</v>
      </c>
      <c r="C121" s="60">
        <v>8</v>
      </c>
      <c r="D121" s="60">
        <v>47</v>
      </c>
      <c r="E121" s="87"/>
      <c r="F121" s="87"/>
      <c r="G121" s="87"/>
      <c r="H121" s="87"/>
      <c r="I121" s="53">
        <f t="shared" si="4"/>
        <v>9.375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69</v>
      </c>
      <c r="B122" s="60">
        <v>328</v>
      </c>
      <c r="C122" s="60">
        <v>9</v>
      </c>
      <c r="D122" s="60">
        <v>328</v>
      </c>
      <c r="E122" s="87"/>
      <c r="F122" s="87"/>
      <c r="G122" s="87"/>
      <c r="H122" s="87"/>
      <c r="I122" s="53">
        <f t="shared" si="4"/>
        <v>8.6666666666666661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Tilleul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v>40</v>
      </c>
      <c r="C140" s="50">
        <v>1</v>
      </c>
      <c r="D140" s="60">
        <v>3</v>
      </c>
      <c r="E140" s="51">
        <v>0.2</v>
      </c>
      <c r="F140" s="51">
        <v>0.2</v>
      </c>
      <c r="G140" s="51">
        <v>0.6</v>
      </c>
      <c r="H140" s="51"/>
      <c r="I140" s="57">
        <f>IFERROR(B140/A140,"")</f>
        <v>2.6666666666666665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85</v>
      </c>
      <c r="C141" s="50">
        <v>2</v>
      </c>
      <c r="D141" s="60">
        <v>25</v>
      </c>
      <c r="E141" s="51">
        <v>0.3</v>
      </c>
      <c r="F141" s="51">
        <v>0.4</v>
      </c>
      <c r="G141" s="51">
        <v>0.3</v>
      </c>
      <c r="H141" s="51"/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25</v>
      </c>
      <c r="B142" s="60">
        <v>113</v>
      </c>
      <c r="C142" s="50">
        <v>3</v>
      </c>
      <c r="D142" s="60">
        <v>27</v>
      </c>
      <c r="E142" s="51">
        <v>0.3</v>
      </c>
      <c r="F142" s="51">
        <v>0.4</v>
      </c>
      <c r="G142" s="51">
        <v>0.3</v>
      </c>
      <c r="H142" s="51"/>
      <c r="I142" s="57">
        <f t="shared" si="5"/>
        <v>10.6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31</v>
      </c>
      <c r="B143" s="60">
        <v>155</v>
      </c>
      <c r="C143" s="50">
        <v>4</v>
      </c>
      <c r="D143" s="60">
        <v>36</v>
      </c>
      <c r="E143" s="51"/>
      <c r="F143" s="51"/>
      <c r="G143" s="51"/>
      <c r="H143" s="51"/>
      <c r="I143" s="57">
        <f t="shared" si="5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37</v>
      </c>
      <c r="B144" s="60">
        <v>188</v>
      </c>
      <c r="C144" s="50">
        <v>5</v>
      </c>
      <c r="D144" s="60">
        <v>36</v>
      </c>
      <c r="E144" s="51"/>
      <c r="F144" s="51"/>
      <c r="G144" s="51"/>
      <c r="H144" s="51"/>
      <c r="I144" s="57">
        <f t="shared" si="5"/>
        <v>11.5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44</v>
      </c>
      <c r="B145" s="60">
        <v>230</v>
      </c>
      <c r="C145" s="50">
        <v>6</v>
      </c>
      <c r="D145" s="60">
        <v>43</v>
      </c>
      <c r="E145" s="51"/>
      <c r="F145" s="51"/>
      <c r="G145" s="51"/>
      <c r="H145" s="51"/>
      <c r="I145" s="57">
        <f t="shared" si="5"/>
        <v>11.142857142857142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52</v>
      </c>
      <c r="B146" s="60">
        <v>270</v>
      </c>
      <c r="C146" s="50">
        <v>7</v>
      </c>
      <c r="D146" s="60">
        <v>48</v>
      </c>
      <c r="E146" s="51"/>
      <c r="F146" s="51"/>
      <c r="G146" s="51"/>
      <c r="H146" s="51"/>
      <c r="I146" s="57">
        <f t="shared" si="5"/>
        <v>10.375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60</v>
      </c>
      <c r="B147" s="60">
        <v>297</v>
      </c>
      <c r="C147" s="50">
        <v>8</v>
      </c>
      <c r="D147" s="60">
        <v>47</v>
      </c>
      <c r="E147" s="51"/>
      <c r="F147" s="51"/>
      <c r="G147" s="51"/>
      <c r="H147" s="51"/>
      <c r="I147" s="57">
        <f>IF(A147&lt;&gt;0,(B147-(B146-D146))/(A147-A146),"")</f>
        <v>9.375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69</v>
      </c>
      <c r="B148" s="60">
        <v>328</v>
      </c>
      <c r="C148" s="50">
        <v>9</v>
      </c>
      <c r="D148" s="60">
        <v>328</v>
      </c>
      <c r="E148" s="51"/>
      <c r="F148" s="51"/>
      <c r="G148" s="51"/>
      <c r="H148" s="51"/>
      <c r="I148" s="57">
        <f t="shared" si="5"/>
        <v>8.6666666666666661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Erable sycomore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19</v>
      </c>
      <c r="C166" s="60">
        <v>1</v>
      </c>
      <c r="D166" s="60">
        <v>7</v>
      </c>
      <c r="E166" s="51"/>
      <c r="F166" s="51">
        <v>0.3</v>
      </c>
      <c r="G166" s="51">
        <v>0.7</v>
      </c>
      <c r="H166" s="51"/>
      <c r="I166" s="49">
        <f>IFERROR(B166/A166,"")</f>
        <v>1.9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15</v>
      </c>
      <c r="B167" s="60">
        <v>85</v>
      </c>
      <c r="C167" s="60">
        <v>2</v>
      </c>
      <c r="D167" s="60">
        <v>42</v>
      </c>
      <c r="E167" s="51">
        <v>0.2</v>
      </c>
      <c r="F167" s="51">
        <v>0.2</v>
      </c>
      <c r="G167" s="51">
        <v>0.6</v>
      </c>
      <c r="H167" s="51"/>
      <c r="I167" s="49">
        <f t="shared" ref="I167:I185" si="6">IF(A167&lt;&gt;0,(B167-(B166-D166))/(A167-A166),"")</f>
        <v>14.6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20</v>
      </c>
      <c r="B168" s="60">
        <v>123</v>
      </c>
      <c r="C168" s="60">
        <v>3</v>
      </c>
      <c r="D168" s="60">
        <v>42</v>
      </c>
      <c r="E168" s="51">
        <v>0.2</v>
      </c>
      <c r="F168" s="51">
        <v>0.2</v>
      </c>
      <c r="G168" s="51">
        <v>0.6</v>
      </c>
      <c r="H168" s="51"/>
      <c r="I168" s="49">
        <f t="shared" si="6"/>
        <v>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25</v>
      </c>
      <c r="B169" s="60">
        <v>165</v>
      </c>
      <c r="C169" s="60">
        <v>4</v>
      </c>
      <c r="D169" s="60">
        <v>42</v>
      </c>
      <c r="E169" s="51">
        <v>0.3</v>
      </c>
      <c r="F169" s="51">
        <v>0.4</v>
      </c>
      <c r="G169" s="51">
        <v>0.3</v>
      </c>
      <c r="H169" s="51"/>
      <c r="I169" s="49">
        <f t="shared" si="6"/>
        <v>16.8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30</v>
      </c>
      <c r="B170" s="60">
        <v>205</v>
      </c>
      <c r="C170" s="60">
        <v>5</v>
      </c>
      <c r="D170" s="60">
        <v>42</v>
      </c>
      <c r="E170" s="51">
        <v>0.3</v>
      </c>
      <c r="F170" s="51">
        <v>0.4</v>
      </c>
      <c r="G170" s="51">
        <v>0.3</v>
      </c>
      <c r="H170" s="51"/>
      <c r="I170" s="49">
        <f t="shared" si="6"/>
        <v>16.399999999999999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35</v>
      </c>
      <c r="B171" s="60">
        <v>239</v>
      </c>
      <c r="C171" s="60">
        <v>6</v>
      </c>
      <c r="D171" s="60">
        <v>42</v>
      </c>
      <c r="E171" s="51"/>
      <c r="F171" s="51"/>
      <c r="G171" s="51"/>
      <c r="H171" s="51"/>
      <c r="I171" s="49">
        <f t="shared" si="6"/>
        <v>15.2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40</v>
      </c>
      <c r="B172" s="60">
        <v>263</v>
      </c>
      <c r="C172" s="60">
        <v>7</v>
      </c>
      <c r="D172" s="60">
        <v>40</v>
      </c>
      <c r="E172" s="51"/>
      <c r="F172" s="51"/>
      <c r="G172" s="51"/>
      <c r="H172" s="51"/>
      <c r="I172" s="49">
        <f t="shared" si="6"/>
        <v>13.2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45</v>
      </c>
      <c r="B173" s="50">
        <v>280</v>
      </c>
      <c r="C173" s="50">
        <v>8</v>
      </c>
      <c r="D173" s="50">
        <v>26</v>
      </c>
      <c r="E173" s="51"/>
      <c r="F173" s="51"/>
      <c r="G173" s="51"/>
      <c r="H173" s="51"/>
      <c r="I173" s="49">
        <f t="shared" si="6"/>
        <v>11.4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50</v>
      </c>
      <c r="B174" s="50">
        <v>303</v>
      </c>
      <c r="C174" s="50">
        <v>9</v>
      </c>
      <c r="D174" s="50">
        <v>21</v>
      </c>
      <c r="E174" s="51"/>
      <c r="F174" s="51"/>
      <c r="G174" s="51"/>
      <c r="H174" s="51"/>
      <c r="I174" s="49">
        <f t="shared" si="6"/>
        <v>9.8000000000000007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55</v>
      </c>
      <c r="B175" s="50">
        <v>324</v>
      </c>
      <c r="C175" s="50">
        <v>10</v>
      </c>
      <c r="D175" s="50">
        <v>18</v>
      </c>
      <c r="E175" s="51"/>
      <c r="F175" s="51"/>
      <c r="G175" s="51"/>
      <c r="H175" s="51"/>
      <c r="I175" s="49">
        <f t="shared" si="6"/>
        <v>8.4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60</v>
      </c>
      <c r="B176" s="50">
        <v>343</v>
      </c>
      <c r="C176" s="50">
        <v>11</v>
      </c>
      <c r="D176" s="50">
        <v>17</v>
      </c>
      <c r="E176" s="51"/>
      <c r="F176" s="51"/>
      <c r="G176" s="51"/>
      <c r="H176" s="51"/>
      <c r="I176" s="49">
        <f t="shared" si="6"/>
        <v>7.4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65</v>
      </c>
      <c r="B177" s="50">
        <v>356</v>
      </c>
      <c r="C177" s="50">
        <v>12</v>
      </c>
      <c r="D177" s="50">
        <v>16</v>
      </c>
      <c r="E177" s="51"/>
      <c r="F177" s="51"/>
      <c r="G177" s="51"/>
      <c r="H177" s="51"/>
      <c r="I177" s="49">
        <f t="shared" si="6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70</v>
      </c>
      <c r="B178" s="50">
        <v>366</v>
      </c>
      <c r="C178" s="50">
        <v>13</v>
      </c>
      <c r="D178" s="50">
        <v>15</v>
      </c>
      <c r="E178" s="51"/>
      <c r="F178" s="51"/>
      <c r="G178" s="51"/>
      <c r="H178" s="51"/>
      <c r="I178" s="49">
        <f t="shared" si="6"/>
        <v>5.2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75</v>
      </c>
      <c r="B179" s="50">
        <v>375</v>
      </c>
      <c r="C179" s="50">
        <v>14</v>
      </c>
      <c r="D179" s="50">
        <v>14</v>
      </c>
      <c r="E179" s="51"/>
      <c r="F179" s="51"/>
      <c r="G179" s="51"/>
      <c r="H179" s="51"/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>
        <v>80</v>
      </c>
      <c r="B180" s="50">
        <v>381</v>
      </c>
      <c r="C180" s="50">
        <v>15</v>
      </c>
      <c r="D180" s="50">
        <v>381</v>
      </c>
      <c r="E180" s="51"/>
      <c r="F180" s="51"/>
      <c r="G180" s="51"/>
      <c r="H180" s="51"/>
      <c r="I180" s="49">
        <f t="shared" si="6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 pubescent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73</v>
      </c>
      <c r="C192" s="60">
        <v>1</v>
      </c>
      <c r="D192" s="60">
        <v>6</v>
      </c>
      <c r="E192" s="51">
        <v>0.2</v>
      </c>
      <c r="F192" s="51">
        <v>0.2</v>
      </c>
      <c r="G192" s="51">
        <v>0.6</v>
      </c>
      <c r="H192" s="51"/>
      <c r="I192" s="49">
        <f>IFERROR(B192/A192,"")</f>
        <v>3.65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25</v>
      </c>
      <c r="B193" s="60">
        <v>103</v>
      </c>
      <c r="C193" s="60">
        <v>2</v>
      </c>
      <c r="D193" s="60">
        <v>28</v>
      </c>
      <c r="E193" s="51">
        <v>0.3</v>
      </c>
      <c r="F193" s="51">
        <v>0.4</v>
      </c>
      <c r="G193" s="51">
        <v>0.3</v>
      </c>
      <c r="H193" s="51"/>
      <c r="I193" s="49">
        <f t="shared" ref="I193:I211" si="7">IF(A193&lt;&gt;0,(B193-(B192-D192))/(A193-A192),"")</f>
        <v>7.2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30</v>
      </c>
      <c r="B194" s="60">
        <v>121</v>
      </c>
      <c r="C194" s="60">
        <v>3</v>
      </c>
      <c r="D194" s="60">
        <v>28</v>
      </c>
      <c r="E194" s="51">
        <v>0.3</v>
      </c>
      <c r="F194" s="51">
        <v>0.4</v>
      </c>
      <c r="G194" s="51">
        <v>0.3</v>
      </c>
      <c r="H194" s="51"/>
      <c r="I194" s="49">
        <f t="shared" si="7"/>
        <v>9.1999999999999993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35</v>
      </c>
      <c r="B195" s="60">
        <v>147</v>
      </c>
      <c r="C195" s="60">
        <v>4</v>
      </c>
      <c r="D195" s="60">
        <v>28</v>
      </c>
      <c r="E195" s="51"/>
      <c r="F195" s="51"/>
      <c r="G195" s="51"/>
      <c r="H195" s="51"/>
      <c r="I195" s="49">
        <f t="shared" si="7"/>
        <v>10.8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40</v>
      </c>
      <c r="B196" s="60">
        <v>175</v>
      </c>
      <c r="C196" s="60">
        <v>5</v>
      </c>
      <c r="D196" s="60">
        <v>28</v>
      </c>
      <c r="E196" s="51"/>
      <c r="F196" s="51"/>
      <c r="G196" s="51"/>
      <c r="H196" s="51"/>
      <c r="I196" s="49">
        <f t="shared" si="7"/>
        <v>11.2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45</v>
      </c>
      <c r="B197" s="60">
        <v>204</v>
      </c>
      <c r="C197" s="60">
        <v>6</v>
      </c>
      <c r="D197" s="60">
        <v>28</v>
      </c>
      <c r="E197" s="51"/>
      <c r="F197" s="51"/>
      <c r="G197" s="51"/>
      <c r="H197" s="51"/>
      <c r="I197" s="49">
        <f t="shared" si="7"/>
        <v>11.4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50</v>
      </c>
      <c r="B198" s="60">
        <v>231</v>
      </c>
      <c r="C198" s="60">
        <v>7</v>
      </c>
      <c r="D198" s="60">
        <v>28</v>
      </c>
      <c r="E198" s="51"/>
      <c r="F198" s="51"/>
      <c r="G198" s="51"/>
      <c r="H198" s="51"/>
      <c r="I198" s="49">
        <f t="shared" si="7"/>
        <v>11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55</v>
      </c>
      <c r="B199" s="50">
        <v>254</v>
      </c>
      <c r="C199" s="50">
        <v>8</v>
      </c>
      <c r="D199" s="50">
        <v>28</v>
      </c>
      <c r="E199" s="51"/>
      <c r="F199" s="51"/>
      <c r="G199" s="51"/>
      <c r="H199" s="51"/>
      <c r="I199" s="49">
        <f t="shared" si="7"/>
        <v>10.199999999999999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60</v>
      </c>
      <c r="B200" s="50">
        <v>273</v>
      </c>
      <c r="C200" s="50">
        <v>9</v>
      </c>
      <c r="D200" s="50">
        <v>28</v>
      </c>
      <c r="E200" s="51"/>
      <c r="F200" s="51"/>
      <c r="G200" s="51"/>
      <c r="H200" s="51"/>
      <c r="I200" s="49">
        <f t="shared" si="7"/>
        <v>9.4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65</v>
      </c>
      <c r="B201" s="50">
        <v>289</v>
      </c>
      <c r="C201" s="50">
        <v>10</v>
      </c>
      <c r="D201" s="50">
        <v>28</v>
      </c>
      <c r="E201" s="51"/>
      <c r="F201" s="51"/>
      <c r="G201" s="51"/>
      <c r="H201" s="51"/>
      <c r="I201" s="49">
        <f t="shared" si="7"/>
        <v>8.8000000000000007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70</v>
      </c>
      <c r="B202" s="50">
        <v>302</v>
      </c>
      <c r="C202" s="50">
        <v>11</v>
      </c>
      <c r="D202" s="50">
        <v>28</v>
      </c>
      <c r="E202" s="51"/>
      <c r="F202" s="51"/>
      <c r="G202" s="51"/>
      <c r="H202" s="51"/>
      <c r="I202" s="49">
        <f t="shared" si="7"/>
        <v>8.1999999999999993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75</v>
      </c>
      <c r="B203" s="50">
        <v>312</v>
      </c>
      <c r="C203" s="50">
        <v>12</v>
      </c>
      <c r="D203" s="50">
        <v>28</v>
      </c>
      <c r="E203" s="51"/>
      <c r="F203" s="51"/>
      <c r="G203" s="51"/>
      <c r="H203" s="51"/>
      <c r="I203" s="49">
        <f t="shared" si="7"/>
        <v>7.6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80</v>
      </c>
      <c r="B204" s="50">
        <v>320</v>
      </c>
      <c r="C204" s="50">
        <v>13</v>
      </c>
      <c r="D204" s="50">
        <v>28</v>
      </c>
      <c r="E204" s="51"/>
      <c r="F204" s="51"/>
      <c r="G204" s="51"/>
      <c r="H204" s="51"/>
      <c r="I204" s="49">
        <f t="shared" si="7"/>
        <v>7.2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85</v>
      </c>
      <c r="B205" s="50">
        <v>326</v>
      </c>
      <c r="C205" s="50">
        <v>14</v>
      </c>
      <c r="D205" s="50">
        <v>28</v>
      </c>
      <c r="E205" s="51"/>
      <c r="F205" s="51"/>
      <c r="G205" s="51"/>
      <c r="H205" s="51"/>
      <c r="I205" s="49">
        <f t="shared" si="7"/>
        <v>6.8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90</v>
      </c>
      <c r="B206" s="50">
        <v>330</v>
      </c>
      <c r="C206" s="50">
        <v>15</v>
      </c>
      <c r="D206" s="50">
        <v>28</v>
      </c>
      <c r="E206" s="51"/>
      <c r="F206" s="51"/>
      <c r="G206" s="51"/>
      <c r="H206" s="51"/>
      <c r="I206" s="49">
        <f t="shared" si="7"/>
        <v>6.4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>
        <v>95</v>
      </c>
      <c r="B207" s="50">
        <v>336</v>
      </c>
      <c r="C207" s="50">
        <v>16</v>
      </c>
      <c r="D207" s="50">
        <v>28</v>
      </c>
      <c r="E207" s="51"/>
      <c r="F207" s="51"/>
      <c r="G207" s="51"/>
      <c r="H207" s="51"/>
      <c r="I207" s="49">
        <f t="shared" si="7"/>
        <v>6.8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>
        <v>100</v>
      </c>
      <c r="B208" s="50">
        <v>333</v>
      </c>
      <c r="C208" s="50">
        <v>17</v>
      </c>
      <c r="D208" s="50">
        <v>27</v>
      </c>
      <c r="E208" s="51"/>
      <c r="F208" s="51"/>
      <c r="G208" s="51"/>
      <c r="H208" s="51"/>
      <c r="I208" s="49">
        <f t="shared" si="7"/>
        <v>5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>
        <v>105</v>
      </c>
      <c r="B209" s="50">
        <v>333</v>
      </c>
      <c r="C209" s="50">
        <v>18</v>
      </c>
      <c r="D209" s="50">
        <v>26</v>
      </c>
      <c r="E209" s="51"/>
      <c r="F209" s="51"/>
      <c r="G209" s="51"/>
      <c r="H209" s="51"/>
      <c r="I209" s="49">
        <f t="shared" si="7"/>
        <v>5.4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>
        <v>110</v>
      </c>
      <c r="B210" s="50">
        <v>332</v>
      </c>
      <c r="C210" s="50">
        <v>19</v>
      </c>
      <c r="D210" s="50">
        <v>25</v>
      </c>
      <c r="E210" s="51"/>
      <c r="F210" s="51"/>
      <c r="G210" s="51"/>
      <c r="H210" s="51"/>
      <c r="I210" s="49">
        <f t="shared" si="7"/>
        <v>5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>
        <v>115</v>
      </c>
      <c r="B211" s="50">
        <v>331</v>
      </c>
      <c r="C211" s="50">
        <v>20</v>
      </c>
      <c r="D211" s="50">
        <v>331</v>
      </c>
      <c r="E211" s="51"/>
      <c r="F211" s="51"/>
      <c r="G211" s="51"/>
      <c r="H211" s="51"/>
      <c r="I211" s="49">
        <f t="shared" si="7"/>
        <v>4.8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Chêne sessile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73</v>
      </c>
      <c r="C218" s="50">
        <v>1</v>
      </c>
      <c r="D218" s="60">
        <v>6</v>
      </c>
      <c r="E218" s="63">
        <v>0.2</v>
      </c>
      <c r="F218" s="63">
        <v>0.2</v>
      </c>
      <c r="G218" s="63">
        <v>0.6</v>
      </c>
      <c r="H218" s="63"/>
      <c r="I218" s="53">
        <f>IFERROR(B218/A218,"")</f>
        <v>3.65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25</v>
      </c>
      <c r="B219" s="60">
        <v>103</v>
      </c>
      <c r="C219" s="50">
        <v>2</v>
      </c>
      <c r="D219" s="60">
        <v>28</v>
      </c>
      <c r="E219" s="63">
        <v>0.3</v>
      </c>
      <c r="F219" s="63">
        <v>0.4</v>
      </c>
      <c r="G219" s="63">
        <v>0.3</v>
      </c>
      <c r="H219" s="63"/>
      <c r="I219" s="53">
        <f t="shared" ref="I219:I237" si="8">IF(A219&lt;&gt;0,(B219-(B218-D218))/(A219-A218),"")</f>
        <v>7.2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30</v>
      </c>
      <c r="B220" s="60">
        <v>121</v>
      </c>
      <c r="C220" s="50">
        <v>3</v>
      </c>
      <c r="D220" s="60">
        <v>28</v>
      </c>
      <c r="E220" s="63">
        <v>0.3</v>
      </c>
      <c r="F220" s="63">
        <v>0.4</v>
      </c>
      <c r="G220" s="63">
        <v>0.3</v>
      </c>
      <c r="H220" s="63"/>
      <c r="I220" s="53">
        <f t="shared" si="8"/>
        <v>9.1999999999999993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35</v>
      </c>
      <c r="B221" s="55">
        <v>147</v>
      </c>
      <c r="C221" s="55">
        <v>4</v>
      </c>
      <c r="D221" s="55">
        <v>28</v>
      </c>
      <c r="E221" s="63"/>
      <c r="F221" s="63"/>
      <c r="G221" s="63"/>
      <c r="H221" s="63"/>
      <c r="I221" s="53">
        <f t="shared" si="8"/>
        <v>10.8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40</v>
      </c>
      <c r="B222" s="55">
        <v>175</v>
      </c>
      <c r="C222" s="55">
        <v>5</v>
      </c>
      <c r="D222" s="55">
        <v>28</v>
      </c>
      <c r="E222" s="63"/>
      <c r="F222" s="63"/>
      <c r="G222" s="63"/>
      <c r="H222" s="63"/>
      <c r="I222" s="53">
        <f t="shared" si="8"/>
        <v>11.2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45</v>
      </c>
      <c r="B223" s="55">
        <v>204</v>
      </c>
      <c r="C223" s="55">
        <v>6</v>
      </c>
      <c r="D223" s="55">
        <v>28</v>
      </c>
      <c r="E223" s="63"/>
      <c r="F223" s="63"/>
      <c r="G223" s="63"/>
      <c r="H223" s="63"/>
      <c r="I223" s="53">
        <f t="shared" si="8"/>
        <v>11.4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50</v>
      </c>
      <c r="B224" s="55">
        <v>231</v>
      </c>
      <c r="C224" s="55">
        <v>7</v>
      </c>
      <c r="D224" s="55">
        <v>28</v>
      </c>
      <c r="E224" s="63"/>
      <c r="F224" s="63"/>
      <c r="G224" s="63"/>
      <c r="H224" s="63"/>
      <c r="I224" s="53">
        <f t="shared" si="8"/>
        <v>11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55</v>
      </c>
      <c r="B225" s="55">
        <v>254</v>
      </c>
      <c r="C225" s="55">
        <v>8</v>
      </c>
      <c r="D225" s="55">
        <v>28</v>
      </c>
      <c r="E225" s="63"/>
      <c r="F225" s="63"/>
      <c r="G225" s="63"/>
      <c r="H225" s="63"/>
      <c r="I225" s="53">
        <f t="shared" si="8"/>
        <v>10.199999999999999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60</v>
      </c>
      <c r="B226" s="55">
        <v>273</v>
      </c>
      <c r="C226" s="55">
        <v>9</v>
      </c>
      <c r="D226" s="55">
        <v>28</v>
      </c>
      <c r="E226" s="63"/>
      <c r="F226" s="63"/>
      <c r="G226" s="63"/>
      <c r="H226" s="63"/>
      <c r="I226" s="53">
        <f t="shared" si="8"/>
        <v>9.4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65</v>
      </c>
      <c r="B227" s="55">
        <v>289</v>
      </c>
      <c r="C227" s="55">
        <v>10</v>
      </c>
      <c r="D227" s="55">
        <v>28</v>
      </c>
      <c r="E227" s="63"/>
      <c r="F227" s="63"/>
      <c r="G227" s="63"/>
      <c r="H227" s="63"/>
      <c r="I227" s="53">
        <f t="shared" si="8"/>
        <v>8.8000000000000007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70</v>
      </c>
      <c r="B228" s="55">
        <v>302</v>
      </c>
      <c r="C228" s="55">
        <v>11</v>
      </c>
      <c r="D228" s="55">
        <v>28</v>
      </c>
      <c r="E228" s="63"/>
      <c r="F228" s="63"/>
      <c r="G228" s="63"/>
      <c r="H228" s="63"/>
      <c r="I228" s="53">
        <f t="shared" si="8"/>
        <v>8.1999999999999993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75</v>
      </c>
      <c r="B229" s="55">
        <v>312</v>
      </c>
      <c r="C229" s="55">
        <v>12</v>
      </c>
      <c r="D229" s="55">
        <v>28</v>
      </c>
      <c r="E229" s="63"/>
      <c r="F229" s="63"/>
      <c r="G229" s="63"/>
      <c r="H229" s="63"/>
      <c r="I229" s="53">
        <f t="shared" si="8"/>
        <v>7.6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80</v>
      </c>
      <c r="B230" s="55">
        <v>320</v>
      </c>
      <c r="C230" s="55">
        <v>13</v>
      </c>
      <c r="D230" s="55">
        <v>28</v>
      </c>
      <c r="E230" s="64"/>
      <c r="F230" s="64"/>
      <c r="G230" s="64"/>
      <c r="H230" s="64"/>
      <c r="I230" s="53">
        <f t="shared" si="8"/>
        <v>7.2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85</v>
      </c>
      <c r="B231" s="60">
        <v>326</v>
      </c>
      <c r="C231" s="88">
        <v>14</v>
      </c>
      <c r="D231" s="60">
        <v>28</v>
      </c>
      <c r="E231" s="54"/>
      <c r="F231" s="54"/>
      <c r="G231" s="54"/>
      <c r="H231" s="54"/>
      <c r="I231" s="53">
        <f t="shared" si="8"/>
        <v>6.8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90</v>
      </c>
      <c r="B232" s="50">
        <v>330</v>
      </c>
      <c r="C232" s="50">
        <v>15</v>
      </c>
      <c r="D232" s="50">
        <v>330</v>
      </c>
      <c r="E232" s="54"/>
      <c r="F232" s="54"/>
      <c r="G232" s="54"/>
      <c r="H232" s="54"/>
      <c r="I232" s="53">
        <f t="shared" si="8"/>
        <v>6.4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>
        <v>95</v>
      </c>
      <c r="B233" s="50">
        <v>336</v>
      </c>
      <c r="C233" s="50">
        <v>16</v>
      </c>
      <c r="D233" s="50">
        <v>28</v>
      </c>
      <c r="E233" s="54"/>
      <c r="F233" s="54"/>
      <c r="G233" s="54"/>
      <c r="H233" s="54"/>
      <c r="I233" s="53">
        <f t="shared" si="8"/>
        <v>67.2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>
        <v>100</v>
      </c>
      <c r="B234" s="50">
        <v>333</v>
      </c>
      <c r="C234" s="50">
        <v>17</v>
      </c>
      <c r="D234" s="50">
        <v>27</v>
      </c>
      <c r="E234" s="54"/>
      <c r="F234" s="54"/>
      <c r="G234" s="54"/>
      <c r="H234" s="54"/>
      <c r="I234" s="53">
        <f t="shared" si="8"/>
        <v>5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>
        <v>105</v>
      </c>
      <c r="B235" s="50">
        <v>333</v>
      </c>
      <c r="C235" s="50">
        <v>18</v>
      </c>
      <c r="D235" s="50">
        <v>26</v>
      </c>
      <c r="E235" s="54"/>
      <c r="F235" s="54"/>
      <c r="G235" s="54"/>
      <c r="H235" s="54"/>
      <c r="I235" s="53">
        <f t="shared" si="8"/>
        <v>5.4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>
        <v>110</v>
      </c>
      <c r="B236" s="50">
        <v>332</v>
      </c>
      <c r="C236" s="50">
        <v>19</v>
      </c>
      <c r="D236" s="50">
        <v>25</v>
      </c>
      <c r="E236" s="54"/>
      <c r="F236" s="54"/>
      <c r="G236" s="54"/>
      <c r="H236" s="54"/>
      <c r="I236" s="53">
        <f t="shared" si="8"/>
        <v>5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>
        <v>115</v>
      </c>
      <c r="B237" s="50">
        <v>331</v>
      </c>
      <c r="C237" s="50">
        <v>20</v>
      </c>
      <c r="D237" s="50">
        <v>331</v>
      </c>
      <c r="E237" s="54"/>
      <c r="F237" s="54"/>
      <c r="G237" s="54"/>
      <c r="H237" s="54"/>
      <c r="I237" s="53">
        <f t="shared" si="8"/>
        <v>4.8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Alisier torminal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20</v>
      </c>
      <c r="B244" s="60">
        <v>73</v>
      </c>
      <c r="C244" s="60">
        <v>1</v>
      </c>
      <c r="D244" s="60">
        <v>6</v>
      </c>
      <c r="E244" s="51">
        <v>0.2</v>
      </c>
      <c r="F244" s="51">
        <v>0.2</v>
      </c>
      <c r="G244" s="51">
        <v>0.6</v>
      </c>
      <c r="H244" s="63"/>
      <c r="I244" s="53">
        <f>IFERROR(B244/A244,"")</f>
        <v>3.65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25</v>
      </c>
      <c r="B245" s="60">
        <v>103</v>
      </c>
      <c r="C245" s="60">
        <v>2</v>
      </c>
      <c r="D245" s="60">
        <v>28</v>
      </c>
      <c r="E245" s="63">
        <v>0.3</v>
      </c>
      <c r="F245" s="63">
        <v>0.4</v>
      </c>
      <c r="G245" s="63">
        <v>0.3</v>
      </c>
      <c r="H245" s="63"/>
      <c r="I245" s="53">
        <f>IF(A245&lt;&gt;0,(B245-(B244-D244))/(A245-A244),"")</f>
        <v>7.2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30</v>
      </c>
      <c r="B246" s="60">
        <v>121</v>
      </c>
      <c r="C246" s="60">
        <v>3</v>
      </c>
      <c r="D246" s="60">
        <v>28</v>
      </c>
      <c r="E246" s="63">
        <v>0.3</v>
      </c>
      <c r="F246" s="63">
        <v>0.4</v>
      </c>
      <c r="G246" s="63">
        <v>0.3</v>
      </c>
      <c r="H246" s="63"/>
      <c r="I246" s="53">
        <f>IF(A246&lt;&gt;0,(B246-(B245-D245))/(A246-A245),"")</f>
        <v>9.1999999999999993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35</v>
      </c>
      <c r="B247" s="60">
        <v>147</v>
      </c>
      <c r="C247" s="60">
        <v>4</v>
      </c>
      <c r="D247" s="60">
        <v>28</v>
      </c>
      <c r="E247" s="63"/>
      <c r="F247" s="63"/>
      <c r="G247" s="63"/>
      <c r="H247" s="63"/>
      <c r="I247" s="53">
        <f t="shared" ref="I247:I263" si="9">IF(A247&lt;&gt;0,(B247-(B246-D246))/(A247-A246),"")</f>
        <v>10.8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40</v>
      </c>
      <c r="B248" s="60">
        <v>175</v>
      </c>
      <c r="C248" s="60">
        <v>5</v>
      </c>
      <c r="D248" s="60">
        <v>28</v>
      </c>
      <c r="E248" s="63"/>
      <c r="F248" s="63"/>
      <c r="G248" s="63"/>
      <c r="H248" s="63"/>
      <c r="I248" s="53">
        <f t="shared" si="9"/>
        <v>11.2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45</v>
      </c>
      <c r="B249" s="60">
        <v>204</v>
      </c>
      <c r="C249" s="60">
        <v>6</v>
      </c>
      <c r="D249" s="60">
        <v>28</v>
      </c>
      <c r="E249" s="63"/>
      <c r="F249" s="63"/>
      <c r="G249" s="63"/>
      <c r="H249" s="63"/>
      <c r="I249" s="53">
        <f t="shared" si="9"/>
        <v>11.4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50</v>
      </c>
      <c r="B250" s="60">
        <v>231</v>
      </c>
      <c r="C250" s="60">
        <v>7</v>
      </c>
      <c r="D250" s="60">
        <v>28</v>
      </c>
      <c r="E250" s="63"/>
      <c r="F250" s="63"/>
      <c r="G250" s="63"/>
      <c r="H250" s="63"/>
      <c r="I250" s="53">
        <f t="shared" si="9"/>
        <v>11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55</v>
      </c>
      <c r="B251" s="55">
        <v>254</v>
      </c>
      <c r="C251" s="55">
        <v>8</v>
      </c>
      <c r="D251" s="55">
        <v>28</v>
      </c>
      <c r="E251" s="63"/>
      <c r="F251" s="63"/>
      <c r="G251" s="63"/>
      <c r="H251" s="63"/>
      <c r="I251" s="53">
        <f t="shared" si="9"/>
        <v>10.199999999999999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60</v>
      </c>
      <c r="B252" s="55">
        <v>273</v>
      </c>
      <c r="C252" s="55">
        <v>9</v>
      </c>
      <c r="D252" s="55">
        <v>28</v>
      </c>
      <c r="E252" s="63"/>
      <c r="F252" s="63"/>
      <c r="G252" s="63"/>
      <c r="H252" s="63"/>
      <c r="I252" s="53">
        <f t="shared" si="9"/>
        <v>9.4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65</v>
      </c>
      <c r="B253" s="55">
        <v>289</v>
      </c>
      <c r="C253" s="55">
        <v>10</v>
      </c>
      <c r="D253" s="55">
        <v>28</v>
      </c>
      <c r="E253" s="63"/>
      <c r="F253" s="63"/>
      <c r="G253" s="63"/>
      <c r="H253" s="63"/>
      <c r="I253" s="53">
        <f t="shared" si="9"/>
        <v>8.8000000000000007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70</v>
      </c>
      <c r="B254" s="55">
        <v>302</v>
      </c>
      <c r="C254" s="55">
        <v>11</v>
      </c>
      <c r="D254" s="55">
        <v>28</v>
      </c>
      <c r="E254" s="63"/>
      <c r="F254" s="63"/>
      <c r="G254" s="63"/>
      <c r="H254" s="63"/>
      <c r="I254" s="53">
        <f t="shared" si="9"/>
        <v>8.1999999999999993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75</v>
      </c>
      <c r="B255" s="55">
        <v>312</v>
      </c>
      <c r="C255" s="55">
        <v>12</v>
      </c>
      <c r="D255" s="55">
        <v>28</v>
      </c>
      <c r="E255" s="63"/>
      <c r="F255" s="63"/>
      <c r="G255" s="63"/>
      <c r="H255" s="63"/>
      <c r="I255" s="53">
        <f t="shared" si="9"/>
        <v>7.6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80</v>
      </c>
      <c r="B256" s="55">
        <v>320</v>
      </c>
      <c r="C256" s="55">
        <v>13</v>
      </c>
      <c r="D256" s="55">
        <v>28</v>
      </c>
      <c r="E256" s="64"/>
      <c r="F256" s="64"/>
      <c r="G256" s="64"/>
      <c r="H256" s="64"/>
      <c r="I256" s="53">
        <f t="shared" si="9"/>
        <v>7.2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85</v>
      </c>
      <c r="B257" s="60">
        <v>326</v>
      </c>
      <c r="C257" s="88">
        <v>14</v>
      </c>
      <c r="D257" s="60">
        <v>28</v>
      </c>
      <c r="E257" s="54"/>
      <c r="F257" s="54"/>
      <c r="G257" s="54"/>
      <c r="H257" s="54"/>
      <c r="I257" s="53">
        <f t="shared" si="9"/>
        <v>6.8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>
        <v>90</v>
      </c>
      <c r="B258" s="50">
        <v>330</v>
      </c>
      <c r="C258" s="50">
        <v>15</v>
      </c>
      <c r="D258" s="50">
        <v>330</v>
      </c>
      <c r="E258" s="54"/>
      <c r="F258" s="54"/>
      <c r="G258" s="54"/>
      <c r="H258" s="54"/>
      <c r="I258" s="53">
        <f t="shared" si="9"/>
        <v>6.4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>
        <v>95</v>
      </c>
      <c r="B259" s="50">
        <v>336</v>
      </c>
      <c r="C259" s="50">
        <v>16</v>
      </c>
      <c r="D259" s="50">
        <v>28</v>
      </c>
      <c r="E259" s="54"/>
      <c r="F259" s="54"/>
      <c r="G259" s="54"/>
      <c r="H259" s="54"/>
      <c r="I259" s="53">
        <f t="shared" si="9"/>
        <v>67.2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>
        <v>100</v>
      </c>
      <c r="B260" s="50">
        <v>333</v>
      </c>
      <c r="C260" s="50">
        <v>17</v>
      </c>
      <c r="D260" s="50">
        <v>27</v>
      </c>
      <c r="E260" s="54"/>
      <c r="F260" s="54"/>
      <c r="G260" s="54"/>
      <c r="H260" s="54"/>
      <c r="I260" s="53">
        <f t="shared" si="9"/>
        <v>5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>
        <v>105</v>
      </c>
      <c r="B261" s="50">
        <v>333</v>
      </c>
      <c r="C261" s="50">
        <v>18</v>
      </c>
      <c r="D261" s="50">
        <v>26</v>
      </c>
      <c r="E261" s="54"/>
      <c r="F261" s="54"/>
      <c r="G261" s="54"/>
      <c r="H261" s="54"/>
      <c r="I261" s="53">
        <f t="shared" si="9"/>
        <v>5.4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>
        <v>110</v>
      </c>
      <c r="B262" s="50">
        <v>332</v>
      </c>
      <c r="C262" s="50">
        <v>19</v>
      </c>
      <c r="D262" s="50">
        <v>25</v>
      </c>
      <c r="E262" s="54"/>
      <c r="F262" s="54"/>
      <c r="G262" s="54"/>
      <c r="H262" s="54"/>
      <c r="I262" s="53">
        <f t="shared" si="9"/>
        <v>5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>
        <v>115</v>
      </c>
      <c r="B263" s="50">
        <v>331</v>
      </c>
      <c r="C263" s="50">
        <v>20</v>
      </c>
      <c r="D263" s="50">
        <v>331</v>
      </c>
      <c r="E263" s="54"/>
      <c r="F263" s="54"/>
      <c r="G263" s="54"/>
      <c r="H263" s="54"/>
      <c r="I263" s="53">
        <f t="shared" si="9"/>
        <v>4.8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maritime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Séquoia toujours vert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Tilleul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sycomore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pubescent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Chêne sessile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Alisier torminal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378.17323480030268</v>
      </c>
      <c r="T3" s="59">
        <f>IF('Données projet'!E9&gt;30,$R$33-$H$33,LOOKUP('Données projet'!$E$9,$A$3:$A$203,R3:R203)-LOOKUP('Données projet'!$E$9,$A$3:$A$203,$H$3:$H$203))</f>
        <v>471.89239871617241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141.22849894256314</v>
      </c>
      <c r="AO3" s="59">
        <f>IF('Données projet'!E10&gt;30,$AM$33-$H$33,LOOKUP('Données projet'!$E$10,$A$3:$A$203,AM3:AM203)-LOOKUP('Données projet'!$E$10,$A$3:$A$203,$H$3:$H$203))</f>
        <v>156.12101479343704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114.25511901730295</v>
      </c>
      <c r="BJ3" s="59">
        <f>IF('Données projet'!E11&gt;30,$BH$33-$H$33,LOOKUP('Données projet'!$E$11,$A$3:$A$203,BH3:BH203)-LOOKUP('Données projet'!$E$11,$A$3:$A$203,$H$3:$H$203))</f>
        <v>180.96261947642182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216.95993967070063</v>
      </c>
      <c r="CE3" s="59">
        <f>IF('Données projet'!E12&gt;30,$CC$33-$H$33,LOOKUP('Données projet'!$E$12,$A$3:$A$203,CC3:CC203)-LOOKUP('Données projet'!$E$12,$A$3:$A$203,$H$3:$H$203))</f>
        <v>208.79744153433245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181.32837315090507</v>
      </c>
      <c r="CZ3" s="59">
        <f>IF('Données projet'!E13&gt;30,$CX$33-$H$33,LOOKUP('Données projet'!$E$13,$A$3:$A$203,CX3:CX203)-LOOKUP('Données projet'!$E$13,$A$3:$A$203,$H$3:$H$203))</f>
        <v>175.03267817980338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325.72928944930294</v>
      </c>
      <c r="DU3" s="59">
        <f>IF('Données projet'!E14&gt;30,$DS$33-$H$33,LOOKUP('Données projet'!$E$14,$A$3:$A$203,DS3:DS203)-LOOKUP('Données projet'!$E$14,$A$3:$A$203,$H$3:$H$203))</f>
        <v>318.38876834819752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384.50065773787549</v>
      </c>
      <c r="EP3" s="59">
        <f>IF('Données projet'!E15&gt;30,$EN$33-$H$33,LOOKUP('Données projet'!$E$15,$A$3:$A$203,EN3:EN203)-LOOKUP('Données projet'!$E$15,$A$3:$A$203,$H$3:$H$203))</f>
        <v>231.92898690465887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326.46362829268969</v>
      </c>
      <c r="FK3" s="59">
        <f>IF('Données projet'!E16&gt;30,$FI$33-$H$33,LOOKUP('Données projet'!$E$16,$A$3:$A$203,FI3:FI203)-LOOKUP('Données projet'!$E$16,$A$3:$A$203,$H$3:$H$203))</f>
        <v>203.5274665601915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353.24082990916918</v>
      </c>
      <c r="GF3" s="59">
        <f>IF('Données projet'!E17&gt;30,$GD$33-$H$33,LOOKUP('Données projet'!$E$17,$A$3:$A$203,GD3:GD203)-LOOKUP('Données projet'!$E$17,$A$3:$A$203,$H$3:$H$203))</f>
        <v>219.76562717496353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378.17323480030268</v>
      </c>
      <c r="T4" s="59">
        <f>$T$3</f>
        <v>471.89239871617241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2.0833333333333335</v>
      </c>
      <c r="AI4" s="13">
        <f>IF('Données projet'!$A$62&gt;35,AI3+AH4-AQ3,IF(A4&lt;'Données projet'!$A$62,$AF$205^A4,IF(A4='Données projet'!$A$62,'Données projet'!$B$62,AI3+AH4-AQ3)))</f>
        <v>1.3076604860118306</v>
      </c>
      <c r="AJ4" s="13">
        <f>AI4*VLOOKUP('Données projet'!$B$10,Paramètres!$A$1:$I$89,3,0)*VLOOKUP('Données projet'!$B$10,Paramètres!$A$1:$I$89,5,0)</f>
        <v>0.78198097063507477</v>
      </c>
      <c r="AK4" s="13">
        <f>EXP(-1.0587+0.8836*LN(AJ4)+0.284)</f>
        <v>0.37083457038464518</v>
      </c>
      <c r="AL4" s="20">
        <f t="shared" ref="AL4:AL67" si="4">(AJ4+AK4)*0.475*44/12</f>
        <v>2.0078204006093454</v>
      </c>
      <c r="AM4" s="59">
        <f t="shared" ref="AM4:AM67" si="5">AL4+(AD4+AE4)*44/12</f>
        <v>295.34115373394263</v>
      </c>
      <c r="AN4" s="59">
        <f ca="1">AVERAGE(OFFSET($AM$3,0,0,'Données projet'!$E$10+1,1))-AVERAGE(OFFSET($H$3,0,0,'Données projet'!$E$10+1,1))</f>
        <v>141.22849894256314</v>
      </c>
      <c r="AO4" s="59">
        <f>$AO$3</f>
        <v>156.12101479343704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6.2222222222222223</v>
      </c>
      <c r="BD4" s="12">
        <f>IF('Données projet'!$A$88&gt;35,BD3+BC4-BL3,IF(A4&lt;'Données projet'!$A$88,$BA$205^A4,IF(A4='Données projet'!$A$88,'Données projet'!$B$88,BD3+BC4-BL3)))</f>
        <v>1.2997069632623315</v>
      </c>
      <c r="BE4" s="13">
        <f>BD4*VLOOKUP('Données projet'!$B$11,Paramètres!$A$1:$I$89,3,0)*VLOOKUP('Données projet'!$B$11,Paramètres!$A$1:$I$89,5,0)</f>
        <v>0.57447047776195059</v>
      </c>
      <c r="BF4" s="13">
        <f>EXP(-1.0587+0.8836*LN(BE4)+0.284)</f>
        <v>0.28238460608214055</v>
      </c>
      <c r="BG4" s="20">
        <f t="shared" ref="BG4:BG67" si="7">(BE4+BF4)*0.475*44/12</f>
        <v>1.4923559376951252</v>
      </c>
      <c r="BH4" s="59">
        <f t="shared" ref="BH4:BH67" si="8">BG4+(AY4+AZ4)*44/12</f>
        <v>294.82568927102847</v>
      </c>
      <c r="BI4" s="59">
        <f ca="1">AVERAGE(OFFSET($BH$3,0,0,'Données projet'!$E$11+1,1))-AVERAGE(OFFSET($H$3,0,0,'Données projet'!$E$11+1,1))</f>
        <v>114.25511901730295</v>
      </c>
      <c r="BJ4" s="59">
        <f>$BJ$3</f>
        <v>180.96261947642182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2.6666666666666665</v>
      </c>
      <c r="BY4" s="12">
        <f>IF('Données projet'!$A$114&gt;35,BY3+BX4-CG3,IF(A4&lt;'Données projet'!$A$114,$BV$205^A4,IF(A4='Données projet'!$A$114,'Données projet'!$B$114,BY3+BX4-CG3)))</f>
        <v>1.2788040393997409</v>
      </c>
      <c r="BZ4" s="13">
        <f>BY4*VLOOKUP('Données projet'!$B$12,Paramètres!$A$1:$I$89,3,0)*VLOOKUP('Données projet'!$B$12,Paramètres!$A$1:$I$89,5,0)</f>
        <v>0.99746715073179792</v>
      </c>
      <c r="CA4" s="13">
        <f>EXP(-1.0587+0.8836*LN(BZ4)+0.284)</f>
        <v>0.45981048445793882</v>
      </c>
      <c r="CB4" s="20">
        <f t="shared" ref="CB4:CB67" si="10">(BZ4+CA4)*0.475*44/12</f>
        <v>2.5380918812887914</v>
      </c>
      <c r="CC4" s="59">
        <f t="shared" ref="CC4:CC67" si="11">CB4+(BT4+BU4)*44/12</f>
        <v>295.87142521462209</v>
      </c>
      <c r="CD4" s="59">
        <f ca="1">AVERAGE(OFFSET($CC$3,0,0,'Données projet'!$E$12+1,1))-AVERAGE(OFFSET($H$3,0,0,'Données projet'!$E$12+1,1))</f>
        <v>216.95993967070063</v>
      </c>
      <c r="CE4" s="59">
        <f>$CE$3</f>
        <v>208.79744153433245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2.6666666666666665</v>
      </c>
      <c r="CT4" s="12">
        <f>IF('Données projet'!$A$140&gt;35,CT3+CS4-DB3,IF(A4&lt;'Données projet'!$A$140,$CQ$205^A4,IF(A4='Données projet'!$A$140,'Données projet'!$B$140,CT3+CS4-DB3)))</f>
        <v>1.2788040393997409</v>
      </c>
      <c r="CU4" s="17">
        <f>CT4*VLOOKUP('Données projet'!$B$13,Paramètres!$A$1:$I$89,3,0)*VLOOKUP('Données projet'!$B$13,Paramètres!$A$1:$I$89,5,0)</f>
        <v>0.85782174962934621</v>
      </c>
      <c r="CV4" s="13">
        <f>EXP(-1.0587+0.8836*LN(CU4)+0.284)</f>
        <v>0.40244051974743428</v>
      </c>
      <c r="CW4" s="20">
        <f t="shared" ref="CW4:CW67" si="13">(CU4+CV4)*0.475*44/12</f>
        <v>2.1949567858312258</v>
      </c>
      <c r="CX4" s="59">
        <f t="shared" ref="CX4:CX67" si="14">CW4+(CO4+CP4)*44/12</f>
        <v>295.52829011916452</v>
      </c>
      <c r="CY4" s="59">
        <f ca="1">AVERAGE(OFFSET($CX$3,0,0,'Données projet'!$E$13+1,1))-AVERAGE(OFFSET($H$3,0,0,'Données projet'!$E$13+1,1))</f>
        <v>181.32837315090507</v>
      </c>
      <c r="CZ4" s="59">
        <f>$CZ$3</f>
        <v>175.03267817980338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1.9</v>
      </c>
      <c r="DO4" s="12">
        <f>IF('Données projet'!$A$166&gt;35,DO3+DN4-DW3,IF(A4&lt;'Données projet'!$A$166,$DL$205^A4,IF(A4='Données projet'!$A$166,'Données projet'!$B$166,DO3+DN4-DW3)))</f>
        <v>1.3423796509621049</v>
      </c>
      <c r="DP4" s="17">
        <f>DO4*VLOOKUP('Données projet'!$B$14,Paramètres!$A$1:$I$89,3,0)*VLOOKUP('Données projet'!$B$14,Paramètres!$A$1:$I$89,5,0)</f>
        <v>1.0679972503054507</v>
      </c>
      <c r="DQ4" s="13">
        <f>EXP(-1.0587+0.8836*LN(DP4)+0.284)</f>
        <v>0.48842359485523285</v>
      </c>
      <c r="DR4" s="20">
        <f t="shared" ref="DR4:DR67" si="16">(DP4+DQ4)*0.475*44/12</f>
        <v>2.7107663053215236</v>
      </c>
      <c r="DS4" s="59">
        <f t="shared" ref="DS4:DS67" si="17">DR4+(DJ4+DK4)*44/12</f>
        <v>296.04409963865481</v>
      </c>
      <c r="DT4" s="59">
        <f ca="1">AVERAGE(OFFSET($DS$3,0,0,'Données projet'!$E$14+1,1))-AVERAGE(OFFSET($H$3,0,0,'Données projet'!$E$14+1,1))</f>
        <v>325.72928944930294</v>
      </c>
      <c r="DU4" s="59">
        <f>$DU$3</f>
        <v>318.38876834819752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3.65</v>
      </c>
      <c r="EJ4" s="12">
        <f>IF('Données projet'!$A$192&gt;35,EJ3+EI4-ER3,IF(A4&lt;'Données projet'!$A$192,$EG$205^A4,IF(A4='Données projet'!$A$192,'Données projet'!$B$192,EJ3+EI4-ER3)))</f>
        <v>1.2392705892426346</v>
      </c>
      <c r="EK4" s="17">
        <f>EJ4*VLOOKUP('Données projet'!$B$15,Paramètres!$A$1:$I$89,3,0)*VLOOKUP('Données projet'!$B$15,Paramètres!$A$1:$I$89,5,0)</f>
        <v>1.2566203774920315</v>
      </c>
      <c r="EL4" s="13">
        <f>EXP(-1.0587+0.8836*LN(EK4)+0.284)</f>
        <v>0.56390871417545174</v>
      </c>
      <c r="EM4" s="20">
        <f t="shared" ref="EM4:EM67" si="19">(EK4+EL4)*0.475*44/12</f>
        <v>3.1707548346542</v>
      </c>
      <c r="EN4" s="59">
        <f t="shared" ref="EN4:EN67" si="20">EM4+(EE4+EF4)*44/12</f>
        <v>296.5040881679875</v>
      </c>
      <c r="EO4" s="59">
        <f ca="1">AVERAGE(OFFSET($EN$3,0,0,'Données projet'!$E$15+1,1))-AVERAGE(OFFSET($H$3,0,0,'Données projet'!$E$15+1,1))</f>
        <v>384.50065773787549</v>
      </c>
      <c r="EP4" s="59">
        <f>$EP$3</f>
        <v>231.92898690465887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3.65</v>
      </c>
      <c r="FE4" s="12">
        <f>IF('Données projet'!$A$218&gt;35,FE3+FD4-FM3,IF(A4&lt;'Données projet'!$A$218,$FB$205^A4,IF(A4='Données projet'!$A$218,'Données projet'!$B$218,FE3+FD4-FM3)))</f>
        <v>1.2392705892426346</v>
      </c>
      <c r="FF4" s="17">
        <f>FE4*VLOOKUP('Données projet'!$B$16,Paramètres!$A$1:$I$89,3,0)*VLOOKUP('Données projet'!$B$16,Paramètres!$A$1:$I$89,5,0)</f>
        <v>1.1212920291467359</v>
      </c>
      <c r="FG4" s="13">
        <f>EXP(-1.0587+0.8836*LN(FF4)+0.284)</f>
        <v>0.50989827066551541</v>
      </c>
      <c r="FH4" s="20">
        <f t="shared" ref="FH4:FH67" si="22">(FF4+FG4)*0.475*44/12</f>
        <v>2.8409897721730037</v>
      </c>
      <c r="FI4" s="59">
        <f t="shared" ref="FI4:FI67" si="23">FH4+(EZ4+FA4)*44/12</f>
        <v>296.17432310550635</v>
      </c>
      <c r="FJ4" s="59">
        <f ca="1">AVERAGE(OFFSET($FI$3,0,0,'Données projet'!$E$16+1,1))-AVERAGE(OFFSET($H$3,0,0,'Données projet'!$E$16+1,1))</f>
        <v>326.46362829268969</v>
      </c>
      <c r="FK4" s="59">
        <f>$FK$3</f>
        <v>203.5274665601915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3.65</v>
      </c>
      <c r="FZ4" s="12">
        <f>IF('Données projet'!$A$244&gt;35,FZ3+FY4-GH3,IF(A4&lt;'Données projet'!$A$244,$FW$205^A4,IF(A4='Données projet'!$A$244,'Données projet'!$B$244,FZ3+FY4-GH3)))</f>
        <v>1.2392705892426346</v>
      </c>
      <c r="GA4" s="17">
        <f>FZ4*VLOOKUP('Données projet'!$B$17,Paramètres!$A$1:$I$89,3,0)*VLOOKUP('Données projet'!$B$17,Paramètres!$A$1:$I$89,5,0)</f>
        <v>1.1986225139154763</v>
      </c>
      <c r="GB4" s="13">
        <f>EXP(-1.0587+0.8836*LN(GA4)+0.284)</f>
        <v>0.54084878793982472</v>
      </c>
      <c r="GC4" s="20">
        <f t="shared" ref="GC4:GC67" si="25">(GA4+GB4)*0.475*44/12</f>
        <v>3.0295791840646493</v>
      </c>
      <c r="GD4" s="59">
        <f t="shared" ref="GD4:GD67" si="26">GC4+(FU4+FV4)*44/12</f>
        <v>296.36291251739794</v>
      </c>
      <c r="GE4" s="59">
        <f ca="1">AVERAGE(OFFSET($GD$3,0,0,'Données projet'!$E$17+1,1))-AVERAGE(OFFSET($H$3,0,0,'Données projet'!$E$17+1,1))</f>
        <v>353.24082990916918</v>
      </c>
      <c r="GF4" s="59">
        <f>$GF$3</f>
        <v>219.76562717496353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378.17323480030268</v>
      </c>
      <c r="T5" s="59">
        <f t="shared" ref="T5:T68" si="34">$T$3</f>
        <v>471.89239871617241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2.0833333333333335</v>
      </c>
      <c r="AI5" s="13">
        <f>IF('Données projet'!$A$62&gt;35,AI4+AH5-AQ4,IF(A5&lt;'Données projet'!$A$62,$AF$205^A5,IF(A5='Données projet'!$A$62,'Données projet'!$B$62,AI4+AH5-AQ4)))</f>
        <v>1.7099759466766971</v>
      </c>
      <c r="AJ5" s="13">
        <f>AI5*VLOOKUP('Données projet'!$B$10,Paramètres!$A$1:$I$89,3,0)*VLOOKUP('Données projet'!$B$10,Paramètres!$A$1:$I$89,5,0)</f>
        <v>1.0225656161126651</v>
      </c>
      <c r="AK5" s="13">
        <f t="shared" ref="AK5:AK68" si="35">EXP(-1.0587+0.8836*LN(AJ5)+0.284)</f>
        <v>0.47001876423271316</v>
      </c>
      <c r="AL5" s="20">
        <f t="shared" si="4"/>
        <v>2.599584462434867</v>
      </c>
      <c r="AM5" s="59">
        <f t="shared" si="5"/>
        <v>295.93291779576816</v>
      </c>
      <c r="AN5" s="59">
        <f ca="1">AVERAGE(OFFSET($AM$3,0,0,'Données projet'!$E$10+1,1))-AVERAGE(OFFSET($H$3,0,0,'Données projet'!$E$10+1,1))</f>
        <v>141.22849894256314</v>
      </c>
      <c r="AO5" s="59">
        <f t="shared" ref="AO5:AO68" si="36">$AO$3</f>
        <v>156.12101479343704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6.2222222222222223</v>
      </c>
      <c r="BD5" s="12">
        <f>IF('Données projet'!$A$88&gt;35,BD4+BC5-BL4,IF(A5&lt;'Données projet'!$A$88,$BA$205^A5,IF(A5='Données projet'!$A$88,'Données projet'!$B$88,BD4+BC5-BL4)))</f>
        <v>1.6892381903525915</v>
      </c>
      <c r="BE5" s="13">
        <f>BD5*VLOOKUP('Données projet'!$B$11,Paramètres!$A$1:$I$89,3,0)*VLOOKUP('Données projet'!$B$11,Paramètres!$A$1:$I$89,5,0)</f>
        <v>0.74664328013584558</v>
      </c>
      <c r="BF5" s="13">
        <f t="shared" ref="BF5:BF68" si="37">EXP(-1.0587+0.8836*LN(BE5)+0.284)</f>
        <v>0.35598758616039605</v>
      </c>
      <c r="BG5" s="20">
        <f t="shared" si="7"/>
        <v>1.9204154254659542</v>
      </c>
      <c r="BH5" s="59">
        <f t="shared" si="8"/>
        <v>295.25374875879925</v>
      </c>
      <c r="BI5" s="59">
        <f ca="1">AVERAGE(OFFSET($BH$3,0,0,'Données projet'!$E$11+1,1))-AVERAGE(OFFSET($H$3,0,0,'Données projet'!$E$11+1,1))</f>
        <v>114.25511901730295</v>
      </c>
      <c r="BJ5" s="59">
        <f t="shared" ref="BJ5:BJ68" si="38">$BJ$3</f>
        <v>180.96261947642182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2.6666666666666665</v>
      </c>
      <c r="BY5" s="12">
        <f>IF('Données projet'!$A$114&gt;35,BY4+BX5-CG4,IF(A5&lt;'Données projet'!$A$114,$BV$205^A5,IF(A5='Données projet'!$A$114,'Données projet'!$B$114,BY4+BX5-CG4)))</f>
        <v>1.6353397711850939</v>
      </c>
      <c r="BZ5" s="13">
        <f>BY5*VLOOKUP('Données projet'!$B$12,Paramètres!$A$1:$I$89,3,0)*VLOOKUP('Données projet'!$B$12,Paramètres!$A$1:$I$89,5,0)</f>
        <v>1.2755650215243732</v>
      </c>
      <c r="CA5" s="13">
        <f t="shared" ref="CA5:CA68" si="39">EXP(-1.0587+0.8836*LN(BZ5)+0.284)</f>
        <v>0.57141400910743001</v>
      </c>
      <c r="CB5" s="20">
        <f t="shared" si="10"/>
        <v>3.2168218116837237</v>
      </c>
      <c r="CC5" s="59">
        <f t="shared" si="11"/>
        <v>296.55015514501702</v>
      </c>
      <c r="CD5" s="59">
        <f ca="1">AVERAGE(OFFSET($CC$3,0,0,'Données projet'!$E$12+1,1))-AVERAGE(OFFSET($H$3,0,0,'Données projet'!$E$12+1,1))</f>
        <v>216.95993967070063</v>
      </c>
      <c r="CE5" s="59">
        <f t="shared" ref="CE5:CE68" si="40">$CE$3</f>
        <v>208.79744153433245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2.6666666666666665</v>
      </c>
      <c r="CT5" s="12">
        <f>IF('Données projet'!$A$140&gt;35,CT4+CS5-DB4,IF(A5&lt;'Données projet'!$A$140,$CQ$205^A5,IF(A5='Données projet'!$A$140,'Données projet'!$B$140,CT4+CS5-DB4)))</f>
        <v>1.6353397711850939</v>
      </c>
      <c r="CU5" s="17">
        <f>CT5*VLOOKUP('Données projet'!$B$13,Paramètres!$A$1:$I$89,3,0)*VLOOKUP('Données projet'!$B$13,Paramètres!$A$1:$I$89,5,0)</f>
        <v>1.0969859185109609</v>
      </c>
      <c r="CV5" s="13">
        <f t="shared" ref="CV5:CV68" si="41">EXP(-1.0587+0.8836*LN(CU5)+0.284)</f>
        <v>0.50011941569199869</v>
      </c>
      <c r="CW5" s="20">
        <f t="shared" si="13"/>
        <v>2.7816251237368212</v>
      </c>
      <c r="CX5" s="59">
        <f t="shared" si="14"/>
        <v>296.11495845707014</v>
      </c>
      <c r="CY5" s="59">
        <f ca="1">AVERAGE(OFFSET($CX$3,0,0,'Données projet'!$E$13+1,1))-AVERAGE(OFFSET($H$3,0,0,'Données projet'!$E$13+1,1))</f>
        <v>181.32837315090507</v>
      </c>
      <c r="CZ5" s="59">
        <f t="shared" ref="CZ5:CZ68" si="42">$CZ$3</f>
        <v>175.03267817980338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1.9</v>
      </c>
      <c r="DO5" s="12">
        <f>IF('Données projet'!$A$166&gt;35,DO4+DN5-DW4,IF(A5&lt;'Données projet'!$A$166,$DL$205^A5,IF(A5='Données projet'!$A$166,'Données projet'!$B$166,DO4+DN5-DW4)))</f>
        <v>1.8019831273171425</v>
      </c>
      <c r="DP5" s="17">
        <f>DO5*VLOOKUP('Données projet'!$B$14,Paramètres!$A$1:$I$89,3,0)*VLOOKUP('Données projet'!$B$14,Paramètres!$A$1:$I$89,5,0)</f>
        <v>1.4336577760935185</v>
      </c>
      <c r="DQ5" s="13">
        <f t="shared" ref="DQ5:DQ68" si="43">EXP(-1.0587+0.8836*LN(DP5)+0.284)</f>
        <v>0.63355934907379652</v>
      </c>
      <c r="DR5" s="20">
        <f t="shared" si="16"/>
        <v>3.6004031596664068</v>
      </c>
      <c r="DS5" s="59">
        <f t="shared" si="17"/>
        <v>296.93373649299974</v>
      </c>
      <c r="DT5" s="59">
        <f ca="1">AVERAGE(OFFSET($DS$3,0,0,'Données projet'!$E$14+1,1))-AVERAGE(OFFSET($H$3,0,0,'Données projet'!$E$14+1,1))</f>
        <v>325.72928944930294</v>
      </c>
      <c r="DU5" s="59">
        <f t="shared" ref="DU5:DU68" si="44">$DU$3</f>
        <v>318.38876834819752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3.65</v>
      </c>
      <c r="EJ5" s="12">
        <f>IF('Données projet'!$A$192&gt;35,EJ4+EI5-ER4,IF(A5&lt;'Données projet'!$A$192,$EG$205^A5,IF(A5='Données projet'!$A$192,'Données projet'!$B$192,EJ4+EI5-ER4)))</f>
        <v>1.5357915933617867</v>
      </c>
      <c r="EK5" s="17">
        <f>EJ5*VLOOKUP('Données projet'!$B$15,Paramètres!$A$1:$I$89,3,0)*VLOOKUP('Données projet'!$B$15,Paramètres!$A$1:$I$89,5,0)</f>
        <v>1.5572926756688519</v>
      </c>
      <c r="EL5" s="13">
        <f t="shared" ref="EL5:EL68" si="45">EXP(-1.0587+0.8836*LN(EK5)+0.284)</f>
        <v>0.68160129960402205</v>
      </c>
      <c r="EM5" s="20">
        <f t="shared" si="19"/>
        <v>3.8994070069335893</v>
      </c>
      <c r="EN5" s="59">
        <f t="shared" si="20"/>
        <v>297.2327403402669</v>
      </c>
      <c r="EO5" s="59">
        <f ca="1">AVERAGE(OFFSET($EN$3,0,0,'Données projet'!$E$15+1,1))-AVERAGE(OFFSET($H$3,0,0,'Données projet'!$E$15+1,1))</f>
        <v>384.50065773787549</v>
      </c>
      <c r="EP5" s="59">
        <f t="shared" ref="EP5:EP68" si="46">$EP$3</f>
        <v>231.92898690465887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3.65</v>
      </c>
      <c r="FE5" s="12">
        <f>IF('Données projet'!$A$218&gt;35,FE4+FD5-FM4,IF(A5&lt;'Données projet'!$A$218,$FB$205^A5,IF(A5='Données projet'!$A$218,'Données projet'!$B$218,FE4+FD5-FM4)))</f>
        <v>1.5357915933617867</v>
      </c>
      <c r="FF5" s="17">
        <f>FE5*VLOOKUP('Données projet'!$B$16,Paramètres!$A$1:$I$89,3,0)*VLOOKUP('Données projet'!$B$16,Paramètres!$A$1:$I$89,5,0)</f>
        <v>1.3895842336737447</v>
      </c>
      <c r="FG5" s="13">
        <f t="shared" ref="FG5:FG68" si="47">EXP(-1.0587+0.8836*LN(FF5)+0.284)</f>
        <v>0.61631841327304715</v>
      </c>
      <c r="FH5" s="20">
        <f t="shared" si="22"/>
        <v>3.4936137767656628</v>
      </c>
      <c r="FI5" s="59">
        <f t="shared" si="23"/>
        <v>296.82694711009896</v>
      </c>
      <c r="FJ5" s="59">
        <f ca="1">AVERAGE(OFFSET($FI$3,0,0,'Données projet'!$E$16+1,1))-AVERAGE(OFFSET($H$3,0,0,'Données projet'!$E$16+1,1))</f>
        <v>326.46362829268969</v>
      </c>
      <c r="FK5" s="59">
        <f t="shared" ref="FK5:FK68" si="48">$FK$3</f>
        <v>203.5274665601915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3.65</v>
      </c>
      <c r="FZ5" s="12">
        <f>IF('Données projet'!$A$244&gt;35,FZ4+FY5-GH4,IF(A5&lt;'Données projet'!$A$244,$FW$205^A5,IF(A5='Données projet'!$A$244,'Données projet'!$B$244,FZ4+FY5-GH4)))</f>
        <v>1.5357915933617867</v>
      </c>
      <c r="GA5" s="17">
        <f>FZ5*VLOOKUP('Données projet'!$B$17,Paramètres!$A$1:$I$89,3,0)*VLOOKUP('Données projet'!$B$17,Paramètres!$A$1:$I$89,5,0)</f>
        <v>1.4854176290995202</v>
      </c>
      <c r="GB5" s="13">
        <f t="shared" ref="GB5:GB68" si="49">EXP(-1.0587+0.8836*LN(GA5)+0.284)</f>
        <v>0.65372856897250708</v>
      </c>
      <c r="GC5" s="20">
        <f t="shared" si="25"/>
        <v>3.725679628308781</v>
      </c>
      <c r="GD5" s="59">
        <f t="shared" si="26"/>
        <v>297.05901296164211</v>
      </c>
      <c r="GE5" s="59">
        <f ca="1">AVERAGE(OFFSET($GD$3,0,0,'Données projet'!$E$17+1,1))-AVERAGE(OFFSET($H$3,0,0,'Données projet'!$E$17+1,1))</f>
        <v>353.24082990916918</v>
      </c>
      <c r="GF5" s="59">
        <f t="shared" ref="GF5:GF68" si="50">$GF$3</f>
        <v>219.76562717496353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378.17323480030268</v>
      </c>
      <c r="T6" s="59">
        <f t="shared" si="34"/>
        <v>471.89239871617241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2.0833333333333335</v>
      </c>
      <c r="AI6" s="13">
        <f>IF('Données projet'!$A$62&gt;35,AI5+AH6-AQ5,IF(A6&lt;'Données projet'!$A$62,$AF$205^A6,IF(A6='Données projet'!$A$62,'Données projet'!$B$62,AI5+AH6-AQ5)))</f>
        <v>2.2360679774997898</v>
      </c>
      <c r="AJ6" s="13">
        <f>AI6*VLOOKUP('Données projet'!$B$10,Paramètres!$A$1:$I$89,3,0)*VLOOKUP('Données projet'!$B$10,Paramètres!$A$1:$I$89,5,0)</f>
        <v>1.3371686505448743</v>
      </c>
      <c r="AK6" s="13">
        <f t="shared" si="35"/>
        <v>0.59573097109501338</v>
      </c>
      <c r="AL6" s="20">
        <f t="shared" si="4"/>
        <v>3.3664668410228042</v>
      </c>
      <c r="AM6" s="59">
        <f t="shared" si="5"/>
        <v>296.69980017435614</v>
      </c>
      <c r="AN6" s="59">
        <f ca="1">AVERAGE(OFFSET($AM$3,0,0,'Données projet'!$E$10+1,1))-AVERAGE(OFFSET($H$3,0,0,'Données projet'!$E$10+1,1))</f>
        <v>141.22849894256314</v>
      </c>
      <c r="AO6" s="59">
        <f t="shared" si="36"/>
        <v>156.12101479343704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6.2222222222222223</v>
      </c>
      <c r="BD6" s="12">
        <f>IF('Données projet'!$A$88&gt;35,BD5+BC6-BL5,IF(A6&lt;'Données projet'!$A$88,$BA$205^A6,IF(A6='Données projet'!$A$88,'Données projet'!$B$88,BD5+BC6-BL5)))</f>
        <v>2.1955146386099229</v>
      </c>
      <c r="BE6" s="13">
        <f>BD6*VLOOKUP('Données projet'!$B$11,Paramètres!$A$1:$I$89,3,0)*VLOOKUP('Données projet'!$B$11,Paramètres!$A$1:$I$89,5,0)</f>
        <v>0.97041747026558611</v>
      </c>
      <c r="BF6" s="13">
        <f t="shared" si="37"/>
        <v>0.44877503507908212</v>
      </c>
      <c r="BG6" s="20">
        <f t="shared" si="7"/>
        <v>2.4717602801419631</v>
      </c>
      <c r="BH6" s="59">
        <f t="shared" si="8"/>
        <v>295.80509361347526</v>
      </c>
      <c r="BI6" s="59">
        <f ca="1">AVERAGE(OFFSET($BH$3,0,0,'Données projet'!$E$11+1,1))-AVERAGE(OFFSET($H$3,0,0,'Données projet'!$E$11+1,1))</f>
        <v>114.25511901730295</v>
      </c>
      <c r="BJ6" s="59">
        <f t="shared" si="38"/>
        <v>180.96261947642182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2.6666666666666665</v>
      </c>
      <c r="BY6" s="12">
        <f>IF('Données projet'!$A$114&gt;35,BY5+BX6-CG5,IF(A6&lt;'Données projet'!$A$114,$BV$205^A6,IF(A6='Données projet'!$A$114,'Données projet'!$B$114,BY5+BX6-CG5)))</f>
        <v>2.0912791051825459</v>
      </c>
      <c r="BZ6" s="13">
        <f>BY6*VLOOKUP('Données projet'!$B$12,Paramètres!$A$1:$I$89,3,0)*VLOOKUP('Données projet'!$B$12,Paramètres!$A$1:$I$89,5,0)</f>
        <v>1.6311977020423858</v>
      </c>
      <c r="CA6" s="13">
        <f t="shared" si="39"/>
        <v>0.71010553443370616</v>
      </c>
      <c r="CB6" s="20">
        <f t="shared" si="10"/>
        <v>4.0777698035291934</v>
      </c>
      <c r="CC6" s="59">
        <f t="shared" si="11"/>
        <v>297.41110313686249</v>
      </c>
      <c r="CD6" s="59">
        <f ca="1">AVERAGE(OFFSET($CC$3,0,0,'Données projet'!$E$12+1,1))-AVERAGE(OFFSET($H$3,0,0,'Données projet'!$E$12+1,1))</f>
        <v>216.95993967070063</v>
      </c>
      <c r="CE6" s="59">
        <f t="shared" si="40"/>
        <v>208.79744153433245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2.6666666666666665</v>
      </c>
      <c r="CT6" s="12">
        <f>IF('Données projet'!$A$140&gt;35,CT5+CS6-DB5,IF(A6&lt;'Données projet'!$A$140,$CQ$205^A6,IF(A6='Données projet'!$A$140,'Données projet'!$B$140,CT5+CS6-DB5)))</f>
        <v>2.0912791051825459</v>
      </c>
      <c r="CU6" s="17">
        <f>CT6*VLOOKUP('Données projet'!$B$13,Paramètres!$A$1:$I$89,3,0)*VLOOKUP('Données projet'!$B$13,Paramètres!$A$1:$I$89,5,0)</f>
        <v>1.4028300237564517</v>
      </c>
      <c r="CV6" s="13">
        <f t="shared" si="41"/>
        <v>0.62150657719326441</v>
      </c>
      <c r="CW6" s="20">
        <f t="shared" si="13"/>
        <v>3.5257195799874221</v>
      </c>
      <c r="CX6" s="59">
        <f t="shared" si="14"/>
        <v>296.85905291332074</v>
      </c>
      <c r="CY6" s="59">
        <f ca="1">AVERAGE(OFFSET($CX$3,0,0,'Données projet'!$E$13+1,1))-AVERAGE(OFFSET($H$3,0,0,'Données projet'!$E$13+1,1))</f>
        <v>181.32837315090507</v>
      </c>
      <c r="CZ6" s="59">
        <f t="shared" si="42"/>
        <v>175.03267817980338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1.9</v>
      </c>
      <c r="DO6" s="12">
        <f>IF('Données projet'!$A$166&gt;35,DO5+DN6-DW5,IF(A6&lt;'Données projet'!$A$166,$DL$205^A6,IF(A6='Données projet'!$A$166,'Données projet'!$B$166,DO5+DN6-DW5)))</f>
        <v>2.4189454814875879</v>
      </c>
      <c r="DP6" s="17">
        <f>DO6*VLOOKUP('Données projet'!$B$14,Paramètres!$A$1:$I$89,3,0)*VLOOKUP('Données projet'!$B$14,Paramètres!$A$1:$I$89,5,0)</f>
        <v>1.9245130250715252</v>
      </c>
      <c r="DQ6" s="13">
        <f t="shared" si="43"/>
        <v>0.82182239561499026</v>
      </c>
      <c r="DR6" s="20">
        <f t="shared" si="16"/>
        <v>4.7832008576956815</v>
      </c>
      <c r="DS6" s="59">
        <f t="shared" si="17"/>
        <v>298.11653419102902</v>
      </c>
      <c r="DT6" s="59">
        <f ca="1">AVERAGE(OFFSET($DS$3,0,0,'Données projet'!$E$14+1,1))-AVERAGE(OFFSET($H$3,0,0,'Données projet'!$E$14+1,1))</f>
        <v>325.72928944930294</v>
      </c>
      <c r="DU6" s="59">
        <f t="shared" si="44"/>
        <v>318.38876834819752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3.65</v>
      </c>
      <c r="EJ6" s="12">
        <f>IF('Données projet'!$A$192&gt;35,EJ5+EI6-ER5,IF(A6&lt;'Données projet'!$A$192,$EG$205^A6,IF(A6='Données projet'!$A$192,'Données projet'!$B$192,EJ5+EI6-ER5)))</f>
        <v>1.9032613528593461</v>
      </c>
      <c r="EK6" s="17">
        <f>EJ6*VLOOKUP('Données projet'!$B$15,Paramètres!$A$1:$I$89,3,0)*VLOOKUP('Données projet'!$B$15,Paramètres!$A$1:$I$89,5,0)</f>
        <v>1.9299070117993768</v>
      </c>
      <c r="EL6" s="13">
        <f t="shared" si="45"/>
        <v>0.82385733708903885</v>
      </c>
      <c r="EM6" s="20">
        <f t="shared" si="19"/>
        <v>4.7961395743139903</v>
      </c>
      <c r="EN6" s="59">
        <f t="shared" si="20"/>
        <v>298.12947290764731</v>
      </c>
      <c r="EO6" s="59">
        <f ca="1">AVERAGE(OFFSET($EN$3,0,0,'Données projet'!$E$15+1,1))-AVERAGE(OFFSET($H$3,0,0,'Données projet'!$E$15+1,1))</f>
        <v>384.50065773787549</v>
      </c>
      <c r="EP6" s="59">
        <f t="shared" si="46"/>
        <v>231.92898690465887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3.65</v>
      </c>
      <c r="FE6" s="12">
        <f>IF('Données projet'!$A$218&gt;35,FE5+FD6-FM5,IF(A6&lt;'Données projet'!$A$218,$FB$205^A6,IF(A6='Données projet'!$A$218,'Données projet'!$B$218,FE5+FD6-FM5)))</f>
        <v>1.9032613528593461</v>
      </c>
      <c r="FF6" s="17">
        <f>FE6*VLOOKUP('Données projet'!$B$16,Paramètres!$A$1:$I$89,3,0)*VLOOKUP('Données projet'!$B$16,Paramètres!$A$1:$I$89,5,0)</f>
        <v>1.7220708720671365</v>
      </c>
      <c r="FG6" s="13">
        <f t="shared" si="47"/>
        <v>0.74494935243383209</v>
      </c>
      <c r="FH6" s="20">
        <f t="shared" si="22"/>
        <v>4.2967268910058536</v>
      </c>
      <c r="FI6" s="59">
        <f t="shared" si="23"/>
        <v>297.63006022433916</v>
      </c>
      <c r="FJ6" s="59">
        <f ca="1">AVERAGE(OFFSET($FI$3,0,0,'Données projet'!$E$16+1,1))-AVERAGE(OFFSET($H$3,0,0,'Données projet'!$E$16+1,1))</f>
        <v>326.46362829268969</v>
      </c>
      <c r="FK6" s="59">
        <f t="shared" si="48"/>
        <v>203.5274665601915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3.65</v>
      </c>
      <c r="FZ6" s="12">
        <f>IF('Données projet'!$A$244&gt;35,FZ5+FY6-GH5,IF(A6&lt;'Données projet'!$A$244,$FW$205^A6,IF(A6='Données projet'!$A$244,'Données projet'!$B$244,FZ5+FY6-GH5)))</f>
        <v>1.9032613528593461</v>
      </c>
      <c r="GA6" s="17">
        <f>FZ6*VLOOKUP('Données projet'!$B$17,Paramètres!$A$1:$I$89,3,0)*VLOOKUP('Données projet'!$B$17,Paramètres!$A$1:$I$89,5,0)</f>
        <v>1.8408343804855598</v>
      </c>
      <c r="GB6" s="13">
        <f t="shared" si="49"/>
        <v>0.79016732850363813</v>
      </c>
      <c r="GC6" s="20">
        <f t="shared" si="25"/>
        <v>4.5823279764895188</v>
      </c>
      <c r="GD6" s="59">
        <f t="shared" si="26"/>
        <v>297.91566130982284</v>
      </c>
      <c r="GE6" s="59">
        <f ca="1">AVERAGE(OFFSET($GD$3,0,0,'Données projet'!$E$17+1,1))-AVERAGE(OFFSET($H$3,0,0,'Données projet'!$E$17+1,1))</f>
        <v>353.24082990916918</v>
      </c>
      <c r="GF6" s="59">
        <f t="shared" si="50"/>
        <v>219.76562717496353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378.17323480030268</v>
      </c>
      <c r="T7" s="59">
        <f t="shared" si="34"/>
        <v>471.89239871617241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2.0833333333333335</v>
      </c>
      <c r="AI7" s="13">
        <f>IF('Données projet'!$A$62&gt;35,AI6+AH7-AQ6,IF(A7&lt;'Données projet'!$A$62,$AF$205^A7,IF(A7='Données projet'!$A$62,'Données projet'!$B$62,AI6+AH7-AQ6)))</f>
        <v>2.9240177382128665</v>
      </c>
      <c r="AJ7" s="13">
        <f>AI7*VLOOKUP('Données projet'!$B$10,Paramètres!$A$1:$I$89,3,0)*VLOOKUP('Données projet'!$B$10,Paramètres!$A$1:$I$89,5,0)</f>
        <v>1.7485626074512943</v>
      </c>
      <c r="AK7" s="13">
        <f t="shared" si="35"/>
        <v>0.75506642910557031</v>
      </c>
      <c r="AL7" s="20">
        <f t="shared" si="4"/>
        <v>4.3604872386698723</v>
      </c>
      <c r="AM7" s="59">
        <f t="shared" si="5"/>
        <v>297.69382057200318</v>
      </c>
      <c r="AN7" s="59">
        <f ca="1">AVERAGE(OFFSET($AM$3,0,0,'Données projet'!$E$10+1,1))-AVERAGE(OFFSET($H$3,0,0,'Données projet'!$E$10+1,1))</f>
        <v>141.22849894256314</v>
      </c>
      <c r="AO7" s="59">
        <f t="shared" si="36"/>
        <v>156.12101479343704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6.2222222222222223</v>
      </c>
      <c r="BD7" s="12">
        <f>IF('Données projet'!$A$88&gt;35,BD6+BC7-BL6,IF(A7&lt;'Données projet'!$A$88,$BA$205^A7,IF(A7='Données projet'!$A$88,'Données projet'!$B$88,BD6+BC7-BL6)))</f>
        <v>2.8535256637456983</v>
      </c>
      <c r="BE7" s="13">
        <f>BD7*VLOOKUP('Données projet'!$B$11,Paramètres!$A$1:$I$89,3,0)*VLOOKUP('Données projet'!$B$11,Paramètres!$A$1:$I$89,5,0)</f>
        <v>1.2612583433755988</v>
      </c>
      <c r="BF7" s="13">
        <f t="shared" si="37"/>
        <v>0.56574734608719679</v>
      </c>
      <c r="BG7" s="20">
        <f t="shared" si="7"/>
        <v>3.1820349091477023</v>
      </c>
      <c r="BH7" s="59">
        <f t="shared" si="8"/>
        <v>296.51536824248103</v>
      </c>
      <c r="BI7" s="59">
        <f ca="1">AVERAGE(OFFSET($BH$3,0,0,'Données projet'!$E$11+1,1))-AVERAGE(OFFSET($H$3,0,0,'Données projet'!$E$11+1,1))</f>
        <v>114.25511901730295</v>
      </c>
      <c r="BJ7" s="59">
        <f t="shared" si="38"/>
        <v>180.96261947642182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2.6666666666666665</v>
      </c>
      <c r="BY7" s="12">
        <f>IF('Données projet'!$A$114&gt;35,BY6+BX7-CG6,IF(A7&lt;'Données projet'!$A$114,$BV$205^A7,IF(A7='Données projet'!$A$114,'Données projet'!$B$114,BY6+BX7-CG6)))</f>
        <v>2.6743361672197152</v>
      </c>
      <c r="BZ7" s="13">
        <f>BY7*VLOOKUP('Données projet'!$B$12,Paramètres!$A$1:$I$89,3,0)*VLOOKUP('Données projet'!$B$12,Paramètres!$A$1:$I$89,5,0)</f>
        <v>2.0859822104313781</v>
      </c>
      <c r="CA7" s="13">
        <f t="shared" si="39"/>
        <v>0.88245976121767966</v>
      </c>
      <c r="CB7" s="20">
        <f t="shared" si="10"/>
        <v>5.1700364339554419</v>
      </c>
      <c r="CC7" s="59">
        <f t="shared" si="11"/>
        <v>298.50336976728875</v>
      </c>
      <c r="CD7" s="59">
        <f ca="1">AVERAGE(OFFSET($CC$3,0,0,'Données projet'!$E$12+1,1))-AVERAGE(OFFSET($H$3,0,0,'Données projet'!$E$12+1,1))</f>
        <v>216.95993967070063</v>
      </c>
      <c r="CE7" s="59">
        <f t="shared" si="40"/>
        <v>208.79744153433245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2.6666666666666665</v>
      </c>
      <c r="CT7" s="12">
        <f>IF('Données projet'!$A$140&gt;35,CT6+CS7-DB6,IF(A7&lt;'Données projet'!$A$140,$CQ$205^A7,IF(A7='Données projet'!$A$140,'Données projet'!$B$140,CT6+CS7-DB6)))</f>
        <v>2.6743361672197152</v>
      </c>
      <c r="CU7" s="17">
        <f>CT7*VLOOKUP('Données projet'!$B$13,Paramètres!$A$1:$I$89,3,0)*VLOOKUP('Données projet'!$B$13,Paramètres!$A$1:$I$89,5,0)</f>
        <v>1.7939447009709848</v>
      </c>
      <c r="CV7" s="13">
        <f t="shared" si="41"/>
        <v>0.77235638804387863</v>
      </c>
      <c r="CW7" s="20">
        <f t="shared" si="13"/>
        <v>4.4696410633675532</v>
      </c>
      <c r="CX7" s="59">
        <f t="shared" si="14"/>
        <v>297.80297439670085</v>
      </c>
      <c r="CY7" s="59">
        <f ca="1">AVERAGE(OFFSET($CX$3,0,0,'Données projet'!$E$13+1,1))-AVERAGE(OFFSET($H$3,0,0,'Données projet'!$E$13+1,1))</f>
        <v>181.32837315090507</v>
      </c>
      <c r="CZ7" s="59">
        <f t="shared" si="42"/>
        <v>175.03267817980338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1.9</v>
      </c>
      <c r="DO7" s="12">
        <f>IF('Données projet'!$A$166&gt;35,DO6+DN7-DW6,IF(A7&lt;'Données projet'!$A$166,$DL$205^A7,IF(A7='Données projet'!$A$166,'Données projet'!$B$166,DO6+DN7-DW6)))</f>
        <v>3.247143191135669</v>
      </c>
      <c r="DP7" s="17">
        <f>DO7*VLOOKUP('Données projet'!$B$14,Paramètres!$A$1:$I$89,3,0)*VLOOKUP('Données projet'!$B$14,Paramètres!$A$1:$I$89,5,0)</f>
        <v>2.5834271228675387</v>
      </c>
      <c r="DQ7" s="13">
        <f t="shared" si="43"/>
        <v>1.066028069701316</v>
      </c>
      <c r="DR7" s="20">
        <f t="shared" si="16"/>
        <v>6.3561344603907548</v>
      </c>
      <c r="DS7" s="59">
        <f t="shared" si="17"/>
        <v>299.68946779372408</v>
      </c>
      <c r="DT7" s="59">
        <f ca="1">AVERAGE(OFFSET($DS$3,0,0,'Données projet'!$E$14+1,1))-AVERAGE(OFFSET($H$3,0,0,'Données projet'!$E$14+1,1))</f>
        <v>325.72928944930294</v>
      </c>
      <c r="DU7" s="59">
        <f t="shared" si="44"/>
        <v>318.38876834819752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3.65</v>
      </c>
      <c r="EJ7" s="12">
        <f>IF('Données projet'!$A$192&gt;35,EJ6+EI7-ER6,IF(A7&lt;'Données projet'!$A$192,$EG$205^A7,IF(A7='Données projet'!$A$192,'Données projet'!$B$192,EJ6+EI7-ER6)))</f>
        <v>2.3586558182407358</v>
      </c>
      <c r="EK7" s="17">
        <f>EJ7*VLOOKUP('Données projet'!$B$15,Paramètres!$A$1:$I$89,3,0)*VLOOKUP('Données projet'!$B$15,Paramètres!$A$1:$I$89,5,0)</f>
        <v>2.3916769996961063</v>
      </c>
      <c r="EL7" s="13">
        <f t="shared" si="45"/>
        <v>0.9958034297612971</v>
      </c>
      <c r="EM7" s="20">
        <f t="shared" si="19"/>
        <v>5.8998617479716442</v>
      </c>
      <c r="EN7" s="59">
        <f t="shared" si="20"/>
        <v>299.23319508130498</v>
      </c>
      <c r="EO7" s="59">
        <f ca="1">AVERAGE(OFFSET($EN$3,0,0,'Données projet'!$E$15+1,1))-AVERAGE(OFFSET($H$3,0,0,'Données projet'!$E$15+1,1))</f>
        <v>384.50065773787549</v>
      </c>
      <c r="EP7" s="59">
        <f t="shared" si="46"/>
        <v>231.92898690465887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3.65</v>
      </c>
      <c r="FE7" s="12">
        <f>IF('Données projet'!$A$218&gt;35,FE6+FD7-FM6,IF(A7&lt;'Données projet'!$A$218,$FB$205^A7,IF(A7='Données projet'!$A$218,'Données projet'!$B$218,FE6+FD7-FM6)))</f>
        <v>2.3586558182407358</v>
      </c>
      <c r="FF7" s="17">
        <f>FE7*VLOOKUP('Données projet'!$B$16,Paramètres!$A$1:$I$89,3,0)*VLOOKUP('Données projet'!$B$16,Paramètres!$A$1:$I$89,5,0)</f>
        <v>2.1341117843442179</v>
      </c>
      <c r="FG7" s="13">
        <f t="shared" si="47"/>
        <v>0.90042667189585779</v>
      </c>
      <c r="FH7" s="20">
        <f t="shared" si="22"/>
        <v>5.2851544779514645</v>
      </c>
      <c r="FI7" s="59">
        <f t="shared" si="23"/>
        <v>298.61848781128475</v>
      </c>
      <c r="FJ7" s="59">
        <f ca="1">AVERAGE(OFFSET($FI$3,0,0,'Données projet'!$E$16+1,1))-AVERAGE(OFFSET($H$3,0,0,'Données projet'!$E$16+1,1))</f>
        <v>326.46362829268969</v>
      </c>
      <c r="FK7" s="59">
        <f t="shared" si="48"/>
        <v>203.5274665601915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3.65</v>
      </c>
      <c r="FZ7" s="12">
        <f>IF('Données projet'!$A$244&gt;35,FZ6+FY7-GH6,IF(A7&lt;'Données projet'!$A$244,$FW$205^A7,IF(A7='Données projet'!$A$244,'Données projet'!$B$244,FZ6+FY7-GH6)))</f>
        <v>2.3586558182407358</v>
      </c>
      <c r="GA7" s="17">
        <f>FZ7*VLOOKUP('Données projet'!$B$17,Paramètres!$A$1:$I$89,3,0)*VLOOKUP('Données projet'!$B$17,Paramètres!$A$1:$I$89,5,0)</f>
        <v>2.2812919074024398</v>
      </c>
      <c r="GB7" s="13">
        <f t="shared" si="49"/>
        <v>0.95508202741684722</v>
      </c>
      <c r="GC7" s="20">
        <f t="shared" si="25"/>
        <v>5.6366846031435918</v>
      </c>
      <c r="GD7" s="59">
        <f t="shared" si="26"/>
        <v>298.97001793647689</v>
      </c>
      <c r="GE7" s="59">
        <f ca="1">AVERAGE(OFFSET($GD$3,0,0,'Données projet'!$E$17+1,1))-AVERAGE(OFFSET($H$3,0,0,'Données projet'!$E$17+1,1))</f>
        <v>353.24082990916918</v>
      </c>
      <c r="GF7" s="59">
        <f t="shared" si="50"/>
        <v>219.76562717496353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378.17323480030268</v>
      </c>
      <c r="T8" s="59">
        <f t="shared" si="34"/>
        <v>471.89239871617241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2.0833333333333335</v>
      </c>
      <c r="AI8" s="13">
        <f>IF('Données projet'!$A$62&gt;35,AI7+AH8-AQ7,IF(A8&lt;'Données projet'!$A$62,$AF$205^A8,IF(A8='Données projet'!$A$62,'Données projet'!$B$62,AI7+AH8-AQ7)))</f>
        <v>3.8236224566586507</v>
      </c>
      <c r="AJ8" s="13">
        <f>AI8*VLOOKUP('Données projet'!$B$10,Paramètres!$A$1:$I$89,3,0)*VLOOKUP('Données projet'!$B$10,Paramètres!$A$1:$I$89,5,0)</f>
        <v>2.2865262290818733</v>
      </c>
      <c r="AK8" s="13">
        <f t="shared" si="35"/>
        <v>0.95701808370696195</v>
      </c>
      <c r="AL8" s="20">
        <f t="shared" si="4"/>
        <v>5.6491730114405536</v>
      </c>
      <c r="AM8" s="59">
        <f t="shared" si="5"/>
        <v>298.98250634477387</v>
      </c>
      <c r="AN8" s="59">
        <f ca="1">AVERAGE(OFFSET($AM$3,0,0,'Données projet'!$E$10+1,1))-AVERAGE(OFFSET($H$3,0,0,'Données projet'!$E$10+1,1))</f>
        <v>141.22849894256314</v>
      </c>
      <c r="AO8" s="59">
        <f t="shared" si="36"/>
        <v>156.12101479343704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6.2222222222222223</v>
      </c>
      <c r="BD8" s="12">
        <f>IF('Données projet'!$A$88&gt;35,BD7+BC8-BL7,IF(A8&lt;'Données projet'!$A$88,$BA$205^A8,IF(A8='Données projet'!$A$88,'Données projet'!$B$88,BD7+BC8-BL7)))</f>
        <v>3.7087471750180505</v>
      </c>
      <c r="BE8" s="13">
        <f>BD8*VLOOKUP('Données projet'!$B$11,Paramètres!$A$1:$I$89,3,0)*VLOOKUP('Données projet'!$B$11,Paramètres!$A$1:$I$89,5,0)</f>
        <v>1.6392662513579785</v>
      </c>
      <c r="BF8" s="13">
        <f t="shared" si="37"/>
        <v>0.71320825488499917</v>
      </c>
      <c r="BG8" s="20">
        <f t="shared" si="7"/>
        <v>4.0972264317065195</v>
      </c>
      <c r="BH8" s="59">
        <f t="shared" si="8"/>
        <v>297.43055976503985</v>
      </c>
      <c r="BI8" s="59">
        <f ca="1">AVERAGE(OFFSET($BH$3,0,0,'Données projet'!$E$11+1,1))-AVERAGE(OFFSET($H$3,0,0,'Données projet'!$E$11+1,1))</f>
        <v>114.25511901730295</v>
      </c>
      <c r="BJ8" s="59">
        <f t="shared" si="38"/>
        <v>180.96261947642182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2.6666666666666665</v>
      </c>
      <c r="BY8" s="12">
        <f>IF('Données projet'!$A$114&gt;35,BY7+BX8-CG7,IF(A8&lt;'Données projet'!$A$114,$BV$205^A8,IF(A8='Données projet'!$A$114,'Données projet'!$B$114,BY7+BX8-CG7)))</f>
        <v>3.4199518933533928</v>
      </c>
      <c r="BZ8" s="13">
        <f>BY8*VLOOKUP('Données projet'!$B$12,Paramètres!$A$1:$I$89,3,0)*VLOOKUP('Données projet'!$B$12,Paramètres!$A$1:$I$89,5,0)</f>
        <v>2.6675624768156463</v>
      </c>
      <c r="CA8" s="13">
        <f t="shared" si="39"/>
        <v>1.0966471776471767</v>
      </c>
      <c r="CB8" s="20">
        <f t="shared" si="10"/>
        <v>6.5559984815227494</v>
      </c>
      <c r="CC8" s="59">
        <f t="shared" si="11"/>
        <v>299.88933181485606</v>
      </c>
      <c r="CD8" s="59">
        <f ca="1">AVERAGE(OFFSET($CC$3,0,0,'Données projet'!$E$12+1,1))-AVERAGE(OFFSET($H$3,0,0,'Données projet'!$E$12+1,1))</f>
        <v>216.95993967070063</v>
      </c>
      <c r="CE8" s="59">
        <f t="shared" si="40"/>
        <v>208.79744153433245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2.6666666666666665</v>
      </c>
      <c r="CT8" s="12">
        <f>IF('Données projet'!$A$140&gt;35,CT7+CS8-DB7,IF(A8&lt;'Données projet'!$A$140,$CQ$205^A8,IF(A8='Données projet'!$A$140,'Données projet'!$B$140,CT7+CS8-DB7)))</f>
        <v>3.4199518933533928</v>
      </c>
      <c r="CU8" s="17">
        <f>CT8*VLOOKUP('Données projet'!$B$13,Paramètres!$A$1:$I$89,3,0)*VLOOKUP('Données projet'!$B$13,Paramètres!$A$1:$I$89,5,0)</f>
        <v>2.294103730061456</v>
      </c>
      <c r="CV8" s="13">
        <f t="shared" si="41"/>
        <v>0.95981991509429754</v>
      </c>
      <c r="CW8" s="20">
        <f t="shared" si="13"/>
        <v>5.6672503486462702</v>
      </c>
      <c r="CX8" s="59">
        <f t="shared" si="14"/>
        <v>299.00058368197961</v>
      </c>
      <c r="CY8" s="59">
        <f ca="1">AVERAGE(OFFSET($CX$3,0,0,'Données projet'!$E$13+1,1))-AVERAGE(OFFSET($H$3,0,0,'Données projet'!$E$13+1,1))</f>
        <v>181.32837315090507</v>
      </c>
      <c r="CZ8" s="59">
        <f t="shared" si="42"/>
        <v>175.03267817980338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1.9</v>
      </c>
      <c r="DO8" s="12">
        <f>IF('Données projet'!$A$166&gt;35,DO7+DN8-DW7,IF(A8&lt;'Données projet'!$A$166,$DL$205^A8,IF(A8='Données projet'!$A$166,'Données projet'!$B$166,DO7+DN8-DW7)))</f>
        <v>4.3588989435406749</v>
      </c>
      <c r="DP8" s="17">
        <f>DO8*VLOOKUP('Données projet'!$B$14,Paramètres!$A$1:$I$89,3,0)*VLOOKUP('Données projet'!$B$14,Paramètres!$A$1:$I$89,5,0)</f>
        <v>3.467939999480961</v>
      </c>
      <c r="DQ8" s="13">
        <f t="shared" si="43"/>
        <v>1.382799801337496</v>
      </c>
      <c r="DR8" s="20">
        <f t="shared" si="16"/>
        <v>8.4483718197588118</v>
      </c>
      <c r="DS8" s="59">
        <f t="shared" si="17"/>
        <v>301.7817051530921</v>
      </c>
      <c r="DT8" s="59">
        <f ca="1">AVERAGE(OFFSET($DS$3,0,0,'Données projet'!$E$14+1,1))-AVERAGE(OFFSET($H$3,0,0,'Données projet'!$E$14+1,1))</f>
        <v>325.72928944930294</v>
      </c>
      <c r="DU8" s="59">
        <f t="shared" si="44"/>
        <v>318.38876834819752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3.65</v>
      </c>
      <c r="EJ8" s="12">
        <f>IF('Données projet'!$A$192&gt;35,EJ7+EI8-ER7,IF(A8&lt;'Données projet'!$A$192,$EG$205^A8,IF(A8='Données projet'!$A$192,'Données projet'!$B$192,EJ7+EI8-ER7)))</f>
        <v>2.9230127856917649</v>
      </c>
      <c r="EK8" s="17">
        <f>EJ8*VLOOKUP('Données projet'!$B$15,Paramètres!$A$1:$I$89,3,0)*VLOOKUP('Données projet'!$B$15,Paramètres!$A$1:$I$89,5,0)</f>
        <v>2.9639349646914495</v>
      </c>
      <c r="EL8" s="13">
        <f t="shared" si="45"/>
        <v>1.2036361467970902</v>
      </c>
      <c r="EM8" s="20">
        <f t="shared" si="19"/>
        <v>7.2585196858425398</v>
      </c>
      <c r="EN8" s="59">
        <f t="shared" si="20"/>
        <v>300.59185301917586</v>
      </c>
      <c r="EO8" s="59">
        <f ca="1">AVERAGE(OFFSET($EN$3,0,0,'Données projet'!$E$15+1,1))-AVERAGE(OFFSET($H$3,0,0,'Données projet'!$E$15+1,1))</f>
        <v>384.50065773787549</v>
      </c>
      <c r="EP8" s="59">
        <f t="shared" si="46"/>
        <v>231.92898690465887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3.65</v>
      </c>
      <c r="FE8" s="12">
        <f>IF('Données projet'!$A$218&gt;35,FE7+FD8-FM7,IF(A8&lt;'Données projet'!$A$218,$FB$205^A8,IF(A8='Données projet'!$A$218,'Données projet'!$B$218,FE7+FD8-FM7)))</f>
        <v>2.9230127856917649</v>
      </c>
      <c r="FF8" s="17">
        <f>FE8*VLOOKUP('Données projet'!$B$16,Paramètres!$A$1:$I$89,3,0)*VLOOKUP('Données projet'!$B$16,Paramètres!$A$1:$I$89,5,0)</f>
        <v>2.6447419684939089</v>
      </c>
      <c r="FG8" s="13">
        <f t="shared" si="47"/>
        <v>1.0883534414958294</v>
      </c>
      <c r="FH8" s="20">
        <f t="shared" si="22"/>
        <v>6.5018078390654601</v>
      </c>
      <c r="FI8" s="59">
        <f t="shared" si="23"/>
        <v>299.83514117239878</v>
      </c>
      <c r="FJ8" s="59">
        <f ca="1">AVERAGE(OFFSET($FI$3,0,0,'Données projet'!$E$16+1,1))-AVERAGE(OFFSET($H$3,0,0,'Données projet'!$E$16+1,1))</f>
        <v>326.46362829268969</v>
      </c>
      <c r="FK8" s="59">
        <f t="shared" si="48"/>
        <v>203.5274665601915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3.65</v>
      </c>
      <c r="FZ8" s="12">
        <f>IF('Données projet'!$A$244&gt;35,FZ7+FY8-GH7,IF(A8&lt;'Données projet'!$A$244,$FW$205^A8,IF(A8='Données projet'!$A$244,'Données projet'!$B$244,FZ7+FY8-GH7)))</f>
        <v>2.9230127856917649</v>
      </c>
      <c r="GA8" s="17">
        <f>FZ8*VLOOKUP('Données projet'!$B$17,Paramètres!$A$1:$I$89,3,0)*VLOOKUP('Données projet'!$B$17,Paramètres!$A$1:$I$89,5,0)</f>
        <v>2.8271379663210752</v>
      </c>
      <c r="GB8" s="13">
        <f t="shared" si="49"/>
        <v>1.1544158385061292</v>
      </c>
      <c r="GC8" s="20">
        <f t="shared" si="25"/>
        <v>6.9345395434073795</v>
      </c>
      <c r="GD8" s="59">
        <f t="shared" si="26"/>
        <v>300.26787287674068</v>
      </c>
      <c r="GE8" s="59">
        <f ca="1">AVERAGE(OFFSET($GD$3,0,0,'Données projet'!$E$17+1,1))-AVERAGE(OFFSET($H$3,0,0,'Données projet'!$E$17+1,1))</f>
        <v>353.24082990916918</v>
      </c>
      <c r="GF8" s="59">
        <f t="shared" si="50"/>
        <v>219.76562717496353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378.17323480030268</v>
      </c>
      <c r="T9" s="59">
        <f t="shared" si="34"/>
        <v>471.89239871617241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2.0833333333333335</v>
      </c>
      <c r="AI9" s="13">
        <f>IF('Données projet'!$A$62&gt;35,AI8+AH9-AQ8,IF(A9&lt;'Données projet'!$A$62,$AF$205^A9,IF(A9='Données projet'!$A$62,'Données projet'!$B$62,AI8+AH9-AQ8)))</f>
        <v>5.0000000000000009</v>
      </c>
      <c r="AJ9" s="13">
        <f>AI9*VLOOKUP('Données projet'!$B$10,Paramètres!$A$1:$I$89,3,0)*VLOOKUP('Données projet'!$B$10,Paramètres!$A$1:$I$89,5,0)</f>
        <v>2.9900000000000011</v>
      </c>
      <c r="AK9" s="13">
        <f t="shared" si="35"/>
        <v>1.212984152436859</v>
      </c>
      <c r="AL9" s="20">
        <f t="shared" si="4"/>
        <v>7.3201973988275313</v>
      </c>
      <c r="AM9" s="59">
        <f t="shared" si="5"/>
        <v>300.65353073216085</v>
      </c>
      <c r="AN9" s="59">
        <f ca="1">AVERAGE(OFFSET($AM$3,0,0,'Données projet'!$E$10+1,1))-AVERAGE(OFFSET($H$3,0,0,'Données projet'!$E$10+1,1))</f>
        <v>141.22849894256314</v>
      </c>
      <c r="AO9" s="59">
        <f t="shared" si="36"/>
        <v>156.12101479343704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6.2222222222222223</v>
      </c>
      <c r="BD9" s="12">
        <f>IF('Données projet'!$A$88&gt;35,BD8+BC9-BL8,IF(A9&lt;'Données projet'!$A$88,$BA$205^A9,IF(A9='Données projet'!$A$88,'Données projet'!$B$88,BD8+BC9-BL8)))</f>
        <v>4.8202845283504612</v>
      </c>
      <c r="BE9" s="13">
        <f>BD9*VLOOKUP('Données projet'!$B$11,Paramètres!$A$1:$I$89,3,0)*VLOOKUP('Données projet'!$B$11,Paramètres!$A$1:$I$89,5,0)</f>
        <v>2.1305657615309039</v>
      </c>
      <c r="BF9" s="13">
        <f t="shared" si="37"/>
        <v>0.89910455321465499</v>
      </c>
      <c r="BG9" s="20">
        <f t="shared" si="7"/>
        <v>5.2766757981818477</v>
      </c>
      <c r="BH9" s="59">
        <f t="shared" si="8"/>
        <v>298.61000913151514</v>
      </c>
      <c r="BI9" s="59">
        <f ca="1">AVERAGE(OFFSET($BH$3,0,0,'Données projet'!$E$11+1,1))-AVERAGE(OFFSET($H$3,0,0,'Données projet'!$E$11+1,1))</f>
        <v>114.25511901730295</v>
      </c>
      <c r="BJ9" s="59">
        <f t="shared" si="38"/>
        <v>180.96261947642182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2.6666666666666665</v>
      </c>
      <c r="BY9" s="12">
        <f>IF('Données projet'!$A$114&gt;35,BY8+BX9-CG8,IF(A9&lt;'Données projet'!$A$114,$BV$205^A9,IF(A9='Données projet'!$A$114,'Données projet'!$B$114,BY8+BX9-CG8)))</f>
        <v>4.3734482957731098</v>
      </c>
      <c r="BZ9" s="13">
        <f>BY9*VLOOKUP('Données projet'!$B$12,Paramètres!$A$1:$I$89,3,0)*VLOOKUP('Données projet'!$B$12,Paramètres!$A$1:$I$89,5,0)</f>
        <v>3.4112896707030256</v>
      </c>
      <c r="CA9" s="13">
        <f t="shared" si="39"/>
        <v>1.3628213830192535</v>
      </c>
      <c r="CB9" s="20">
        <f t="shared" si="10"/>
        <v>8.3149100852329703</v>
      </c>
      <c r="CC9" s="59">
        <f t="shared" si="11"/>
        <v>301.64824341856627</v>
      </c>
      <c r="CD9" s="59">
        <f ca="1">AVERAGE(OFFSET($CC$3,0,0,'Données projet'!$E$12+1,1))-AVERAGE(OFFSET($H$3,0,0,'Données projet'!$E$12+1,1))</f>
        <v>216.95993967070063</v>
      </c>
      <c r="CE9" s="59">
        <f t="shared" si="40"/>
        <v>208.79744153433245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2.6666666666666665</v>
      </c>
      <c r="CT9" s="12">
        <f>IF('Données projet'!$A$140&gt;35,CT8+CS9-DB8,IF(A9&lt;'Données projet'!$A$140,$CQ$205^A9,IF(A9='Données projet'!$A$140,'Données projet'!$B$140,CT8+CS9-DB8)))</f>
        <v>4.3734482957731098</v>
      </c>
      <c r="CU9" s="17">
        <f>CT9*VLOOKUP('Données projet'!$B$13,Paramètres!$A$1:$I$89,3,0)*VLOOKUP('Données projet'!$B$13,Paramètres!$A$1:$I$89,5,0)</f>
        <v>2.9337091168046019</v>
      </c>
      <c r="CV9" s="13">
        <f t="shared" si="41"/>
        <v>1.1927839060732757</v>
      </c>
      <c r="CW9" s="20">
        <f t="shared" si="13"/>
        <v>7.1869753481789695</v>
      </c>
      <c r="CX9" s="59">
        <f t="shared" si="14"/>
        <v>300.52030868151229</v>
      </c>
      <c r="CY9" s="59">
        <f ca="1">AVERAGE(OFFSET($CX$3,0,0,'Données projet'!$E$13+1,1))-AVERAGE(OFFSET($H$3,0,0,'Données projet'!$E$13+1,1))</f>
        <v>181.32837315090507</v>
      </c>
      <c r="CZ9" s="59">
        <f t="shared" si="42"/>
        <v>175.03267817980338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1.9</v>
      </c>
      <c r="DO9" s="12">
        <f>IF('Données projet'!$A$166&gt;35,DO8+DN9-DW8,IF(A9&lt;'Données projet'!$A$166,$DL$205^A9,IF(A9='Données projet'!$A$166,'Données projet'!$B$166,DO8+DN9-DW8)))</f>
        <v>5.8512972424092187</v>
      </c>
      <c r="DP9" s="17">
        <f>DO9*VLOOKUP('Données projet'!$B$14,Paramètres!$A$1:$I$89,3,0)*VLOOKUP('Données projet'!$B$14,Paramètres!$A$1:$I$89,5,0)</f>
        <v>4.6552920860607747</v>
      </c>
      <c r="DQ9" s="13">
        <f t="shared" si="43"/>
        <v>1.7937006960002178</v>
      </c>
      <c r="DR9" s="20">
        <f t="shared" si="16"/>
        <v>11.231995762089561</v>
      </c>
      <c r="DS9" s="59">
        <f t="shared" si="17"/>
        <v>304.5653290954229</v>
      </c>
      <c r="DT9" s="59">
        <f ca="1">AVERAGE(OFFSET($DS$3,0,0,'Données projet'!$E$14+1,1))-AVERAGE(OFFSET($H$3,0,0,'Données projet'!$E$14+1,1))</f>
        <v>325.72928944930294</v>
      </c>
      <c r="DU9" s="59">
        <f t="shared" si="44"/>
        <v>318.38876834819752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3.65</v>
      </c>
      <c r="EJ9" s="12">
        <f>IF('Données projet'!$A$192&gt;35,EJ8+EI9-ER8,IF(A9&lt;'Données projet'!$A$192,$EG$205^A9,IF(A9='Données projet'!$A$192,'Données projet'!$B$192,EJ8+EI9-ER8)))</f>
        <v>3.6224037772879885</v>
      </c>
      <c r="EK9" s="17">
        <f>EJ9*VLOOKUP('Données projet'!$B$15,Paramètres!$A$1:$I$89,3,0)*VLOOKUP('Données projet'!$B$15,Paramètres!$A$1:$I$89,5,0)</f>
        <v>3.6731174301700205</v>
      </c>
      <c r="EL9" s="13">
        <f t="shared" si="45"/>
        <v>1.4548453345092642</v>
      </c>
      <c r="EM9" s="20">
        <f t="shared" si="19"/>
        <v>8.9312018151497536</v>
      </c>
      <c r="EN9" s="59">
        <f t="shared" si="20"/>
        <v>302.26453514848305</v>
      </c>
      <c r="EO9" s="59">
        <f ca="1">AVERAGE(OFFSET($EN$3,0,0,'Données projet'!$E$15+1,1))-AVERAGE(OFFSET($H$3,0,0,'Données projet'!$E$15+1,1))</f>
        <v>384.50065773787549</v>
      </c>
      <c r="EP9" s="59">
        <f t="shared" si="46"/>
        <v>231.92898690465887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3.65</v>
      </c>
      <c r="FE9" s="12">
        <f>IF('Données projet'!$A$218&gt;35,FE8+FD9-FM8,IF(A9&lt;'Données projet'!$A$218,$FB$205^A9,IF(A9='Données projet'!$A$218,'Données projet'!$B$218,FE8+FD9-FM8)))</f>
        <v>3.6224037772879885</v>
      </c>
      <c r="FF9" s="17">
        <f>FE9*VLOOKUP('Données projet'!$B$16,Paramètres!$A$1:$I$89,3,0)*VLOOKUP('Données projet'!$B$16,Paramètres!$A$1:$I$89,5,0)</f>
        <v>3.2775509376901719</v>
      </c>
      <c r="FG9" s="13">
        <f t="shared" si="47"/>
        <v>1.315502139804245</v>
      </c>
      <c r="FH9" s="20">
        <f t="shared" si="22"/>
        <v>7.9995674433027766</v>
      </c>
      <c r="FI9" s="59">
        <f t="shared" si="23"/>
        <v>301.33290077663611</v>
      </c>
      <c r="FJ9" s="59">
        <f ca="1">AVERAGE(OFFSET($FI$3,0,0,'Données projet'!$E$16+1,1))-AVERAGE(OFFSET($H$3,0,0,'Données projet'!$E$16+1,1))</f>
        <v>326.46362829268969</v>
      </c>
      <c r="FK9" s="59">
        <f t="shared" si="48"/>
        <v>203.5274665601915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3.65</v>
      </c>
      <c r="FZ9" s="12">
        <f>IF('Données projet'!$A$244&gt;35,FZ8+FY9-GH8,IF(A9&lt;'Données projet'!$A$244,$FW$205^A9,IF(A9='Données projet'!$A$244,'Données projet'!$B$244,FZ8+FY9-GH8)))</f>
        <v>3.6224037772879885</v>
      </c>
      <c r="GA9" s="17">
        <f>FZ9*VLOOKUP('Données projet'!$B$17,Paramètres!$A$1:$I$89,3,0)*VLOOKUP('Données projet'!$B$17,Paramètres!$A$1:$I$89,5,0)</f>
        <v>3.5035889333929422</v>
      </c>
      <c r="GB9" s="13">
        <f t="shared" si="49"/>
        <v>1.3953523257036018</v>
      </c>
      <c r="GC9" s="20">
        <f t="shared" si="25"/>
        <v>8.5323226929264795</v>
      </c>
      <c r="GD9" s="59">
        <f t="shared" si="26"/>
        <v>301.86565602625978</v>
      </c>
      <c r="GE9" s="59">
        <f ca="1">AVERAGE(OFFSET($GD$3,0,0,'Données projet'!$E$17+1,1))-AVERAGE(OFFSET($H$3,0,0,'Données projet'!$E$17+1,1))</f>
        <v>353.24082990916918</v>
      </c>
      <c r="GF9" s="59">
        <f t="shared" si="50"/>
        <v>219.76562717496353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378.17323480030268</v>
      </c>
      <c r="T10" s="59">
        <f t="shared" si="34"/>
        <v>471.89239871617241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2.0833333333333335</v>
      </c>
      <c r="AI10" s="13">
        <f>IF('Données projet'!$A$62&gt;35,AI9+AH10-AQ9,IF(A10&lt;'Données projet'!$A$62,$AF$205^A10,IF(A10='Données projet'!$A$62,'Données projet'!$B$62,AI9+AH10-AQ9)))</f>
        <v>6.5383024300591543</v>
      </c>
      <c r="AJ10" s="13">
        <f>AI10*VLOOKUP('Données projet'!$B$10,Paramètres!$A$1:$I$89,3,0)*VLOOKUP('Données projet'!$B$10,Paramètres!$A$1:$I$89,5,0)</f>
        <v>3.9099048531753748</v>
      </c>
      <c r="AK10" s="13">
        <f t="shared" si="35"/>
        <v>1.5374114440594884</v>
      </c>
      <c r="AL10" s="20">
        <f t="shared" si="4"/>
        <v>9.4874092176840534</v>
      </c>
      <c r="AM10" s="59">
        <f t="shared" si="5"/>
        <v>302.82074255101736</v>
      </c>
      <c r="AN10" s="59">
        <f ca="1">AVERAGE(OFFSET($AM$3,0,0,'Données projet'!$E$10+1,1))-AVERAGE(OFFSET($H$3,0,0,'Données projet'!$E$10+1,1))</f>
        <v>141.22849894256314</v>
      </c>
      <c r="AO10" s="59">
        <f t="shared" si="36"/>
        <v>156.12101479343704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6.2222222222222223</v>
      </c>
      <c r="BD10" s="12">
        <f>IF('Données projet'!$A$88&gt;35,BD9+BC10-BL9,IF(A10&lt;'Données projet'!$A$88,$BA$205^A10,IF(A10='Données projet'!$A$88,'Données projet'!$B$88,BD9+BC10-BL9)))</f>
        <v>6.2649573664027773</v>
      </c>
      <c r="BE10" s="13">
        <f>BD10*VLOOKUP('Données projet'!$B$11,Paramètres!$A$1:$I$89,3,0)*VLOOKUP('Données projet'!$B$11,Paramètres!$A$1:$I$89,5,0)</f>
        <v>2.7691111559500281</v>
      </c>
      <c r="BF10" s="13">
        <f t="shared" si="37"/>
        <v>1.1334543481155763</v>
      </c>
      <c r="BG10" s="20">
        <f t="shared" si="7"/>
        <v>6.7969682529142608</v>
      </c>
      <c r="BH10" s="59">
        <f t="shared" si="8"/>
        <v>300.13030158624758</v>
      </c>
      <c r="BI10" s="59">
        <f ca="1">AVERAGE(OFFSET($BH$3,0,0,'Données projet'!$E$11+1,1))-AVERAGE(OFFSET($H$3,0,0,'Données projet'!$E$11+1,1))</f>
        <v>114.25511901730295</v>
      </c>
      <c r="BJ10" s="59">
        <f t="shared" si="38"/>
        <v>180.96261947642182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2.6666666666666665</v>
      </c>
      <c r="BY10" s="12">
        <f>IF('Données projet'!$A$114&gt;35,BY9+BX10-CG9,IF(A10&lt;'Données projet'!$A$114,$BV$205^A10,IF(A10='Données projet'!$A$114,'Données projet'!$B$114,BY9+BX10-CG9)))</f>
        <v>5.5927833467405659</v>
      </c>
      <c r="BZ10" s="13">
        <f>BY10*VLOOKUP('Données projet'!$B$12,Paramètres!$A$1:$I$89,3,0)*VLOOKUP('Données projet'!$B$12,Paramètres!$A$1:$I$89,5,0)</f>
        <v>4.3623710104576414</v>
      </c>
      <c r="CA10" s="13">
        <f t="shared" si="39"/>
        <v>1.6936004212396314</v>
      </c>
      <c r="CB10" s="20">
        <f t="shared" si="10"/>
        <v>10.54748357687275</v>
      </c>
      <c r="CC10" s="59">
        <f t="shared" si="11"/>
        <v>303.88081691020608</v>
      </c>
      <c r="CD10" s="59">
        <f ca="1">AVERAGE(OFFSET($CC$3,0,0,'Données projet'!$E$12+1,1))-AVERAGE(OFFSET($H$3,0,0,'Données projet'!$E$12+1,1))</f>
        <v>216.95993967070063</v>
      </c>
      <c r="CE10" s="59">
        <f t="shared" si="40"/>
        <v>208.79744153433245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2.6666666666666665</v>
      </c>
      <c r="CT10" s="12">
        <f>IF('Données projet'!$A$140&gt;35,CT9+CS10-DB9,IF(A10&lt;'Données projet'!$A$140,$CQ$205^A10,IF(A10='Données projet'!$A$140,'Données projet'!$B$140,CT9+CS10-DB9)))</f>
        <v>5.5927833467405659</v>
      </c>
      <c r="CU10" s="17">
        <f>CT10*VLOOKUP('Données projet'!$B$13,Paramètres!$A$1:$I$89,3,0)*VLOOKUP('Données projet'!$B$13,Paramètres!$A$1:$I$89,5,0)</f>
        <v>3.7516390689935712</v>
      </c>
      <c r="CV10" s="13">
        <f t="shared" si="41"/>
        <v>1.4822920677236051</v>
      </c>
      <c r="CW10" s="20">
        <f t="shared" si="13"/>
        <v>9.115763396449081</v>
      </c>
      <c r="CX10" s="59">
        <f t="shared" si="14"/>
        <v>302.44909672978241</v>
      </c>
      <c r="CY10" s="59">
        <f ca="1">AVERAGE(OFFSET($CX$3,0,0,'Données projet'!$E$13+1,1))-AVERAGE(OFFSET($H$3,0,0,'Données projet'!$E$13+1,1))</f>
        <v>181.32837315090507</v>
      </c>
      <c r="CZ10" s="59">
        <f t="shared" si="42"/>
        <v>175.03267817980338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1.9</v>
      </c>
      <c r="DO10" s="12">
        <f>IF('Données projet'!$A$166&gt;35,DO9+DN10-DW9,IF(A10&lt;'Données projet'!$A$166,$DL$205^A10,IF(A10='Données projet'!$A$166,'Données projet'!$B$166,DO9+DN10-DW9)))</f>
        <v>7.8546623499408135</v>
      </c>
      <c r="DP10" s="17">
        <f>DO10*VLOOKUP('Données projet'!$B$14,Paramètres!$A$1:$I$89,3,0)*VLOOKUP('Données projet'!$B$14,Paramètres!$A$1:$I$89,5,0)</f>
        <v>6.2491693656129108</v>
      </c>
      <c r="DQ10" s="13">
        <f t="shared" si="43"/>
        <v>2.326701366112224</v>
      </c>
      <c r="DR10" s="20">
        <f t="shared" si="16"/>
        <v>14.936308191087944</v>
      </c>
      <c r="DS10" s="59">
        <f t="shared" si="17"/>
        <v>308.26964152442127</v>
      </c>
      <c r="DT10" s="59">
        <f ca="1">AVERAGE(OFFSET($DS$3,0,0,'Données projet'!$E$14+1,1))-AVERAGE(OFFSET($H$3,0,0,'Données projet'!$E$14+1,1))</f>
        <v>325.72928944930294</v>
      </c>
      <c r="DU10" s="59">
        <f t="shared" si="44"/>
        <v>318.38876834819752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3.65</v>
      </c>
      <c r="EJ10" s="12">
        <f>IF('Données projet'!$A$192&gt;35,EJ9+EI10-ER9,IF(A10&lt;'Données projet'!$A$192,$EG$205^A10,IF(A10='Données projet'!$A$192,'Données projet'!$B$192,EJ9+EI10-ER9)))</f>
        <v>4.4891384635544309</v>
      </c>
      <c r="EK10" s="17">
        <f>EJ10*VLOOKUP('Données projet'!$B$15,Paramètres!$A$1:$I$89,3,0)*VLOOKUP('Données projet'!$B$15,Paramètres!$A$1:$I$89,5,0)</f>
        <v>4.5519864020441929</v>
      </c>
      <c r="EL10" s="13">
        <f t="shared" si="45"/>
        <v>1.7584840343783612</v>
      </c>
      <c r="EM10" s="20">
        <f t="shared" si="19"/>
        <v>10.990736010102614</v>
      </c>
      <c r="EN10" s="59">
        <f t="shared" si="20"/>
        <v>304.32406934343595</v>
      </c>
      <c r="EO10" s="59">
        <f ca="1">AVERAGE(OFFSET($EN$3,0,0,'Données projet'!$E$15+1,1))-AVERAGE(OFFSET($H$3,0,0,'Données projet'!$E$15+1,1))</f>
        <v>384.50065773787549</v>
      </c>
      <c r="EP10" s="59">
        <f t="shared" si="46"/>
        <v>231.92898690465887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3.65</v>
      </c>
      <c r="FE10" s="12">
        <f>IF('Données projet'!$A$218&gt;35,FE9+FD10-FM9,IF(A10&lt;'Données projet'!$A$218,$FB$205^A10,IF(A10='Données projet'!$A$218,'Données projet'!$B$218,FE9+FD10-FM9)))</f>
        <v>4.4891384635544309</v>
      </c>
      <c r="FF10" s="17">
        <f>FE10*VLOOKUP('Données projet'!$B$16,Paramètres!$A$1:$I$89,3,0)*VLOOKUP('Données projet'!$B$16,Paramètres!$A$1:$I$89,5,0)</f>
        <v>4.0617724818240486</v>
      </c>
      <c r="FG10" s="13">
        <f t="shared" si="47"/>
        <v>1.590058719758437</v>
      </c>
      <c r="FH10" s="20">
        <f t="shared" si="22"/>
        <v>9.8436060094228282</v>
      </c>
      <c r="FI10" s="59">
        <f t="shared" si="23"/>
        <v>303.17693934275616</v>
      </c>
      <c r="FJ10" s="59">
        <f ca="1">AVERAGE(OFFSET($FI$3,0,0,'Données projet'!$E$16+1,1))-AVERAGE(OFFSET($H$3,0,0,'Données projet'!$E$16+1,1))</f>
        <v>326.46362829268969</v>
      </c>
      <c r="FK10" s="59">
        <f t="shared" si="48"/>
        <v>203.5274665601915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3.65</v>
      </c>
      <c r="FZ10" s="12">
        <f>IF('Données projet'!$A$244&gt;35,FZ9+FY10-GH9,IF(A10&lt;'Données projet'!$A$244,$FW$205^A10,IF(A10='Données projet'!$A$244,'Données projet'!$B$244,FZ9+FY10-GH9)))</f>
        <v>4.4891384635544309</v>
      </c>
      <c r="GA10" s="17">
        <f>FZ10*VLOOKUP('Données projet'!$B$17,Paramètres!$A$1:$I$89,3,0)*VLOOKUP('Données projet'!$B$17,Paramètres!$A$1:$I$89,5,0)</f>
        <v>4.3418947219498456</v>
      </c>
      <c r="GB10" s="13">
        <f t="shared" si="49"/>
        <v>1.6865743243491664</v>
      </c>
      <c r="GC10" s="20">
        <f t="shared" si="25"/>
        <v>10.499583588970779</v>
      </c>
      <c r="GD10" s="59">
        <f t="shared" si="26"/>
        <v>303.83291692230409</v>
      </c>
      <c r="GE10" s="59">
        <f ca="1">AVERAGE(OFFSET($GD$3,0,0,'Données projet'!$E$17+1,1))-AVERAGE(OFFSET($H$3,0,0,'Données projet'!$E$17+1,1))</f>
        <v>353.24082990916918</v>
      </c>
      <c r="GF10" s="59">
        <f t="shared" si="50"/>
        <v>219.76562717496353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378.17323480030268</v>
      </c>
      <c r="T11" s="59">
        <f t="shared" si="34"/>
        <v>471.89239871617241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2.0833333333333335</v>
      </c>
      <c r="AI11" s="13">
        <f>IF('Données projet'!$A$62&gt;35,AI10+AH11-AQ10,IF(A11&lt;'Données projet'!$A$62,$AF$205^A11,IF(A11='Données projet'!$A$62,'Données projet'!$B$62,AI10+AH11-AQ10)))</f>
        <v>8.5498797333834879</v>
      </c>
      <c r="AJ11" s="13">
        <f>AI11*VLOOKUP('Données projet'!$B$10,Paramètres!$A$1:$I$89,3,0)*VLOOKUP('Données projet'!$B$10,Paramètres!$A$1:$I$89,5,0)</f>
        <v>5.1128280805633262</v>
      </c>
      <c r="AK11" s="13">
        <f t="shared" si="35"/>
        <v>1.9486107411845339</v>
      </c>
      <c r="AL11" s="20">
        <f t="shared" si="4"/>
        <v>12.298672614544188</v>
      </c>
      <c r="AM11" s="59">
        <f t="shared" si="5"/>
        <v>305.63200594787747</v>
      </c>
      <c r="AN11" s="59">
        <f ca="1">AVERAGE(OFFSET($AM$3,0,0,'Données projet'!$E$10+1,1))-AVERAGE(OFFSET($H$3,0,0,'Données projet'!$E$10+1,1))</f>
        <v>141.22849894256314</v>
      </c>
      <c r="AO11" s="59">
        <f t="shared" si="36"/>
        <v>156.12101479343704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6.2222222222222223</v>
      </c>
      <c r="BD11" s="12">
        <f>IF('Données projet'!$A$88&gt;35,BD10+BC11-BL10,IF(A11&lt;'Données projet'!$A$88,$BA$205^A11,IF(A11='Données projet'!$A$88,'Données projet'!$B$88,BD10+BC11-BL10)))</f>
        <v>8.1426087136553278</v>
      </c>
      <c r="BE11" s="13">
        <f>BD11*VLOOKUP('Données projet'!$B$11,Paramètres!$A$1:$I$89,3,0)*VLOOKUP('Données projet'!$B$11,Paramètres!$A$1:$I$89,5,0)</f>
        <v>3.5990330514356552</v>
      </c>
      <c r="BF11" s="13">
        <f t="shared" si="37"/>
        <v>1.4288869460940081</v>
      </c>
      <c r="BG11" s="20">
        <f t="shared" si="7"/>
        <v>8.7569606623641629</v>
      </c>
      <c r="BH11" s="59">
        <f t="shared" si="8"/>
        <v>302.09029399569749</v>
      </c>
      <c r="BI11" s="59">
        <f ca="1">AVERAGE(OFFSET($BH$3,0,0,'Données projet'!$E$11+1,1))-AVERAGE(OFFSET($H$3,0,0,'Données projet'!$E$11+1,1))</f>
        <v>114.25511901730295</v>
      </c>
      <c r="BJ11" s="59">
        <f t="shared" si="38"/>
        <v>180.96261947642182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2.6666666666666665</v>
      </c>
      <c r="BY11" s="12">
        <f>IF('Données projet'!$A$114&gt;35,BY10+BX11-CG10,IF(A11&lt;'Données projet'!$A$114,$BV$205^A11,IF(A11='Données projet'!$A$114,'Données projet'!$B$114,BY10+BX11-CG10)))</f>
        <v>7.1520739352994367</v>
      </c>
      <c r="BZ11" s="13">
        <f>BY11*VLOOKUP('Données projet'!$B$12,Paramètres!$A$1:$I$89,3,0)*VLOOKUP('Données projet'!$B$12,Paramètres!$A$1:$I$89,5,0)</f>
        <v>5.5786176695335605</v>
      </c>
      <c r="CA11" s="13">
        <f t="shared" si="39"/>
        <v>2.1046649418345189</v>
      </c>
      <c r="CB11" s="20">
        <f t="shared" si="10"/>
        <v>13.381717214799407</v>
      </c>
      <c r="CC11" s="59">
        <f t="shared" si="11"/>
        <v>306.71505054813269</v>
      </c>
      <c r="CD11" s="59">
        <f ca="1">AVERAGE(OFFSET($CC$3,0,0,'Données projet'!$E$12+1,1))-AVERAGE(OFFSET($H$3,0,0,'Données projet'!$E$12+1,1))</f>
        <v>216.95993967070063</v>
      </c>
      <c r="CE11" s="59">
        <f t="shared" si="40"/>
        <v>208.79744153433245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2.6666666666666665</v>
      </c>
      <c r="CT11" s="12">
        <f>IF('Données projet'!$A$140&gt;35,CT10+CS11-DB10,IF(A11&lt;'Données projet'!$A$140,$CQ$205^A11,IF(A11='Données projet'!$A$140,'Données projet'!$B$140,CT10+CS11-DB10)))</f>
        <v>7.1520739352994367</v>
      </c>
      <c r="CU11" s="17">
        <f>CT11*VLOOKUP('Données projet'!$B$13,Paramètres!$A$1:$I$89,3,0)*VLOOKUP('Données projet'!$B$13,Paramètres!$A$1:$I$89,5,0)</f>
        <v>4.7976111957988623</v>
      </c>
      <c r="CV11" s="13">
        <f t="shared" si="41"/>
        <v>1.8420685950312794</v>
      </c>
      <c r="CW11" s="20">
        <f t="shared" si="13"/>
        <v>11.564108969029164</v>
      </c>
      <c r="CX11" s="59">
        <f t="shared" si="14"/>
        <v>304.89744230236249</v>
      </c>
      <c r="CY11" s="59">
        <f ca="1">AVERAGE(OFFSET($CX$3,0,0,'Données projet'!$E$13+1,1))-AVERAGE(OFFSET($H$3,0,0,'Données projet'!$E$13+1,1))</f>
        <v>181.32837315090507</v>
      </c>
      <c r="CZ11" s="59">
        <f t="shared" si="42"/>
        <v>175.03267817980338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1.9</v>
      </c>
      <c r="DO11" s="12">
        <f>IF('Données projet'!$A$166&gt;35,DO10+DN11-DW10,IF(A11&lt;'Données projet'!$A$166,$DL$205^A11,IF(A11='Données projet'!$A$166,'Données projet'!$B$166,DO10+DN11-DW10)))</f>
        <v>10.543938903738736</v>
      </c>
      <c r="DP11" s="17">
        <f>DO11*VLOOKUP('Données projet'!$B$14,Paramètres!$A$1:$I$89,3,0)*VLOOKUP('Données projet'!$B$14,Paramètres!$A$1:$I$89,5,0)</f>
        <v>8.3887577918145393</v>
      </c>
      <c r="DQ11" s="13">
        <f t="shared" si="43"/>
        <v>3.0180839306915423</v>
      </c>
      <c r="DR11" s="20">
        <f t="shared" si="16"/>
        <v>19.866916000031427</v>
      </c>
      <c r="DS11" s="59">
        <f t="shared" si="17"/>
        <v>313.20024933336475</v>
      </c>
      <c r="DT11" s="59">
        <f ca="1">AVERAGE(OFFSET($DS$3,0,0,'Données projet'!$E$14+1,1))-AVERAGE(OFFSET($H$3,0,0,'Données projet'!$E$14+1,1))</f>
        <v>325.72928944930294</v>
      </c>
      <c r="DU11" s="59">
        <f t="shared" si="44"/>
        <v>318.38876834819752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3.65</v>
      </c>
      <c r="EJ11" s="12">
        <f>IF('Données projet'!$A$192&gt;35,EJ10+EI11-ER10,IF(A11&lt;'Données projet'!$A$192,$EG$205^A11,IF(A11='Données projet'!$A$192,'Données projet'!$B$192,EJ10+EI11-ER10)))</f>
        <v>5.563257268920875</v>
      </c>
      <c r="EK11" s="17">
        <f>EJ11*VLOOKUP('Données projet'!$B$15,Paramètres!$A$1:$I$89,3,0)*VLOOKUP('Données projet'!$B$15,Paramètres!$A$1:$I$89,5,0)</f>
        <v>5.6411428706857674</v>
      </c>
      <c r="EL11" s="13">
        <f t="shared" si="45"/>
        <v>2.125494735292019</v>
      </c>
      <c r="EM11" s="20">
        <f t="shared" si="19"/>
        <v>13.526893830411311</v>
      </c>
      <c r="EN11" s="59">
        <f t="shared" si="20"/>
        <v>306.86022716374464</v>
      </c>
      <c r="EO11" s="59">
        <f ca="1">AVERAGE(OFFSET($EN$3,0,0,'Données projet'!$E$15+1,1))-AVERAGE(OFFSET($H$3,0,0,'Données projet'!$E$15+1,1))</f>
        <v>384.50065773787549</v>
      </c>
      <c r="EP11" s="59">
        <f t="shared" si="46"/>
        <v>231.92898690465887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3.65</v>
      </c>
      <c r="FE11" s="12">
        <f>IF('Données projet'!$A$218&gt;35,FE10+FD11-FM10,IF(A11&lt;'Données projet'!$A$218,$FB$205^A11,IF(A11='Données projet'!$A$218,'Données projet'!$B$218,FE10+FD11-FM10)))</f>
        <v>5.563257268920875</v>
      </c>
      <c r="FF11" s="17">
        <f>FE11*VLOOKUP('Données projet'!$B$16,Paramètres!$A$1:$I$89,3,0)*VLOOKUP('Données projet'!$B$16,Paramètres!$A$1:$I$89,5,0)</f>
        <v>5.0336351769196082</v>
      </c>
      <c r="FG11" s="13">
        <f t="shared" si="47"/>
        <v>1.9219176128866391</v>
      </c>
      <c r="FH11" s="20">
        <f t="shared" si="22"/>
        <v>12.11425444224588</v>
      </c>
      <c r="FI11" s="59">
        <f t="shared" si="23"/>
        <v>305.44758777557922</v>
      </c>
      <c r="FJ11" s="59">
        <f ca="1">AVERAGE(OFFSET($FI$3,0,0,'Données projet'!$E$16+1,1))-AVERAGE(OFFSET($H$3,0,0,'Données projet'!$E$16+1,1))</f>
        <v>326.46362829268969</v>
      </c>
      <c r="FK11" s="59">
        <f t="shared" si="48"/>
        <v>203.5274665601915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3.65</v>
      </c>
      <c r="FZ11" s="12">
        <f>IF('Données projet'!$A$244&gt;35,FZ10+FY11-GH10,IF(A11&lt;'Données projet'!$A$244,$FW$205^A11,IF(A11='Données projet'!$A$244,'Données projet'!$B$244,FZ10+FY11-GH10)))</f>
        <v>5.563257268920875</v>
      </c>
      <c r="GA11" s="17">
        <f>FZ11*VLOOKUP('Données projet'!$B$17,Paramètres!$A$1:$I$89,3,0)*VLOOKUP('Données projet'!$B$17,Paramètres!$A$1:$I$89,5,0)</f>
        <v>5.3807824305002701</v>
      </c>
      <c r="GB11" s="13">
        <f t="shared" si="49"/>
        <v>2.0385768519929188</v>
      </c>
      <c r="GC11" s="20">
        <f t="shared" si="25"/>
        <v>12.922050750342303</v>
      </c>
      <c r="GD11" s="59">
        <f t="shared" si="26"/>
        <v>306.25538408367561</v>
      </c>
      <c r="GE11" s="59">
        <f ca="1">AVERAGE(OFFSET($GD$3,0,0,'Données projet'!$E$17+1,1))-AVERAGE(OFFSET($H$3,0,0,'Données projet'!$E$17+1,1))</f>
        <v>353.24082990916918</v>
      </c>
      <c r="GF11" s="59">
        <f t="shared" si="50"/>
        <v>219.76562717496353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378.17323480030268</v>
      </c>
      <c r="T12" s="59">
        <f t="shared" si="34"/>
        <v>471.89239871617241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2.0833333333333335</v>
      </c>
      <c r="AI12" s="13">
        <f>IF('Données projet'!$A$62&gt;35,AI11+AH12-AQ11,IF(A12&lt;'Données projet'!$A$62,$AF$205^A12,IF(A12='Données projet'!$A$62,'Données projet'!$B$62,AI11+AH12-AQ11)))</f>
        <v>11.180339887498953</v>
      </c>
      <c r="AJ12" s="13">
        <f>AI12*VLOOKUP('Données projet'!$B$10,Paramètres!$A$1:$I$89,3,0)*VLOOKUP('Données projet'!$B$10,Paramètres!$A$1:$I$89,5,0)</f>
        <v>6.6858432527243732</v>
      </c>
      <c r="AK12" s="13">
        <f t="shared" si="35"/>
        <v>2.4697902668355676</v>
      </c>
      <c r="AL12" s="20">
        <f t="shared" si="4"/>
        <v>15.946061713233563</v>
      </c>
      <c r="AM12" s="59">
        <f t="shared" si="5"/>
        <v>309.27939504656689</v>
      </c>
      <c r="AN12" s="59">
        <f ca="1">AVERAGE(OFFSET($AM$3,0,0,'Données projet'!$E$10+1,1))-AVERAGE(OFFSET($H$3,0,0,'Données projet'!$E$10+1,1))</f>
        <v>141.22849894256314</v>
      </c>
      <c r="AO12" s="59">
        <f t="shared" si="36"/>
        <v>156.12101479343704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6.2222222222222223</v>
      </c>
      <c r="BD12" s="12">
        <f>IF('Données projet'!$A$88&gt;35,BD11+BC12-BL11,IF(A12&lt;'Données projet'!$A$88,$BA$205^A12,IF(A12='Données projet'!$A$88,'Données projet'!$B$88,BD11+BC12-BL11)))</f>
        <v>10.583005244258365</v>
      </c>
      <c r="BE12" s="13">
        <f>BD12*VLOOKUP('Données projet'!$B$11,Paramètres!$A$1:$I$89,3,0)*VLOOKUP('Données projet'!$B$11,Paramètres!$A$1:$I$89,5,0)</f>
        <v>4.6776883179621978</v>
      </c>
      <c r="BF12" s="13">
        <f t="shared" si="37"/>
        <v>1.801323457016436</v>
      </c>
      <c r="BG12" s="20">
        <f t="shared" si="7"/>
        <v>11.28427884142112</v>
      </c>
      <c r="BH12" s="59">
        <f t="shared" si="8"/>
        <v>304.61761217475441</v>
      </c>
      <c r="BI12" s="59">
        <f ca="1">AVERAGE(OFFSET($BH$3,0,0,'Données projet'!$E$11+1,1))-AVERAGE(OFFSET($H$3,0,0,'Données projet'!$E$11+1,1))</f>
        <v>114.25511901730295</v>
      </c>
      <c r="BJ12" s="59">
        <f t="shared" si="38"/>
        <v>180.96261947642182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2.6666666666666665</v>
      </c>
      <c r="BY12" s="12">
        <f>IF('Données projet'!$A$114&gt;35,BY11+BX12-CG11,IF(A12&lt;'Données projet'!$A$114,$BV$205^A12,IF(A12='Données projet'!$A$114,'Données projet'!$B$114,BY11+BX12-CG11)))</f>
        <v>9.1461010385465205</v>
      </c>
      <c r="BZ12" s="13">
        <f>BY12*VLOOKUP('Données projet'!$B$12,Paramètres!$A$1:$I$89,3,0)*VLOOKUP('Données projet'!$B$12,Paramètres!$A$1:$I$89,5,0)</f>
        <v>7.1339588100662858</v>
      </c>
      <c r="CA12" s="13">
        <f t="shared" si="39"/>
        <v>2.6155015444227643</v>
      </c>
      <c r="CB12" s="20">
        <f t="shared" si="10"/>
        <v>16.980310117401761</v>
      </c>
      <c r="CC12" s="59">
        <f t="shared" si="11"/>
        <v>310.31364345073507</v>
      </c>
      <c r="CD12" s="59">
        <f ca="1">AVERAGE(OFFSET($CC$3,0,0,'Données projet'!$E$12+1,1))-AVERAGE(OFFSET($H$3,0,0,'Données projet'!$E$12+1,1))</f>
        <v>216.95993967070063</v>
      </c>
      <c r="CE12" s="59">
        <f t="shared" si="40"/>
        <v>208.79744153433245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2.6666666666666665</v>
      </c>
      <c r="CT12" s="12">
        <f>IF('Données projet'!$A$140&gt;35,CT11+CS12-DB11,IF(A12&lt;'Données projet'!$A$140,$CQ$205^A12,IF(A12='Données projet'!$A$140,'Données projet'!$B$140,CT11+CS12-DB11)))</f>
        <v>9.1461010385465205</v>
      </c>
      <c r="CU12" s="17">
        <f>CT12*VLOOKUP('Données projet'!$B$13,Paramètres!$A$1:$I$89,3,0)*VLOOKUP('Données projet'!$B$13,Paramètres!$A$1:$I$89,5,0)</f>
        <v>6.1352045766570056</v>
      </c>
      <c r="CV12" s="13">
        <f t="shared" si="41"/>
        <v>2.2891687695607548</v>
      </c>
      <c r="CW12" s="20">
        <f t="shared" si="13"/>
        <v>14.672450244662597</v>
      </c>
      <c r="CX12" s="59">
        <f t="shared" si="14"/>
        <v>308.00578357799589</v>
      </c>
      <c r="CY12" s="59">
        <f ca="1">AVERAGE(OFFSET($CX$3,0,0,'Données projet'!$E$13+1,1))-AVERAGE(OFFSET($H$3,0,0,'Données projet'!$E$13+1,1))</f>
        <v>181.32837315090507</v>
      </c>
      <c r="CZ12" s="59">
        <f t="shared" si="42"/>
        <v>175.03267817980338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1.9</v>
      </c>
      <c r="DO12" s="12">
        <f>IF('Données projet'!$A$166&gt;35,DO11+DN12-DW11,IF(A12&lt;'Données projet'!$A$166,$DL$205^A12,IF(A12='Données projet'!$A$166,'Données projet'!$B$166,DO11+DN12-DW11)))</f>
        <v>14.153969025366564</v>
      </c>
      <c r="DP12" s="17">
        <f>DO12*VLOOKUP('Données projet'!$B$14,Paramètres!$A$1:$I$89,3,0)*VLOOKUP('Données projet'!$B$14,Paramètres!$A$1:$I$89,5,0)</f>
        <v>11.260897756581638</v>
      </c>
      <c r="DQ12" s="13">
        <f t="shared" si="43"/>
        <v>3.9149117911590028</v>
      </c>
      <c r="DR12" s="20">
        <f t="shared" si="16"/>
        <v>26.431201628981615</v>
      </c>
      <c r="DS12" s="59">
        <f t="shared" si="17"/>
        <v>319.76453496231494</v>
      </c>
      <c r="DT12" s="59">
        <f ca="1">AVERAGE(OFFSET($DS$3,0,0,'Données projet'!$E$14+1,1))-AVERAGE(OFFSET($H$3,0,0,'Données projet'!$E$14+1,1))</f>
        <v>325.72928944930294</v>
      </c>
      <c r="DU12" s="59">
        <f t="shared" si="44"/>
        <v>318.38876834819752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3.65</v>
      </c>
      <c r="EJ12" s="12">
        <f>IF('Données projet'!$A$192&gt;35,EJ11+EI12-ER11,IF(A12&lt;'Données projet'!$A$192,$EG$205^A12,IF(A12='Données projet'!$A$192,'Données projet'!$B$192,EJ11+EI12-ER11)))</f>
        <v>6.8943811137639424</v>
      </c>
      <c r="EK12" s="17">
        <f>EJ12*VLOOKUP('Données projet'!$B$15,Paramètres!$A$1:$I$89,3,0)*VLOOKUP('Données projet'!$B$15,Paramètres!$A$1:$I$89,5,0)</f>
        <v>6.9909024493566383</v>
      </c>
      <c r="EL12" s="13">
        <f t="shared" si="45"/>
        <v>2.5691037174250742</v>
      </c>
      <c r="EM12" s="20">
        <f t="shared" si="19"/>
        <v>16.650344073811482</v>
      </c>
      <c r="EN12" s="59">
        <f t="shared" si="20"/>
        <v>309.9836774071448</v>
      </c>
      <c r="EO12" s="59">
        <f ca="1">AVERAGE(OFFSET($EN$3,0,0,'Données projet'!$E$15+1,1))-AVERAGE(OFFSET($H$3,0,0,'Données projet'!$E$15+1,1))</f>
        <v>384.50065773787549</v>
      </c>
      <c r="EP12" s="59">
        <f t="shared" si="46"/>
        <v>231.92898690465887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3.65</v>
      </c>
      <c r="FE12" s="12">
        <f>IF('Données projet'!$A$218&gt;35,FE11+FD12-FM11,IF(A12&lt;'Données projet'!$A$218,$FB$205^A12,IF(A12='Données projet'!$A$218,'Données projet'!$B$218,FE11+FD12-FM11)))</f>
        <v>6.8943811137639424</v>
      </c>
      <c r="FF12" s="17">
        <f>FE12*VLOOKUP('Données projet'!$B$16,Paramètres!$A$1:$I$89,3,0)*VLOOKUP('Données projet'!$B$16,Paramètres!$A$1:$I$89,5,0)</f>
        <v>6.2380360317336141</v>
      </c>
      <c r="FG12" s="13">
        <f t="shared" si="47"/>
        <v>2.3230383034439352</v>
      </c>
      <c r="FH12" s="20">
        <f t="shared" si="22"/>
        <v>14.910537800434229</v>
      </c>
      <c r="FI12" s="59">
        <f t="shared" si="23"/>
        <v>308.24387113376753</v>
      </c>
      <c r="FJ12" s="59">
        <f ca="1">AVERAGE(OFFSET($FI$3,0,0,'Données projet'!$E$16+1,1))-AVERAGE(OFFSET($H$3,0,0,'Données projet'!$E$16+1,1))</f>
        <v>326.46362829268969</v>
      </c>
      <c r="FK12" s="59">
        <f t="shared" si="48"/>
        <v>203.5274665601915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3.65</v>
      </c>
      <c r="FZ12" s="12">
        <f>IF('Données projet'!$A$244&gt;35,FZ11+FY12-GH11,IF(A12&lt;'Données projet'!$A$244,$FW$205^A12,IF(A12='Données projet'!$A$244,'Données projet'!$B$244,FZ11+FY12-GH11)))</f>
        <v>6.8943811137639424</v>
      </c>
      <c r="GA12" s="17">
        <f>FZ12*VLOOKUP('Données projet'!$B$17,Paramètres!$A$1:$I$89,3,0)*VLOOKUP('Données projet'!$B$17,Paramètres!$A$1:$I$89,5,0)</f>
        <v>6.6682454132324853</v>
      </c>
      <c r="GB12" s="13">
        <f t="shared" si="49"/>
        <v>2.4640453263659414</v>
      </c>
      <c r="GC12" s="20">
        <f t="shared" si="25"/>
        <v>15.905406371467258</v>
      </c>
      <c r="GD12" s="59">
        <f t="shared" si="26"/>
        <v>309.23873970480059</v>
      </c>
      <c r="GE12" s="59">
        <f ca="1">AVERAGE(OFFSET($GD$3,0,0,'Données projet'!$E$17+1,1))-AVERAGE(OFFSET($H$3,0,0,'Données projet'!$E$17+1,1))</f>
        <v>353.24082990916918</v>
      </c>
      <c r="GF12" s="59">
        <f t="shared" si="50"/>
        <v>219.76562717496353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378.17323480030268</v>
      </c>
      <c r="T13" s="59">
        <f t="shared" si="34"/>
        <v>471.89239871617241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2.0833333333333335</v>
      </c>
      <c r="AI13" s="13">
        <f>IF('Données projet'!$A$62&gt;35,AI12+AH13-AQ12,IF(A13&lt;'Données projet'!$A$62,$AF$205^A13,IF(A13='Données projet'!$A$62,'Données projet'!$B$62,AI12+AH13-AQ12)))</f>
        <v>14.620088691064336</v>
      </c>
      <c r="AJ13" s="13">
        <f>AI13*VLOOKUP('Données projet'!$B$10,Paramètres!$A$1:$I$89,3,0)*VLOOKUP('Données projet'!$B$10,Paramètres!$A$1:$I$89,5,0)</f>
        <v>8.7428130372564734</v>
      </c>
      <c r="AK13" s="13">
        <f t="shared" si="35"/>
        <v>3.1303655641596633</v>
      </c>
      <c r="AL13" s="20">
        <f t="shared" si="4"/>
        <v>20.679119397466433</v>
      </c>
      <c r="AM13" s="59">
        <f t="shared" si="5"/>
        <v>314.01245273079974</v>
      </c>
      <c r="AN13" s="59">
        <f ca="1">AVERAGE(OFFSET($AM$3,0,0,'Données projet'!$E$10+1,1))-AVERAGE(OFFSET($H$3,0,0,'Données projet'!$E$10+1,1))</f>
        <v>141.22849894256314</v>
      </c>
      <c r="AO13" s="59">
        <f t="shared" si="36"/>
        <v>156.12101479343704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6.2222222222222223</v>
      </c>
      <c r="BD13" s="12">
        <f>IF('Données projet'!$A$88&gt;35,BD12+BC13-BL12,IF(A13&lt;'Données projet'!$A$88,$BA$205^A13,IF(A13='Données projet'!$A$88,'Données projet'!$B$88,BD12+BC13-BL12)))</f>
        <v>13.754805608204368</v>
      </c>
      <c r="BE13" s="13">
        <f>BD13*VLOOKUP('Données projet'!$B$11,Paramètres!$A$1:$I$89,3,0)*VLOOKUP('Données projet'!$B$11,Paramètres!$A$1:$I$89,5,0)</f>
        <v>6.0796240788263312</v>
      </c>
      <c r="BF13" s="13">
        <f t="shared" si="37"/>
        <v>2.2708347960400266</v>
      </c>
      <c r="BG13" s="20">
        <f t="shared" si="7"/>
        <v>14.543715873725574</v>
      </c>
      <c r="BH13" s="59">
        <f t="shared" si="8"/>
        <v>307.87704920705892</v>
      </c>
      <c r="BI13" s="59">
        <f ca="1">AVERAGE(OFFSET($BH$3,0,0,'Données projet'!$E$11+1,1))-AVERAGE(OFFSET($H$3,0,0,'Données projet'!$E$11+1,1))</f>
        <v>114.25511901730295</v>
      </c>
      <c r="BJ13" s="59">
        <f t="shared" si="38"/>
        <v>180.96261947642182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2.6666666666666665</v>
      </c>
      <c r="BY13" s="12">
        <f>IF('Données projet'!$A$114&gt;35,BY12+BX13-CG12,IF(A13&lt;'Données projet'!$A$114,$BV$205^A13,IF(A13='Données projet'!$A$114,'Données projet'!$B$114,BY12+BX13-CG12)))</f>
        <v>11.696070952851455</v>
      </c>
      <c r="BZ13" s="13">
        <f>BY13*VLOOKUP('Données projet'!$B$12,Paramètres!$A$1:$I$89,3,0)*VLOOKUP('Données projet'!$B$12,Paramètres!$A$1:$I$89,5,0)</f>
        <v>9.1229353432241354</v>
      </c>
      <c r="CA13" s="13">
        <f t="shared" si="39"/>
        <v>3.2503265450485803</v>
      </c>
      <c r="CB13" s="20">
        <f t="shared" si="10"/>
        <v>21.550097788741649</v>
      </c>
      <c r="CC13" s="59">
        <f t="shared" si="11"/>
        <v>314.88343112207497</v>
      </c>
      <c r="CD13" s="59">
        <f ca="1">AVERAGE(OFFSET($CC$3,0,0,'Données projet'!$E$12+1,1))-AVERAGE(OFFSET($H$3,0,0,'Données projet'!$E$12+1,1))</f>
        <v>216.95993967070063</v>
      </c>
      <c r="CE13" s="59">
        <f t="shared" si="40"/>
        <v>208.79744153433245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2.6666666666666665</v>
      </c>
      <c r="CT13" s="12">
        <f>IF('Données projet'!$A$140&gt;35,CT12+CS13-DB12,IF(A13&lt;'Données projet'!$A$140,$CQ$205^A13,IF(A13='Données projet'!$A$140,'Données projet'!$B$140,CT12+CS13-DB12)))</f>
        <v>11.696070952851455</v>
      </c>
      <c r="CU13" s="17">
        <f>CT13*VLOOKUP('Données projet'!$B$13,Paramètres!$A$1:$I$89,3,0)*VLOOKUP('Données projet'!$B$13,Paramètres!$A$1:$I$89,5,0)</f>
        <v>7.8457243951727564</v>
      </c>
      <c r="CV13" s="13">
        <f t="shared" si="41"/>
        <v>2.8447874686465271</v>
      </c>
      <c r="CW13" s="20">
        <f t="shared" si="13"/>
        <v>18.619308162818584</v>
      </c>
      <c r="CX13" s="59">
        <f t="shared" si="14"/>
        <v>311.9526414961519</v>
      </c>
      <c r="CY13" s="59">
        <f ca="1">AVERAGE(OFFSET($CX$3,0,0,'Données projet'!$E$13+1,1))-AVERAGE(OFFSET($H$3,0,0,'Données projet'!$E$13+1,1))</f>
        <v>181.32837315090507</v>
      </c>
      <c r="CZ13" s="59">
        <f t="shared" si="42"/>
        <v>175.03267817980338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19</v>
      </c>
      <c r="DM13" s="12">
        <f>VLOOKUP(A13,'Données projet'!$A$165:$I$185,9,0)</f>
        <v>1.9</v>
      </c>
      <c r="DN13" s="12">
        <f t="array" ref="DN13">INDEX(DM:DM,MIN(IF(ISNUMBER(DM13:DM209),ROW(DM13:DM209),"")))</f>
        <v>1.9</v>
      </c>
      <c r="DO13" s="12">
        <f>IF('Données projet'!$A$166&gt;35,DO12+DN13-DW12,IF(A13&lt;'Données projet'!$A$166,$DL$205^A13,IF(A13='Données projet'!$A$166,'Données projet'!$B$166,DO12+DN13-DW12)))</f>
        <v>19</v>
      </c>
      <c r="DP13" s="17">
        <f>DO13*VLOOKUP('Données projet'!$B$14,Paramètres!$A$1:$I$89,3,0)*VLOOKUP('Données projet'!$B$14,Paramètres!$A$1:$I$89,5,0)</f>
        <v>15.116400000000001</v>
      </c>
      <c r="DQ13" s="13">
        <f t="shared" si="43"/>
        <v>5.0782333044806913</v>
      </c>
      <c r="DR13" s="20">
        <f t="shared" si="16"/>
        <v>35.172319671970541</v>
      </c>
      <c r="DS13" s="59">
        <f t="shared" si="17"/>
        <v>328.50565300530388</v>
      </c>
      <c r="DT13" s="59">
        <f ca="1">AVERAGE(OFFSET($DS$3,0,0,'Données projet'!$E$14+1,1))-AVERAGE(OFFSET($H$3,0,0,'Données projet'!$E$14+1,1))</f>
        <v>325.72928944930294</v>
      </c>
      <c r="DU13" s="59">
        <f t="shared" si="44"/>
        <v>318.38876834819752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0.159</v>
      </c>
      <c r="DZ13" s="16">
        <f>IF(ISNA(VLOOKUP(A13,'Données projet'!$A$165:$I$185,7,0)),0%,VLOOKUP(A13,'Données projet'!$A$165:$I$185,7,0))</f>
        <v>0.7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0.97504282545720555</v>
      </c>
      <c r="EC13" s="21">
        <f>EXP(-LN(2)/2)*EC12+(1-EXP(-LN(2)/2))/(LN(2)/2)*DW13*DZ13*VLOOKUP('Données projet'!$B$14,Paramètres!$A$1:$I$89,3,0)*0.475*44/12</f>
        <v>3.6782830649742295</v>
      </c>
      <c r="ED13" s="22">
        <f t="shared" si="18"/>
        <v>4.653325890431435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3.65</v>
      </c>
      <c r="EJ13" s="12">
        <f>IF('Données projet'!$A$192&gt;35,EJ12+EI13-ER12,IF(A13&lt;'Données projet'!$A$192,$EG$205^A13,IF(A13='Données projet'!$A$192,'Données projet'!$B$192,EJ12+EI13-ER12)))</f>
        <v>8.5440037453175322</v>
      </c>
      <c r="EK13" s="17">
        <f>EJ13*VLOOKUP('Données projet'!$B$15,Paramètres!$A$1:$I$89,3,0)*VLOOKUP('Données projet'!$B$15,Paramètres!$A$1:$I$89,5,0)</f>
        <v>8.6636197977519771</v>
      </c>
      <c r="EL13" s="13">
        <f t="shared" si="45"/>
        <v>3.1052976990698267</v>
      </c>
      <c r="EM13" s="20">
        <f t="shared" si="19"/>
        <v>20.497531306964643</v>
      </c>
      <c r="EN13" s="59">
        <f t="shared" si="20"/>
        <v>313.83086464029793</v>
      </c>
      <c r="EO13" s="59">
        <f ca="1">AVERAGE(OFFSET($EN$3,0,0,'Données projet'!$E$15+1,1))-AVERAGE(OFFSET($H$3,0,0,'Données projet'!$E$15+1,1))</f>
        <v>384.50065773787549</v>
      </c>
      <c r="EP13" s="59">
        <f t="shared" si="46"/>
        <v>231.92898690465887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3.65</v>
      </c>
      <c r="FE13" s="12">
        <f>IF('Données projet'!$A$218&gt;35,FE12+FD13-FM12,IF(A13&lt;'Données projet'!$A$218,$FB$205^A13,IF(A13='Données projet'!$A$218,'Données projet'!$B$218,FE12+FD13-FM12)))</f>
        <v>8.5440037453175322</v>
      </c>
      <c r="FF13" s="17">
        <f>FE13*VLOOKUP('Données projet'!$B$16,Paramètres!$A$1:$I$89,3,0)*VLOOKUP('Données projet'!$B$16,Paramètres!$A$1:$I$89,5,0)</f>
        <v>7.7306145887633031</v>
      </c>
      <c r="FG13" s="13">
        <f t="shared" si="47"/>
        <v>2.8078763226288115</v>
      </c>
      <c r="FH13" s="20">
        <f t="shared" si="22"/>
        <v>18.354538337341264</v>
      </c>
      <c r="FI13" s="59">
        <f t="shared" si="23"/>
        <v>311.68787167067455</v>
      </c>
      <c r="FJ13" s="59">
        <f ca="1">AVERAGE(OFFSET($FI$3,0,0,'Données projet'!$E$16+1,1))-AVERAGE(OFFSET($H$3,0,0,'Données projet'!$E$16+1,1))</f>
        <v>326.46362829268969</v>
      </c>
      <c r="FK13" s="59">
        <f t="shared" si="48"/>
        <v>203.5274665601915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3.65</v>
      </c>
      <c r="FZ13" s="12">
        <f>IF('Données projet'!$A$244&gt;35,FZ12+FY13-GH12,IF(A13&lt;'Données projet'!$A$244,$FW$205^A13,IF(A13='Données projet'!$A$244,'Données projet'!$B$244,FZ12+FY13-GH12)))</f>
        <v>8.5440037453175322</v>
      </c>
      <c r="GA13" s="17">
        <f>FZ13*VLOOKUP('Données projet'!$B$17,Paramètres!$A$1:$I$89,3,0)*VLOOKUP('Données projet'!$B$17,Paramètres!$A$1:$I$89,5,0)</f>
        <v>8.2637604224711172</v>
      </c>
      <c r="GB13" s="13">
        <f t="shared" si="49"/>
        <v>2.9783127206856603</v>
      </c>
      <c r="GC13" s="20">
        <f t="shared" si="25"/>
        <v>19.579944057664719</v>
      </c>
      <c r="GD13" s="59">
        <f t="shared" si="26"/>
        <v>312.91327739099802</v>
      </c>
      <c r="GE13" s="59">
        <f ca="1">AVERAGE(OFFSET($GD$3,0,0,'Données projet'!$E$17+1,1))-AVERAGE(OFFSET($H$3,0,0,'Données projet'!$E$17+1,1))</f>
        <v>353.24082990916918</v>
      </c>
      <c r="GF13" s="59">
        <f t="shared" si="50"/>
        <v>219.76562717496353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378.17323480030268</v>
      </c>
      <c r="T14" s="59">
        <f t="shared" si="34"/>
        <v>471.89239871617241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2.0833333333333335</v>
      </c>
      <c r="AI14" s="13">
        <f>IF('Données projet'!$A$62&gt;35,AI13+AH14-AQ13,IF(A14&lt;'Données projet'!$A$62,$AF$205^A14,IF(A14='Données projet'!$A$62,'Données projet'!$B$62,AI13+AH14-AQ13)))</f>
        <v>19.118112283293257</v>
      </c>
      <c r="AJ14" s="13">
        <f>AI14*VLOOKUP('Données projet'!$B$10,Paramètres!$A$1:$I$89,3,0)*VLOOKUP('Données projet'!$B$10,Paramètres!$A$1:$I$89,5,0)</f>
        <v>11.432631145409369</v>
      </c>
      <c r="AK14" s="13">
        <f t="shared" si="35"/>
        <v>3.9676197193180758</v>
      </c>
      <c r="AL14" s="20">
        <f t="shared" si="4"/>
        <v>26.822103589400299</v>
      </c>
      <c r="AM14" s="59">
        <f t="shared" si="5"/>
        <v>320.1554369227336</v>
      </c>
      <c r="AN14" s="59">
        <f ca="1">AVERAGE(OFFSET($AM$3,0,0,'Données projet'!$E$10+1,1))-AVERAGE(OFFSET($H$3,0,0,'Données projet'!$E$10+1,1))</f>
        <v>141.22849894256314</v>
      </c>
      <c r="AO14" s="59">
        <f t="shared" si="36"/>
        <v>156.12101479343704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6.2222222222222223</v>
      </c>
      <c r="BD14" s="12">
        <f>IF('Données projet'!$A$88&gt;35,BD13+BC14-BL13,IF(A14&lt;'Données projet'!$A$88,$BA$205^A14,IF(A14='Données projet'!$A$88,'Données projet'!$B$88,BD13+BC14-BL13)))</f>
        <v>17.877216627302985</v>
      </c>
      <c r="BE14" s="13">
        <f>BD14*VLOOKUP('Données projet'!$B$11,Paramètres!$A$1:$I$89,3,0)*VLOOKUP('Données projet'!$B$11,Paramètres!$A$1:$I$89,5,0)</f>
        <v>7.9017297492679202</v>
      </c>
      <c r="BF14" s="13">
        <f t="shared" si="37"/>
        <v>2.8627233220219472</v>
      </c>
      <c r="BG14" s="20">
        <f t="shared" si="7"/>
        <v>18.748089099163185</v>
      </c>
      <c r="BH14" s="59">
        <f t="shared" si="8"/>
        <v>312.08142243249648</v>
      </c>
      <c r="BI14" s="59">
        <f ca="1">AVERAGE(OFFSET($BH$3,0,0,'Données projet'!$E$11+1,1))-AVERAGE(OFFSET($H$3,0,0,'Données projet'!$E$11+1,1))</f>
        <v>114.25511901730295</v>
      </c>
      <c r="BJ14" s="59">
        <f t="shared" si="38"/>
        <v>180.96261947642182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2.6666666666666665</v>
      </c>
      <c r="BY14" s="12">
        <f>IF('Données projet'!$A$114&gt;35,BY13+BX14-CG13,IF(A14&lt;'Données projet'!$A$114,$BV$205^A14,IF(A14='Données projet'!$A$114,'Données projet'!$B$114,BY13+BX14-CG13)))</f>
        <v>14.956982779612416</v>
      </c>
      <c r="BZ14" s="13">
        <f>BY14*VLOOKUP('Données projet'!$B$12,Paramètres!$A$1:$I$89,3,0)*VLOOKUP('Données projet'!$B$12,Paramètres!$A$1:$I$89,5,0)</f>
        <v>11.666446568097685</v>
      </c>
      <c r="CA14" s="13">
        <f t="shared" si="39"/>
        <v>4.0392339557111736</v>
      </c>
      <c r="CB14" s="20">
        <f t="shared" si="10"/>
        <v>27.354060245633761</v>
      </c>
      <c r="CC14" s="59">
        <f t="shared" si="11"/>
        <v>320.68739357896709</v>
      </c>
      <c r="CD14" s="59">
        <f ca="1">AVERAGE(OFFSET($CC$3,0,0,'Données projet'!$E$12+1,1))-AVERAGE(OFFSET($H$3,0,0,'Données projet'!$E$12+1,1))</f>
        <v>216.95993967070063</v>
      </c>
      <c r="CE14" s="59">
        <f t="shared" si="40"/>
        <v>208.79744153433245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2.6666666666666665</v>
      </c>
      <c r="CT14" s="12">
        <f>IF('Données projet'!$A$140&gt;35,CT13+CS14-DB13,IF(A14&lt;'Données projet'!$A$140,$CQ$205^A14,IF(A14='Données projet'!$A$140,'Données projet'!$B$140,CT13+CS14-DB13)))</f>
        <v>14.956982779612416</v>
      </c>
      <c r="CU14" s="17">
        <f>CT14*VLOOKUP('Données projet'!$B$13,Paramètres!$A$1:$I$89,3,0)*VLOOKUP('Données projet'!$B$13,Paramètres!$A$1:$I$89,5,0)</f>
        <v>10.033144048564008</v>
      </c>
      <c r="CV14" s="13">
        <f t="shared" si="41"/>
        <v>3.5352639129884524</v>
      </c>
      <c r="CW14" s="20">
        <f t="shared" si="13"/>
        <v>23.631643866370535</v>
      </c>
      <c r="CX14" s="59">
        <f t="shared" si="14"/>
        <v>316.96497719970387</v>
      </c>
      <c r="CY14" s="59">
        <f ca="1">AVERAGE(OFFSET($CX$3,0,0,'Données projet'!$E$13+1,1))-AVERAGE(OFFSET($H$3,0,0,'Données projet'!$E$13+1,1))</f>
        <v>181.32837315090507</v>
      </c>
      <c r="CZ14" s="59">
        <f t="shared" si="42"/>
        <v>175.03267817980338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14.6</v>
      </c>
      <c r="DO14" s="12">
        <f>IF('Données projet'!$A$166&gt;35,DO13+DN14-DW13,IF(A14&lt;'Données projet'!$A$166,$DL$205^A14,IF(A14='Données projet'!$A$166,'Données projet'!$B$166,DO13+DN14-DW13)))</f>
        <v>26.6</v>
      </c>
      <c r="DP14" s="17">
        <f>DO14*VLOOKUP('Données projet'!$B$14,Paramètres!$A$1:$I$89,3,0)*VLOOKUP('Données projet'!$B$14,Paramètres!$A$1:$I$89,5,0)</f>
        <v>21.162960000000002</v>
      </c>
      <c r="DQ14" s="13">
        <f t="shared" si="43"/>
        <v>6.8364616466980515</v>
      </c>
      <c r="DR14" s="20">
        <f t="shared" si="16"/>
        <v>48.765659367999113</v>
      </c>
      <c r="DS14" s="59">
        <f t="shared" si="17"/>
        <v>342.09899270133241</v>
      </c>
      <c r="DT14" s="59">
        <f ca="1">AVERAGE(OFFSET($DS$3,0,0,'Données projet'!$E$14+1,1))-AVERAGE(OFFSET($H$3,0,0,'Données projet'!$E$14+1,1))</f>
        <v>325.72928944930294</v>
      </c>
      <c r="DU14" s="59">
        <f t="shared" si="44"/>
        <v>318.38876834819752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0.9483802281198046</v>
      </c>
      <c r="EC14" s="21">
        <f>EXP(-LN(2)/2)*EC13+(1-EXP(-LN(2)/2))/(LN(2)/2)*DW14*DZ14*VLOOKUP('Données projet'!$B$14,Paramètres!$A$1:$I$89,3,0)*0.475*44/12</f>
        <v>2.6009388983669162</v>
      </c>
      <c r="ED14" s="22">
        <f t="shared" si="18"/>
        <v>3.5493191264867208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3.65</v>
      </c>
      <c r="EJ14" s="12">
        <f>IF('Données projet'!$A$192&gt;35,EJ13+EI14-ER13,IF(A14&lt;'Données projet'!$A$192,$EG$205^A14,IF(A14='Données projet'!$A$192,'Données projet'!$B$192,EJ13+EI14-ER13)))</f>
        <v>10.588332555950936</v>
      </c>
      <c r="EK14" s="17">
        <f>EJ14*VLOOKUP('Données projet'!$B$15,Paramètres!$A$1:$I$89,3,0)*VLOOKUP('Données projet'!$B$15,Paramètres!$A$1:$I$89,5,0)</f>
        <v>10.736569211734251</v>
      </c>
      <c r="EL14" s="13">
        <f t="shared" si="45"/>
        <v>3.7533999637480915</v>
      </c>
      <c r="EM14" s="20">
        <f t="shared" si="19"/>
        <v>25.23669631396508</v>
      </c>
      <c r="EN14" s="59">
        <f t="shared" si="20"/>
        <v>318.57002964729838</v>
      </c>
      <c r="EO14" s="59">
        <f ca="1">AVERAGE(OFFSET($EN$3,0,0,'Données projet'!$E$15+1,1))-AVERAGE(OFFSET($H$3,0,0,'Données projet'!$E$15+1,1))</f>
        <v>384.50065773787549</v>
      </c>
      <c r="EP14" s="59">
        <f t="shared" si="46"/>
        <v>231.92898690465887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3.65</v>
      </c>
      <c r="FE14" s="12">
        <f>IF('Données projet'!$A$218&gt;35,FE13+FD14-FM13,IF(A14&lt;'Données projet'!$A$218,$FB$205^A14,IF(A14='Données projet'!$A$218,'Données projet'!$B$218,FE13+FD14-FM13)))</f>
        <v>10.588332555950936</v>
      </c>
      <c r="FF14" s="17">
        <f>FE14*VLOOKUP('Données projet'!$B$16,Paramètres!$A$1:$I$89,3,0)*VLOOKUP('Données projet'!$B$16,Paramètres!$A$1:$I$89,5,0)</f>
        <v>9.5803232966244067</v>
      </c>
      <c r="FG14" s="13">
        <f t="shared" si="47"/>
        <v>3.3939041949894282</v>
      </c>
      <c r="FH14" s="20">
        <f t="shared" si="22"/>
        <v>22.596779547894098</v>
      </c>
      <c r="FI14" s="59">
        <f t="shared" si="23"/>
        <v>315.93011288122739</v>
      </c>
      <c r="FJ14" s="59">
        <f ca="1">AVERAGE(OFFSET($FI$3,0,0,'Données projet'!$E$16+1,1))-AVERAGE(OFFSET($H$3,0,0,'Données projet'!$E$16+1,1))</f>
        <v>326.46362829268969</v>
      </c>
      <c r="FK14" s="59">
        <f t="shared" si="48"/>
        <v>203.5274665601915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3.65</v>
      </c>
      <c r="FZ14" s="12">
        <f>IF('Données projet'!$A$244&gt;35,FZ13+FY14-GH13,IF(A14&lt;'Données projet'!$A$244,$FW$205^A14,IF(A14='Données projet'!$A$244,'Données projet'!$B$244,FZ13+FY14-GH13)))</f>
        <v>10.588332555950936</v>
      </c>
      <c r="GA14" s="17">
        <f>FZ14*VLOOKUP('Données projet'!$B$17,Paramètres!$A$1:$I$89,3,0)*VLOOKUP('Données projet'!$B$17,Paramètres!$A$1:$I$89,5,0)</f>
        <v>10.241035248115747</v>
      </c>
      <c r="GB14" s="13">
        <f t="shared" si="49"/>
        <v>3.5999121311945652</v>
      </c>
      <c r="GC14" s="20">
        <f t="shared" si="25"/>
        <v>24.106316685632123</v>
      </c>
      <c r="GD14" s="59">
        <f t="shared" si="26"/>
        <v>317.43965001896544</v>
      </c>
      <c r="GE14" s="59">
        <f ca="1">AVERAGE(OFFSET($GD$3,0,0,'Données projet'!$E$17+1,1))-AVERAGE(OFFSET($H$3,0,0,'Données projet'!$E$17+1,1))</f>
        <v>353.24082990916918</v>
      </c>
      <c r="GF14" s="59">
        <f t="shared" si="50"/>
        <v>219.76562717496353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378.17323480030268</v>
      </c>
      <c r="T15" s="59">
        <f t="shared" si="34"/>
        <v>471.89239871617241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25</v>
      </c>
      <c r="AG15" s="12">
        <f>VLOOKUP(A15,'Données projet'!$A$61:$I$81,9,0)</f>
        <v>2.0833333333333335</v>
      </c>
      <c r="AH15" s="12">
        <f t="array" ref="AH15">INDEX(AG:AG,MIN(IF(ISNUMBER(AG15:AG211),ROW(AG15:AG211),"")))</f>
        <v>2.0833333333333335</v>
      </c>
      <c r="AI15" s="13">
        <f>IF('Données projet'!$A$62&gt;35,AI14+AH15-AQ14,IF(A15&lt;'Données projet'!$A$62,$AF$205^A15,IF(A15='Données projet'!$A$62,'Données projet'!$B$62,AI14+AH15-AQ14)))</f>
        <v>25</v>
      </c>
      <c r="AJ15" s="13">
        <f>AI15*VLOOKUP('Données projet'!$B$10,Paramètres!$A$1:$I$89,3,0)*VLOOKUP('Données projet'!$B$10,Paramètres!$A$1:$I$89,5,0)</f>
        <v>14.950000000000001</v>
      </c>
      <c r="AK15" s="13">
        <f t="shared" si="35"/>
        <v>5.0288076310817473</v>
      </c>
      <c r="AL15" s="20">
        <f t="shared" si="4"/>
        <v>34.796423290800711</v>
      </c>
      <c r="AM15" s="59">
        <f t="shared" si="5"/>
        <v>328.12975662413402</v>
      </c>
      <c r="AN15" s="59">
        <f ca="1">AVERAGE(OFFSET($AM$3,0,0,'Données projet'!$E$10+1,1))-AVERAGE(OFFSET($H$3,0,0,'Données projet'!$E$10+1,1))</f>
        <v>141.22849894256314</v>
      </c>
      <c r="AO15" s="59">
        <f t="shared" si="36"/>
        <v>156.12101479343704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6.2222222222222223</v>
      </c>
      <c r="BD15" s="12">
        <f>IF('Données projet'!$A$88&gt;35,BD14+BC15-BL14,IF(A15&lt;'Données projet'!$A$88,$BA$205^A15,IF(A15='Données projet'!$A$88,'Données projet'!$B$88,BD14+BC15-BL14)))</f>
        <v>23.235142934254824</v>
      </c>
      <c r="BE15" s="13">
        <f>BD15*VLOOKUP('Données projet'!$B$11,Paramètres!$A$1:$I$89,3,0)*VLOOKUP('Données projet'!$B$11,Paramètres!$A$1:$I$89,5,0)</f>
        <v>10.269933176940633</v>
      </c>
      <c r="BF15" s="13">
        <f t="shared" si="37"/>
        <v>3.6088864028063457</v>
      </c>
      <c r="BG15" s="20">
        <f t="shared" si="7"/>
        <v>24.172277434725984</v>
      </c>
      <c r="BH15" s="59">
        <f t="shared" si="8"/>
        <v>317.50561076805928</v>
      </c>
      <c r="BI15" s="59">
        <f ca="1">AVERAGE(OFFSET($BH$3,0,0,'Données projet'!$E$11+1,1))-AVERAGE(OFFSET($H$3,0,0,'Données projet'!$E$11+1,1))</f>
        <v>114.25511901730295</v>
      </c>
      <c r="BJ15" s="59">
        <f t="shared" si="38"/>
        <v>180.96261947642182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2.6666666666666665</v>
      </c>
      <c r="BY15" s="12">
        <f>IF('Données projet'!$A$114&gt;35,BY14+BX15-CG14,IF(A15&lt;'Données projet'!$A$114,$BV$205^A15,IF(A15='Données projet'!$A$114,'Données projet'!$B$114,BY14+BX15-CG14)))</f>
        <v>19.127049995800721</v>
      </c>
      <c r="BZ15" s="13">
        <f>BY15*VLOOKUP('Données projet'!$B$12,Paramètres!$A$1:$I$89,3,0)*VLOOKUP('Données projet'!$B$12,Paramètres!$A$1:$I$89,5,0)</f>
        <v>14.919098996724562</v>
      </c>
      <c r="CA15" s="13">
        <f t="shared" si="39"/>
        <v>5.019622097301081</v>
      </c>
      <c r="CB15" s="20">
        <f t="shared" si="10"/>
        <v>34.726605905427995</v>
      </c>
      <c r="CC15" s="59">
        <f t="shared" si="11"/>
        <v>328.05993923876133</v>
      </c>
      <c r="CD15" s="59">
        <f ca="1">AVERAGE(OFFSET($CC$3,0,0,'Données projet'!$E$12+1,1))-AVERAGE(OFFSET($H$3,0,0,'Données projet'!$E$12+1,1))</f>
        <v>216.95993967070063</v>
      </c>
      <c r="CE15" s="59">
        <f t="shared" si="40"/>
        <v>208.79744153433245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2.6666666666666665</v>
      </c>
      <c r="CT15" s="12">
        <f>IF('Données projet'!$A$140&gt;35,CT14+CS15-DB14,IF(A15&lt;'Données projet'!$A$140,$CQ$205^A15,IF(A15='Données projet'!$A$140,'Données projet'!$B$140,CT14+CS15-DB14)))</f>
        <v>19.127049995800721</v>
      </c>
      <c r="CU15" s="17">
        <f>CT15*VLOOKUP('Données projet'!$B$13,Paramètres!$A$1:$I$89,3,0)*VLOOKUP('Données projet'!$B$13,Paramètres!$A$1:$I$89,5,0)</f>
        <v>12.830425137183123</v>
      </c>
      <c r="CV15" s="13">
        <f t="shared" si="41"/>
        <v>4.3933302829208145</v>
      </c>
      <c r="CW15" s="20">
        <f t="shared" si="13"/>
        <v>29.998040690014353</v>
      </c>
      <c r="CX15" s="59">
        <f t="shared" si="14"/>
        <v>323.33137402334768</v>
      </c>
      <c r="CY15" s="59">
        <f ca="1">AVERAGE(OFFSET($CX$3,0,0,'Données projet'!$E$13+1,1))-AVERAGE(OFFSET($H$3,0,0,'Données projet'!$E$13+1,1))</f>
        <v>181.32837315090507</v>
      </c>
      <c r="CZ15" s="59">
        <f t="shared" si="42"/>
        <v>175.03267817980338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14.6</v>
      </c>
      <c r="DO15" s="12">
        <f>IF('Données projet'!$A$166&gt;35,DO14+DN15-DW14,IF(A15&lt;'Données projet'!$A$166,$DL$205^A15,IF(A15='Données projet'!$A$166,'Données projet'!$B$166,DO14+DN15-DW14)))</f>
        <v>41.2</v>
      </c>
      <c r="DP15" s="17">
        <f>DO15*VLOOKUP('Données projet'!$B$14,Paramètres!$A$1:$I$89,3,0)*VLOOKUP('Données projet'!$B$14,Paramètres!$A$1:$I$89,5,0)</f>
        <v>32.77872</v>
      </c>
      <c r="DQ15" s="13">
        <f t="shared" si="43"/>
        <v>10.063038810723747</v>
      </c>
      <c r="DR15" s="20">
        <f t="shared" si="16"/>
        <v>74.616063262010528</v>
      </c>
      <c r="DS15" s="59">
        <f t="shared" si="17"/>
        <v>367.94939659534384</v>
      </c>
      <c r="DT15" s="59">
        <f ca="1">AVERAGE(OFFSET($DS$3,0,0,'Données projet'!$E$14+1,1))-AVERAGE(OFFSET($H$3,0,0,'Données projet'!$E$14+1,1))</f>
        <v>325.72928944930294</v>
      </c>
      <c r="DU15" s="59">
        <f t="shared" si="44"/>
        <v>318.38876834819752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0.92244672090871993</v>
      </c>
      <c r="EC15" s="21">
        <f>EXP(-LN(2)/2)*EC14+(1-EXP(-LN(2)/2))/(LN(2)/2)*DW15*DZ15*VLOOKUP('Données projet'!$B$14,Paramètres!$A$1:$I$89,3,0)*0.475*44/12</f>
        <v>1.839141532487115</v>
      </c>
      <c r="ED15" s="22">
        <f t="shared" si="18"/>
        <v>2.7615882533958347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3.65</v>
      </c>
      <c r="EJ15" s="12">
        <f>IF('Données projet'!$A$192&gt;35,EJ14+EI15-ER14,IF(A15&lt;'Données projet'!$A$192,$EG$205^A15,IF(A15='Données projet'!$A$192,'Données projet'!$B$192,EJ14+EI15-ER14)))</f>
        <v>13.121809125710287</v>
      </c>
      <c r="EK15" s="17">
        <f>EJ15*VLOOKUP('Données projet'!$B$15,Paramètres!$A$1:$I$89,3,0)*VLOOKUP('Données projet'!$B$15,Paramètres!$A$1:$I$89,5,0)</f>
        <v>13.305514453470233</v>
      </c>
      <c r="EL15" s="13">
        <f t="shared" si="45"/>
        <v>4.5367667299931158</v>
      </c>
      <c r="EM15" s="20">
        <f t="shared" si="19"/>
        <v>31.075306394532003</v>
      </c>
      <c r="EN15" s="59">
        <f t="shared" si="20"/>
        <v>324.40863972786531</v>
      </c>
      <c r="EO15" s="59">
        <f ca="1">AVERAGE(OFFSET($EN$3,0,0,'Données projet'!$E$15+1,1))-AVERAGE(OFFSET($H$3,0,0,'Données projet'!$E$15+1,1))</f>
        <v>384.50065773787549</v>
      </c>
      <c r="EP15" s="59">
        <f t="shared" si="46"/>
        <v>231.92898690465887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3.65</v>
      </c>
      <c r="FE15" s="12">
        <f>IF('Données projet'!$A$218&gt;35,FE14+FD15-FM14,IF(A15&lt;'Données projet'!$A$218,$FB$205^A15,IF(A15='Données projet'!$A$218,'Données projet'!$B$218,FE14+FD15-FM14)))</f>
        <v>13.121809125710287</v>
      </c>
      <c r="FF15" s="17">
        <f>FE15*VLOOKUP('Données projet'!$B$16,Paramètres!$A$1:$I$89,3,0)*VLOOKUP('Données projet'!$B$16,Paramètres!$A$1:$I$89,5,0)</f>
        <v>11.872612896942668</v>
      </c>
      <c r="FG15" s="13">
        <f t="shared" si="47"/>
        <v>4.1022411108131784</v>
      </c>
      <c r="FH15" s="20">
        <f t="shared" si="22"/>
        <v>27.822870730174767</v>
      </c>
      <c r="FI15" s="59">
        <f t="shared" si="23"/>
        <v>321.15620406350808</v>
      </c>
      <c r="FJ15" s="59">
        <f ca="1">AVERAGE(OFFSET($FI$3,0,0,'Données projet'!$E$16+1,1))-AVERAGE(OFFSET($H$3,0,0,'Données projet'!$E$16+1,1))</f>
        <v>326.46362829268969</v>
      </c>
      <c r="FK15" s="59">
        <f t="shared" si="48"/>
        <v>203.5274665601915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3.65</v>
      </c>
      <c r="FZ15" s="12">
        <f>IF('Données projet'!$A$244&gt;35,FZ14+FY15-GH14,IF(A15&lt;'Données projet'!$A$244,$FW$205^A15,IF(A15='Données projet'!$A$244,'Données projet'!$B$244,FZ14+FY15-GH14)))</f>
        <v>13.121809125710287</v>
      </c>
      <c r="GA15" s="17">
        <f>FZ15*VLOOKUP('Données projet'!$B$17,Paramètres!$A$1:$I$89,3,0)*VLOOKUP('Données projet'!$B$17,Paramètres!$A$1:$I$89,5,0)</f>
        <v>12.69141378638699</v>
      </c>
      <c r="GB15" s="13">
        <f t="shared" si="49"/>
        <v>4.3512446702837533</v>
      </c>
      <c r="GC15" s="20">
        <f t="shared" si="25"/>
        <v>29.682630145368211</v>
      </c>
      <c r="GD15" s="59">
        <f t="shared" si="26"/>
        <v>323.01596347870151</v>
      </c>
      <c r="GE15" s="59">
        <f ca="1">AVERAGE(OFFSET($GD$3,0,0,'Données projet'!$E$17+1,1))-AVERAGE(OFFSET($H$3,0,0,'Données projet'!$E$17+1,1))</f>
        <v>353.24082990916918</v>
      </c>
      <c r="GF15" s="59">
        <f t="shared" si="50"/>
        <v>219.76562717496353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378.17323480030268</v>
      </c>
      <c r="T16" s="59">
        <f t="shared" si="34"/>
        <v>471.89239871617241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8.5</v>
      </c>
      <c r="AI16" s="13">
        <f>IF('Données projet'!$A$62&gt;35,AI15+AH16-AQ15,IF(A16&lt;'Données projet'!$A$62,$AF$205^A16,IF(A16='Données projet'!$A$62,'Données projet'!$B$62,AI15+AH16-AQ15)))</f>
        <v>33.5</v>
      </c>
      <c r="AJ16" s="13">
        <f>AI16*VLOOKUP('Données projet'!$B$10,Paramètres!$A$1:$I$89,3,0)*VLOOKUP('Données projet'!$B$10,Paramètres!$A$1:$I$89,5,0)</f>
        <v>20.033000000000001</v>
      </c>
      <c r="AK16" s="13">
        <f t="shared" si="35"/>
        <v>6.5129061865703672</v>
      </c>
      <c r="AL16" s="20">
        <f t="shared" si="4"/>
        <v>46.234119941610061</v>
      </c>
      <c r="AM16" s="59">
        <f t="shared" si="5"/>
        <v>339.56745327494338</v>
      </c>
      <c r="AN16" s="59">
        <f ca="1">AVERAGE(OFFSET($AM$3,0,0,'Données projet'!$E$10+1,1))-AVERAGE(OFFSET($H$3,0,0,'Données projet'!$E$10+1,1))</f>
        <v>141.22849894256314</v>
      </c>
      <c r="AO16" s="59">
        <f t="shared" si="36"/>
        <v>156.12101479343704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6.2222222222222223</v>
      </c>
      <c r="BD16" s="12">
        <f>IF('Données projet'!$A$88&gt;35,BD15+BC16-BL15,IF(A16&lt;'Données projet'!$A$88,$BA$205^A16,IF(A16='Données projet'!$A$88,'Données projet'!$B$88,BD15+BC16-BL15)))</f>
        <v>30.19887706404656</v>
      </c>
      <c r="BE16" s="13">
        <f>BD16*VLOOKUP('Données projet'!$B$11,Paramètres!$A$1:$I$89,3,0)*VLOOKUP('Données projet'!$B$11,Paramètres!$A$1:$I$89,5,0)</f>
        <v>13.34790366230858</v>
      </c>
      <c r="BF16" s="13">
        <f t="shared" si="37"/>
        <v>4.5495353910630829</v>
      </c>
      <c r="BG16" s="20">
        <f t="shared" si="7"/>
        <v>31.171373017955645</v>
      </c>
      <c r="BH16" s="59">
        <f t="shared" si="8"/>
        <v>324.50470635128897</v>
      </c>
      <c r="BI16" s="59">
        <f ca="1">AVERAGE(OFFSET($BH$3,0,0,'Données projet'!$E$11+1,1))-AVERAGE(OFFSET($H$3,0,0,'Données projet'!$E$11+1,1))</f>
        <v>114.25511901730295</v>
      </c>
      <c r="BJ16" s="59">
        <f t="shared" si="38"/>
        <v>180.96261947642182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2.6666666666666665</v>
      </c>
      <c r="BY16" s="12">
        <f>IF('Données projet'!$A$114&gt;35,BY15+BX16-CG15,IF(A16&lt;'Données projet'!$A$114,$BV$205^A16,IF(A16='Données projet'!$A$114,'Données projet'!$B$114,BY15+BX16-CG15)))</f>
        <v>24.459748796430759</v>
      </c>
      <c r="BZ16" s="13">
        <f>BY16*VLOOKUP('Données projet'!$B$12,Paramètres!$A$1:$I$89,3,0)*VLOOKUP('Données projet'!$B$12,Paramètres!$A$1:$I$89,5,0)</f>
        <v>19.078604061215994</v>
      </c>
      <c r="CA16" s="13">
        <f t="shared" si="39"/>
        <v>6.2379664748280286</v>
      </c>
      <c r="CB16" s="20">
        <f t="shared" si="10"/>
        <v>44.093027016943331</v>
      </c>
      <c r="CC16" s="59">
        <f t="shared" si="11"/>
        <v>337.42636035027664</v>
      </c>
      <c r="CD16" s="59">
        <f ca="1">AVERAGE(OFFSET($CC$3,0,0,'Données projet'!$E$12+1,1))-AVERAGE(OFFSET($H$3,0,0,'Données projet'!$E$12+1,1))</f>
        <v>216.95993967070063</v>
      </c>
      <c r="CE16" s="59">
        <f t="shared" si="40"/>
        <v>208.79744153433245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2.6666666666666665</v>
      </c>
      <c r="CT16" s="12">
        <f>IF('Données projet'!$A$140&gt;35,CT15+CS16-DB15,IF(A16&lt;'Données projet'!$A$140,$CQ$205^A16,IF(A16='Données projet'!$A$140,'Données projet'!$B$140,CT15+CS16-DB15)))</f>
        <v>24.459748796430759</v>
      </c>
      <c r="CU16" s="17">
        <f>CT16*VLOOKUP('Données projet'!$B$13,Paramètres!$A$1:$I$89,3,0)*VLOOKUP('Données projet'!$B$13,Paramètres!$A$1:$I$89,5,0)</f>
        <v>16.407599492645755</v>
      </c>
      <c r="CV16" s="13">
        <f t="shared" si="41"/>
        <v>5.4596633942706498</v>
      </c>
      <c r="CW16" s="20">
        <f t="shared" si="13"/>
        <v>38.085482861379397</v>
      </c>
      <c r="CX16" s="59">
        <f t="shared" si="14"/>
        <v>331.41881619471269</v>
      </c>
      <c r="CY16" s="59">
        <f ca="1">AVERAGE(OFFSET($CX$3,0,0,'Données projet'!$E$13+1,1))-AVERAGE(OFFSET($H$3,0,0,'Données projet'!$E$13+1,1))</f>
        <v>181.32837315090507</v>
      </c>
      <c r="CZ16" s="59">
        <f t="shared" si="42"/>
        <v>175.03267817980338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14.6</v>
      </c>
      <c r="DO16" s="12">
        <f>IF('Données projet'!$A$166&gt;35,DO15+DN16-DW15,IF(A16&lt;'Données projet'!$A$166,$DL$205^A16,IF(A16='Données projet'!$A$166,'Données projet'!$B$166,DO15+DN16-DW15)))</f>
        <v>55.800000000000004</v>
      </c>
      <c r="DP16" s="17">
        <f>DO16*VLOOKUP('Données projet'!$B$14,Paramètres!$A$1:$I$89,3,0)*VLOOKUP('Données projet'!$B$14,Paramètres!$A$1:$I$89,5,0)</f>
        <v>44.394480000000001</v>
      </c>
      <c r="DQ16" s="13">
        <f t="shared" si="43"/>
        <v>13.1562447968447</v>
      </c>
      <c r="DR16" s="20">
        <f t="shared" si="16"/>
        <v>100.2341790211712</v>
      </c>
      <c r="DS16" s="59">
        <f t="shared" si="17"/>
        <v>393.56751235450452</v>
      </c>
      <c r="DT16" s="59">
        <f ca="1">AVERAGE(OFFSET($DS$3,0,0,'Données projet'!$E$14+1,1))-AVERAGE(OFFSET($H$3,0,0,'Données projet'!$E$14+1,1))</f>
        <v>325.72928944930294</v>
      </c>
      <c r="DU16" s="59">
        <f t="shared" si="44"/>
        <v>318.38876834819752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0.89722236681610623</v>
      </c>
      <c r="EC16" s="21">
        <f>EXP(-LN(2)/2)*EC15+(1-EXP(-LN(2)/2))/(LN(2)/2)*DW16*DZ16*VLOOKUP('Données projet'!$B$14,Paramètres!$A$1:$I$89,3,0)*0.475*44/12</f>
        <v>1.3004694491834581</v>
      </c>
      <c r="ED16" s="22">
        <f t="shared" si="18"/>
        <v>2.1976918159995642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3.65</v>
      </c>
      <c r="EJ16" s="12">
        <f>IF('Données projet'!$A$192&gt;35,EJ15+EI16-ER15,IF(A16&lt;'Données projet'!$A$192,$EG$205^A16,IF(A16='Données projet'!$A$192,'Données projet'!$B$192,EJ15+EI16-ER15)))</f>
        <v>16.261472127148366</v>
      </c>
      <c r="EK16" s="17">
        <f>EJ16*VLOOKUP('Données projet'!$B$15,Paramètres!$A$1:$I$89,3,0)*VLOOKUP('Données projet'!$B$15,Paramètres!$A$1:$I$89,5,0)</f>
        <v>16.489132736928447</v>
      </c>
      <c r="EL16" s="13">
        <f t="shared" si="45"/>
        <v>5.4836288594779292</v>
      </c>
      <c r="EM16" s="20">
        <f t="shared" si="19"/>
        <v>38.269226447074438</v>
      </c>
      <c r="EN16" s="59">
        <f t="shared" si="20"/>
        <v>331.60255978040777</v>
      </c>
      <c r="EO16" s="59">
        <f ca="1">AVERAGE(OFFSET($EN$3,0,0,'Données projet'!$E$15+1,1))-AVERAGE(OFFSET($H$3,0,0,'Données projet'!$E$15+1,1))</f>
        <v>384.50065773787549</v>
      </c>
      <c r="EP16" s="59">
        <f t="shared" si="46"/>
        <v>231.92898690465887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3.65</v>
      </c>
      <c r="FE16" s="12">
        <f>IF('Données projet'!$A$218&gt;35,FE15+FD16-FM15,IF(A16&lt;'Données projet'!$A$218,$FB$205^A16,IF(A16='Données projet'!$A$218,'Données projet'!$B$218,FE15+FD16-FM15)))</f>
        <v>16.261472127148366</v>
      </c>
      <c r="FF16" s="17">
        <f>FE16*VLOOKUP('Données projet'!$B$16,Paramètres!$A$1:$I$89,3,0)*VLOOKUP('Données projet'!$B$16,Paramètres!$A$1:$I$89,5,0)</f>
        <v>14.713379980643843</v>
      </c>
      <c r="FG16" s="13">
        <f t="shared" si="47"/>
        <v>4.9584140165447881</v>
      </c>
      <c r="FH16" s="20">
        <f t="shared" si="22"/>
        <v>34.261707878436859</v>
      </c>
      <c r="FI16" s="59">
        <f t="shared" si="23"/>
        <v>327.59504121177019</v>
      </c>
      <c r="FJ16" s="59">
        <f ca="1">AVERAGE(OFFSET($FI$3,0,0,'Données projet'!$E$16+1,1))-AVERAGE(OFFSET($H$3,0,0,'Données projet'!$E$16+1,1))</f>
        <v>326.46362829268969</v>
      </c>
      <c r="FK16" s="59">
        <f t="shared" si="48"/>
        <v>203.5274665601915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3.65</v>
      </c>
      <c r="FZ16" s="12">
        <f>IF('Données projet'!$A$244&gt;35,FZ15+FY16-GH15,IF(A16&lt;'Données projet'!$A$244,$FW$205^A16,IF(A16='Données projet'!$A$244,'Données projet'!$B$244,FZ15+FY16-GH15)))</f>
        <v>16.261472127148366</v>
      </c>
      <c r="GA16" s="17">
        <f>FZ16*VLOOKUP('Données projet'!$B$17,Paramètres!$A$1:$I$89,3,0)*VLOOKUP('Données projet'!$B$17,Paramètres!$A$1:$I$89,5,0)</f>
        <v>15.728095841377899</v>
      </c>
      <c r="GB16" s="13">
        <f t="shared" si="49"/>
        <v>5.2593867546400634</v>
      </c>
      <c r="GC16" s="20">
        <f t="shared" si="25"/>
        <v>36.553198854731285</v>
      </c>
      <c r="GD16" s="59">
        <f t="shared" si="26"/>
        <v>329.88653218806462</v>
      </c>
      <c r="GE16" s="59">
        <f ca="1">AVERAGE(OFFSET($GD$3,0,0,'Données projet'!$E$17+1,1))-AVERAGE(OFFSET($H$3,0,0,'Données projet'!$E$17+1,1))</f>
        <v>353.24082990916918</v>
      </c>
      <c r="GF16" s="59">
        <f t="shared" si="50"/>
        <v>219.76562717496353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378.17323480030268</v>
      </c>
      <c r="T17" s="59">
        <f t="shared" si="34"/>
        <v>471.89239871617241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8.5</v>
      </c>
      <c r="AI17" s="13">
        <f>IF('Données projet'!$A$62&gt;35,AI16+AH17-AQ16,IF(A17&lt;'Données projet'!$A$62,$AF$205^A17,IF(A17='Données projet'!$A$62,'Données projet'!$B$62,AI16+AH17-AQ16)))</f>
        <v>42</v>
      </c>
      <c r="AJ17" s="13">
        <f>AI17*VLOOKUP('Données projet'!$B$10,Paramètres!$A$1:$I$89,3,0)*VLOOKUP('Données projet'!$B$10,Paramètres!$A$1:$I$89,5,0)</f>
        <v>25.116</v>
      </c>
      <c r="AK17" s="13">
        <f t="shared" si="35"/>
        <v>7.9533172071367026</v>
      </c>
      <c r="AL17" s="20">
        <f t="shared" si="4"/>
        <v>57.595727469096431</v>
      </c>
      <c r="AM17" s="59">
        <f t="shared" si="5"/>
        <v>350.92906080242972</v>
      </c>
      <c r="AN17" s="59">
        <f ca="1">AVERAGE(OFFSET($AM$3,0,0,'Données projet'!$E$10+1,1))-AVERAGE(OFFSET($H$3,0,0,'Données projet'!$E$10+1,1))</f>
        <v>141.22849894256314</v>
      </c>
      <c r="AO17" s="59">
        <f t="shared" si="36"/>
        <v>156.12101479343704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6.2222222222222223</v>
      </c>
      <c r="BD17" s="12">
        <f>IF('Données projet'!$A$88&gt;35,BD16+BC17-BL16,IF(A17&lt;'Données projet'!$A$88,$BA$205^A17,IF(A17='Données projet'!$A$88,'Données projet'!$B$88,BD16+BC17-BL16)))</f>
        <v>39.249690802844427</v>
      </c>
      <c r="BE17" s="13">
        <f>BD17*VLOOKUP('Données projet'!$B$11,Paramètres!$A$1:$I$89,3,0)*VLOOKUP('Données projet'!$B$11,Paramètres!$A$1:$I$89,5,0)</f>
        <v>17.34836333485724</v>
      </c>
      <c r="BF17" s="13">
        <f t="shared" si="37"/>
        <v>5.735362647724271</v>
      </c>
      <c r="BG17" s="20">
        <f t="shared" si="7"/>
        <v>40.204156086329469</v>
      </c>
      <c r="BH17" s="59">
        <f t="shared" si="8"/>
        <v>333.53748941966279</v>
      </c>
      <c r="BI17" s="59">
        <f ca="1">AVERAGE(OFFSET($BH$3,0,0,'Données projet'!$E$11+1,1))-AVERAGE(OFFSET($H$3,0,0,'Données projet'!$E$11+1,1))</f>
        <v>114.25511901730295</v>
      </c>
      <c r="BJ17" s="59">
        <f t="shared" si="38"/>
        <v>180.96261947642182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2.6666666666666665</v>
      </c>
      <c r="BY17" s="12">
        <f>IF('Données projet'!$A$114&gt;35,BY16+BX17-CG16,IF(A17&lt;'Données projet'!$A$114,$BV$205^A17,IF(A17='Données projet'!$A$114,'Données projet'!$B$114,BY16+BX17-CG16)))</f>
        <v>31.279225563578599</v>
      </c>
      <c r="BZ17" s="13">
        <f>BY17*VLOOKUP('Données projet'!$B$12,Paramètres!$A$1:$I$89,3,0)*VLOOKUP('Données projet'!$B$12,Paramètres!$A$1:$I$89,5,0)</f>
        <v>24.397795939591308</v>
      </c>
      <c r="CA17" s="13">
        <f t="shared" si="39"/>
        <v>7.75202295846145</v>
      </c>
      <c r="CB17" s="20">
        <f t="shared" si="10"/>
        <v>55.994267914108548</v>
      </c>
      <c r="CC17" s="59">
        <f t="shared" si="11"/>
        <v>349.32760124744186</v>
      </c>
      <c r="CD17" s="59">
        <f ca="1">AVERAGE(OFFSET($CC$3,0,0,'Données projet'!$E$12+1,1))-AVERAGE(OFFSET($H$3,0,0,'Données projet'!$E$12+1,1))</f>
        <v>216.95993967070063</v>
      </c>
      <c r="CE17" s="59">
        <f t="shared" si="40"/>
        <v>208.79744153433245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2.6666666666666665</v>
      </c>
      <c r="CT17" s="12">
        <f>IF('Données projet'!$A$140&gt;35,CT16+CS17-DB16,IF(A17&lt;'Données projet'!$A$140,$CQ$205^A17,IF(A17='Données projet'!$A$140,'Données projet'!$B$140,CT16+CS17-DB16)))</f>
        <v>31.279225563578599</v>
      </c>
      <c r="CU17" s="17">
        <f>CT17*VLOOKUP('Données projet'!$B$13,Paramètres!$A$1:$I$89,3,0)*VLOOKUP('Données projet'!$B$13,Paramètres!$A$1:$I$89,5,0)</f>
        <v>20.982104508048526</v>
      </c>
      <c r="CV17" s="13">
        <f t="shared" si="41"/>
        <v>6.7848129913241397</v>
      </c>
      <c r="CW17" s="20">
        <f t="shared" si="13"/>
        <v>48.360714644740732</v>
      </c>
      <c r="CX17" s="59">
        <f t="shared" si="14"/>
        <v>341.69404797807402</v>
      </c>
      <c r="CY17" s="59">
        <f ca="1">AVERAGE(OFFSET($CX$3,0,0,'Données projet'!$E$13+1,1))-AVERAGE(OFFSET($H$3,0,0,'Données projet'!$E$13+1,1))</f>
        <v>181.32837315090507</v>
      </c>
      <c r="CZ17" s="59">
        <f t="shared" si="42"/>
        <v>175.03267817980338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14.6</v>
      </c>
      <c r="DO17" s="12">
        <f>IF('Données projet'!$A$166&gt;35,DO16+DN17-DW16,IF(A17&lt;'Données projet'!$A$166,$DL$205^A17,IF(A17='Données projet'!$A$166,'Données projet'!$B$166,DO16+DN17-DW16)))</f>
        <v>70.400000000000006</v>
      </c>
      <c r="DP17" s="17">
        <f>DO17*VLOOKUP('Données projet'!$B$14,Paramètres!$A$1:$I$89,3,0)*VLOOKUP('Données projet'!$B$14,Paramètres!$A$1:$I$89,5,0)</f>
        <v>56.01024000000001</v>
      </c>
      <c r="DQ17" s="13">
        <f t="shared" si="43"/>
        <v>16.155528478402793</v>
      </c>
      <c r="DR17" s="20">
        <f t="shared" si="16"/>
        <v>125.68871343321821</v>
      </c>
      <c r="DS17" s="59">
        <f t="shared" si="17"/>
        <v>419.02204676655151</v>
      </c>
      <c r="DT17" s="59">
        <f ca="1">AVERAGE(OFFSET($DS$3,0,0,'Données projet'!$E$14+1,1))-AVERAGE(OFFSET($H$3,0,0,'Données projet'!$E$14+1,1))</f>
        <v>325.72928944930294</v>
      </c>
      <c r="DU17" s="59">
        <f t="shared" si="44"/>
        <v>318.38876834819752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0.87268777401264619</v>
      </c>
      <c r="EC17" s="21">
        <f>EXP(-LN(2)/2)*EC16+(1-EXP(-LN(2)/2))/(LN(2)/2)*DW17*DZ17*VLOOKUP('Données projet'!$B$14,Paramètres!$A$1:$I$89,3,0)*0.475*44/12</f>
        <v>0.91957076624355749</v>
      </c>
      <c r="ED17" s="22">
        <f t="shared" si="18"/>
        <v>1.7922585402562037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3.65</v>
      </c>
      <c r="EJ17" s="12">
        <f>IF('Données projet'!$A$192&gt;35,EJ16+EI17-ER16,IF(A17&lt;'Données projet'!$A$192,$EG$205^A17,IF(A17='Données projet'!$A$192,'Données projet'!$B$192,EJ16+EI17-ER16)))</f>
        <v>20.152364144963837</v>
      </c>
      <c r="EK17" s="17">
        <f>EJ17*VLOOKUP('Données projet'!$B$15,Paramètres!$A$1:$I$89,3,0)*VLOOKUP('Données projet'!$B$15,Paramètres!$A$1:$I$89,5,0)</f>
        <v>20.434497242993334</v>
      </c>
      <c r="EL17" s="13">
        <f t="shared" si="45"/>
        <v>6.6281092368495731</v>
      </c>
      <c r="EM17" s="20">
        <f t="shared" si="19"/>
        <v>47.134039619059727</v>
      </c>
      <c r="EN17" s="59">
        <f t="shared" si="20"/>
        <v>340.46737295239302</v>
      </c>
      <c r="EO17" s="59">
        <f ca="1">AVERAGE(OFFSET($EN$3,0,0,'Données projet'!$E$15+1,1))-AVERAGE(OFFSET($H$3,0,0,'Données projet'!$E$15+1,1))</f>
        <v>384.50065773787549</v>
      </c>
      <c r="EP17" s="59">
        <f t="shared" si="46"/>
        <v>231.92898690465887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3.65</v>
      </c>
      <c r="FE17" s="12">
        <f>IF('Données projet'!$A$218&gt;35,FE16+FD17-FM16,IF(A17&lt;'Données projet'!$A$218,$FB$205^A17,IF(A17='Données projet'!$A$218,'Données projet'!$B$218,FE16+FD17-FM16)))</f>
        <v>20.152364144963837</v>
      </c>
      <c r="FF17" s="17">
        <f>FE17*VLOOKUP('Données projet'!$B$16,Paramètres!$A$1:$I$89,3,0)*VLOOKUP('Données projet'!$B$16,Paramètres!$A$1:$I$89,5,0)</f>
        <v>18.233859078363277</v>
      </c>
      <c r="FG17" s="13">
        <f t="shared" si="47"/>
        <v>5.9932775513027368</v>
      </c>
      <c r="FH17" s="20">
        <f t="shared" si="22"/>
        <v>42.195596296668306</v>
      </c>
      <c r="FI17" s="59">
        <f t="shared" si="23"/>
        <v>335.52892963000164</v>
      </c>
      <c r="FJ17" s="59">
        <f ca="1">AVERAGE(OFFSET($FI$3,0,0,'Données projet'!$E$16+1,1))-AVERAGE(OFFSET($H$3,0,0,'Données projet'!$E$16+1,1))</f>
        <v>326.46362829268969</v>
      </c>
      <c r="FK17" s="59">
        <f t="shared" si="48"/>
        <v>203.5274665601915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3.65</v>
      </c>
      <c r="FZ17" s="12">
        <f>IF('Données projet'!$A$244&gt;35,FZ16+FY17-GH16,IF(A17&lt;'Données projet'!$A$244,$FW$205^A17,IF(A17='Données projet'!$A$244,'Données projet'!$B$244,FZ16+FY17-GH16)))</f>
        <v>20.152364144963837</v>
      </c>
      <c r="GA17" s="17">
        <f>FZ17*VLOOKUP('Données projet'!$B$17,Paramètres!$A$1:$I$89,3,0)*VLOOKUP('Données projet'!$B$17,Paramètres!$A$1:$I$89,5,0)</f>
        <v>19.491366601009023</v>
      </c>
      <c r="GB17" s="13">
        <f t="shared" si="49"/>
        <v>6.3570658813537859</v>
      </c>
      <c r="GC17" s="20">
        <f t="shared" si="25"/>
        <v>45.01935324011523</v>
      </c>
      <c r="GD17" s="59">
        <f t="shared" si="26"/>
        <v>338.35268657344852</v>
      </c>
      <c r="GE17" s="59">
        <f ca="1">AVERAGE(OFFSET($GD$3,0,0,'Données projet'!$E$17+1,1))-AVERAGE(OFFSET($H$3,0,0,'Données projet'!$E$17+1,1))</f>
        <v>353.24082990916918</v>
      </c>
      <c r="GF17" s="59">
        <f t="shared" si="50"/>
        <v>219.76562717496353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378.17323480030268</v>
      </c>
      <c r="T18" s="59">
        <f t="shared" si="34"/>
        <v>471.89239871617241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8.5</v>
      </c>
      <c r="AI18" s="13">
        <f>IF('Données projet'!$A$62&gt;35,AI17+AH18-AQ17,IF(A18&lt;'Données projet'!$A$62,$AF$205^A18,IF(A18='Données projet'!$A$62,'Données projet'!$B$62,AI17+AH18-AQ17)))</f>
        <v>50.5</v>
      </c>
      <c r="AJ18" s="13">
        <f>AI18*VLOOKUP('Données projet'!$B$10,Paramètres!$A$1:$I$89,3,0)*VLOOKUP('Données projet'!$B$10,Paramètres!$A$1:$I$89,5,0)</f>
        <v>30.199000000000002</v>
      </c>
      <c r="AK18" s="13">
        <f t="shared" si="35"/>
        <v>9.3599492233623032</v>
      </c>
      <c r="AL18" s="20">
        <f t="shared" si="4"/>
        <v>68.898503230689343</v>
      </c>
      <c r="AM18" s="59">
        <f t="shared" si="5"/>
        <v>362.23183656402267</v>
      </c>
      <c r="AN18" s="59">
        <f ca="1">AVERAGE(OFFSET($AM$3,0,0,'Données projet'!$E$10+1,1))-AVERAGE(OFFSET($H$3,0,0,'Données projet'!$E$10+1,1))</f>
        <v>141.22849894256314</v>
      </c>
      <c r="AO18" s="59">
        <f t="shared" si="36"/>
        <v>156.12101479343704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6.2222222222222223</v>
      </c>
      <c r="BD18" s="12">
        <f>IF('Données projet'!$A$88&gt;35,BD17+BC18-BL17,IF(A18&lt;'Données projet'!$A$88,$BA$205^A18,IF(A18='Données projet'!$A$88,'Données projet'!$B$88,BD17+BC18-BL17)))</f>
        <v>51.013096442350388</v>
      </c>
      <c r="BE18" s="13">
        <f>BD18*VLOOKUP('Données projet'!$B$11,Paramètres!$A$1:$I$89,3,0)*VLOOKUP('Données projet'!$B$11,Paramètres!$A$1:$I$89,5,0)</f>
        <v>22.547788627518877</v>
      </c>
      <c r="BF18" s="13">
        <f t="shared" si="37"/>
        <v>7.2302733957245628</v>
      </c>
      <c r="BG18" s="20">
        <f t="shared" si="7"/>
        <v>51.86345802381566</v>
      </c>
      <c r="BH18" s="59">
        <f t="shared" si="8"/>
        <v>345.19679135714898</v>
      </c>
      <c r="BI18" s="59">
        <f ca="1">AVERAGE(OFFSET($BH$3,0,0,'Données projet'!$E$11+1,1))-AVERAGE(OFFSET($H$3,0,0,'Données projet'!$E$11+1,1))</f>
        <v>114.25511901730295</v>
      </c>
      <c r="BJ18" s="59">
        <f t="shared" si="38"/>
        <v>180.96261947642182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40</v>
      </c>
      <c r="BW18" s="12">
        <f>VLOOKUP(A18,'Données projet'!$A$113:$I$133,9,0)</f>
        <v>2.6666666666666665</v>
      </c>
      <c r="BX18" s="12">
        <f t="array" ref="BX18">INDEX(BW:BW,MIN(IF(ISNUMBER(BW18:BW214),ROW(BW18:BW214),"")))</f>
        <v>2.6666666666666665</v>
      </c>
      <c r="BY18" s="12">
        <f>IF('Données projet'!$A$114&gt;35,BY17+BX18-CG17,IF(A18&lt;'Données projet'!$A$114,$BV$205^A18,IF(A18='Données projet'!$A$114,'Données projet'!$B$114,BY17+BX18-CG17)))</f>
        <v>40</v>
      </c>
      <c r="BZ18" s="13">
        <f>BY18*VLOOKUP('Données projet'!$B$12,Paramètres!$A$1:$I$89,3,0)*VLOOKUP('Données projet'!$B$12,Paramètres!$A$1:$I$89,5,0)</f>
        <v>31.200000000000003</v>
      </c>
      <c r="CA18" s="13">
        <f t="shared" si="39"/>
        <v>9.6335657126419925</v>
      </c>
      <c r="CB18" s="20">
        <f t="shared" si="10"/>
        <v>71.118460282851473</v>
      </c>
      <c r="CC18" s="59">
        <f t="shared" si="11"/>
        <v>364.45179361618477</v>
      </c>
      <c r="CD18" s="59">
        <f ca="1">AVERAGE(OFFSET($CC$3,0,0,'Données projet'!$E$12+1,1))-AVERAGE(OFFSET($H$3,0,0,'Données projet'!$E$12+1,1))</f>
        <v>216.95993967070063</v>
      </c>
      <c r="CE18" s="59">
        <f t="shared" si="40"/>
        <v>208.79744153433245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8.6000000000000007E-2</v>
      </c>
      <c r="CI18" s="16">
        <f>IF(ISNA(VLOOKUP(A18,'Données projet'!$A$113:$I$133,6,0)),0%,VLOOKUP(A18,'Données projet'!$A$113:$I$133,6,0)*VLOOKUP('Données projet'!$B$12,Paramètres!$A$1:$I$89,7,0))</f>
        <v>8.6000000000000007E-2</v>
      </c>
      <c r="CJ18" s="16">
        <f>IF(ISNA(VLOOKUP(A18,'Données projet'!$A$113:$I$133,7,0)),0%,VLOOKUP(A18,'Données projet'!$A$113:$I$133,7,0))</f>
        <v>0.6</v>
      </c>
      <c r="CK18" s="21">
        <f>EXP(-LN(2)/35)*CK17+(1-EXP(-LN(2)/35))/(LN(2)/35)*CG18*CH18*VLOOKUP('Données projet'!$B$12,Paramètres!$A$1:$I$89,3,0)*0.475*44/12</f>
        <v>0.22246485917721093</v>
      </c>
      <c r="CL18" s="21">
        <f>EXP(-LN(2)/25)*CL17+(1-EXP(-LN(2)/25))/(LN(2)/25)*Calculateur!CG18*Calculateur!CI18*VLOOKUP('Données projet'!$B$12,Paramètres!$A$1:$I$89,3,0)*0.475*44/12</f>
        <v>0.22158893026087334</v>
      </c>
      <c r="CM18" s="21">
        <f>EXP(-LN(2)/2)*CM17+(1-EXP(-LN(2)/2))/(LN(2)/2)*CG18*CJ18*VLOOKUP('Données projet'!$B$12,Paramètres!$A$1:$I$89,3,0)*0.475*44/12</f>
        <v>1.3247117881059649</v>
      </c>
      <c r="CN18" s="22">
        <f t="shared" si="12"/>
        <v>1.7687655775440492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40</v>
      </c>
      <c r="CR18" s="12">
        <f>VLOOKUP(A18,'Données projet'!$A$139:$I$159,9,0)</f>
        <v>2.6666666666666665</v>
      </c>
      <c r="CS18" s="12">
        <f t="array" ref="CS18">INDEX(CR:CR,MIN(IF(ISNUMBER(CR18:CR214),ROW(CR18:CR214),"")))</f>
        <v>2.6666666666666665</v>
      </c>
      <c r="CT18" s="12">
        <f>IF('Données projet'!$A$140&gt;35,CT17+CS18-DB17,IF(A18&lt;'Données projet'!$A$140,$CQ$205^A18,IF(A18='Données projet'!$A$140,'Données projet'!$B$140,CT17+CS18-DB17)))</f>
        <v>40</v>
      </c>
      <c r="CU18" s="17">
        <f>CT18*VLOOKUP('Données projet'!$B$13,Paramètres!$A$1:$I$89,3,0)*VLOOKUP('Données projet'!$B$13,Paramètres!$A$1:$I$89,5,0)</f>
        <v>26.832000000000001</v>
      </c>
      <c r="CV18" s="13">
        <f t="shared" si="41"/>
        <v>8.4315980680326312</v>
      </c>
      <c r="CW18" s="20">
        <f t="shared" si="13"/>
        <v>61.4174333018235</v>
      </c>
      <c r="CX18" s="59">
        <f t="shared" si="14"/>
        <v>354.75076663515682</v>
      </c>
      <c r="CY18" s="59">
        <f ca="1">AVERAGE(OFFSET($CX$3,0,0,'Données projet'!$E$13+1,1))-AVERAGE(OFFSET($H$3,0,0,'Données projet'!$E$13+1,1))</f>
        <v>181.32837315090507</v>
      </c>
      <c r="CZ18" s="59">
        <f t="shared" si="42"/>
        <v>175.03267817980338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</v>
      </c>
      <c r="DC18" s="16">
        <f>IF(ISNA(VLOOKUP(A18,'Données projet'!$A$139:$I$159,5,0)),0%,VLOOKUP(A18,'Données projet'!$A$139:$I$159,5,0)*VLOOKUP('Données projet'!$B$13,Paramètres!$A$1:$I$89,7,0))</f>
        <v>0.10600000000000001</v>
      </c>
      <c r="DD18" s="16">
        <f>IF(ISNA(VLOOKUP(A18,'Données projet'!$A$139:$I$159,6,0)),0%,VLOOKUP(A18,'Données projet'!$A$139:$I$159,6,0)*VLOOKUP('Données projet'!$B$13,Paramètres!$A$1:$I$89,7,0))</f>
        <v>0.10600000000000001</v>
      </c>
      <c r="DE18" s="16">
        <f>IF(ISNA(VLOOKUP(A18,'Données projet'!$A$139:$I$159,7,0)),0%,VLOOKUP(A18,'Données projet'!$A$139:$I$159,7,0))</f>
        <v>0.6</v>
      </c>
      <c r="DF18" s="21">
        <f>EXP(-LN(2)/35)*DF17+(1-EXP(-LN(2)/35))/(LN(2)/35)*DB18*DC18*VLOOKUP('Données projet'!$B$13,Paramètres!$A$1:$I$89,3,0)*0.475*44/12</f>
        <v>0.23581275072784355</v>
      </c>
      <c r="DG18" s="21">
        <f>EXP(-LN(2)/25)*DG17+(1-EXP(-LN(2)/25))/(LN(2)/25)*Calculateur!DB18*Calculateur!DD18*VLOOKUP('Données projet'!$B$13,Paramètres!$A$1:$I$89,3,0)*0.475*44/12</f>
        <v>0.23488426607652579</v>
      </c>
      <c r="DH18" s="21">
        <f>EXP(-LN(2)/2)*DH17+(1-EXP(-LN(2)/2))/(LN(2)/2)*DB18*DE18*VLOOKUP('Données projet'!$B$13,Paramètres!$A$1:$I$89,3,0)*0.475*44/12</f>
        <v>1.1392521377711298</v>
      </c>
      <c r="DI18" s="22">
        <f t="shared" si="15"/>
        <v>1.6099491545754991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85</v>
      </c>
      <c r="DM18" s="12">
        <f>VLOOKUP(A18,'Données projet'!$A$165:$I$185,9,0)</f>
        <v>14.6</v>
      </c>
      <c r="DN18" s="12">
        <f t="array" ref="DN18">INDEX(DM:DM,MIN(IF(ISNUMBER(DM18:DM214),ROW(DM18:DM214),"")))</f>
        <v>14.6</v>
      </c>
      <c r="DO18" s="12">
        <f>IF('Données projet'!$A$166&gt;35,DO17+DN18-DW17,IF(A18&lt;'Données projet'!$A$166,$DL$205^A18,IF(A18='Données projet'!$A$166,'Données projet'!$B$166,DO17+DN18-DW17)))</f>
        <v>85</v>
      </c>
      <c r="DP18" s="17">
        <f>DO18*VLOOKUP('Données projet'!$B$14,Paramètres!$A$1:$I$89,3,0)*VLOOKUP('Données projet'!$B$14,Paramètres!$A$1:$I$89,5,0)</f>
        <v>67.626000000000005</v>
      </c>
      <c r="DQ18" s="13">
        <f t="shared" si="43"/>
        <v>19.082731089464875</v>
      </c>
      <c r="DR18" s="20">
        <f t="shared" si="16"/>
        <v>151.01770664748466</v>
      </c>
      <c r="DS18" s="59">
        <f t="shared" si="17"/>
        <v>444.35103998081797</v>
      </c>
      <c r="DT18" s="59">
        <f ca="1">AVERAGE(OFFSET($DS$3,0,0,'Données projet'!$E$14+1,1))-AVERAGE(OFFSET($H$3,0,0,'Données projet'!$E$14+1,1))</f>
        <v>325.72928944930294</v>
      </c>
      <c r="DU18" s="59">
        <f t="shared" si="44"/>
        <v>318.38876834819752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42</v>
      </c>
      <c r="DX18" s="16">
        <f>IF(ISNA(VLOOKUP(A18,'Données projet'!$A$165:$I$185,5,0)),0%,VLOOKUP(A18,'Données projet'!$A$165:$I$185,5,0)*VLOOKUP('Données projet'!$B$14,Paramètres!$A$1:$I$89,7,0))</f>
        <v>0.10600000000000001</v>
      </c>
      <c r="DY18" s="16">
        <f>IF(ISNA(VLOOKUP(A18,'Données projet'!$A$165:$I$185,6,0)),0%,VLOOKUP(A18,'Données projet'!$A$165:$I$185,6,0)*VLOOKUP('Données projet'!$B$14,Paramètres!$A$1:$I$89,7,0))</f>
        <v>0.10600000000000001</v>
      </c>
      <c r="DZ18" s="16">
        <f>IF(ISNA(VLOOKUP(A18,'Données projet'!$A$165:$I$185,7,0)),0%,VLOOKUP(A18,'Données projet'!$A$165:$I$185,7,0))</f>
        <v>0.6</v>
      </c>
      <c r="EA18" s="21">
        <f>EXP(-LN(2)/35)*EA17+(1-EXP(-LN(2)/35))/(LN(2)/35)*DW18*DX18*VLOOKUP('Données projet'!$B$14,Paramètres!$A$1:$I$89,3,0)*0.475*44/12</f>
        <v>3.9155884655739612</v>
      </c>
      <c r="EB18" s="21">
        <f>EXP(-LN(2)/25)*EB17+(1-EXP(-LN(2)/25))/(LN(2)/25)*Calculateur!DW18*Calculateur!DY18*VLOOKUP('Données projet'!$B$14,Paramètres!$A$1:$I$89,3,0)*0.475*44/12</f>
        <v>4.7489953827684372</v>
      </c>
      <c r="EC18" s="21">
        <f>EXP(-LN(2)/2)*EC17+(1-EXP(-LN(2)/2))/(LN(2)/2)*DW18*DZ18*VLOOKUP('Données projet'!$B$14,Paramètres!$A$1:$I$89,3,0)*0.475*44/12</f>
        <v>19.567119058744911</v>
      </c>
      <c r="ED18" s="22">
        <f t="shared" si="18"/>
        <v>28.23170290708731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3.65</v>
      </c>
      <c r="EJ18" s="12">
        <f>IF('Données projet'!$A$192&gt;35,EJ17+EI18-ER17,IF(A18&lt;'Données projet'!$A$192,$EG$205^A18,IF(A18='Données projet'!$A$192,'Données projet'!$B$192,EJ17+EI18-ER17)))</f>
        <v>24.974232188561476</v>
      </c>
      <c r="EK18" s="17">
        <f>EJ18*VLOOKUP('Données projet'!$B$15,Paramètres!$A$1:$I$89,3,0)*VLOOKUP('Données projet'!$B$15,Paramètres!$A$1:$I$89,5,0)</f>
        <v>25.323871439201337</v>
      </c>
      <c r="EL18" s="13">
        <f t="shared" si="45"/>
        <v>8.0114524854610902</v>
      </c>
      <c r="EM18" s="20">
        <f t="shared" si="19"/>
        <v>58.059022502120392</v>
      </c>
      <c r="EN18" s="59">
        <f t="shared" si="20"/>
        <v>351.39235583545371</v>
      </c>
      <c r="EO18" s="59">
        <f ca="1">AVERAGE(OFFSET($EN$3,0,0,'Données projet'!$E$15+1,1))-AVERAGE(OFFSET($H$3,0,0,'Données projet'!$E$15+1,1))</f>
        <v>384.50065773787549</v>
      </c>
      <c r="EP18" s="59">
        <f t="shared" si="46"/>
        <v>231.92898690465887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3.65</v>
      </c>
      <c r="FE18" s="12">
        <f>IF('Données projet'!$A$218&gt;35,FE17+FD18-FM17,IF(A18&lt;'Données projet'!$A$218,$FB$205^A18,IF(A18='Données projet'!$A$218,'Données projet'!$B$218,FE17+FD18-FM17)))</f>
        <v>24.974232188561476</v>
      </c>
      <c r="FF18" s="17">
        <f>FE18*VLOOKUP('Données projet'!$B$16,Paramètres!$A$1:$I$89,3,0)*VLOOKUP('Données projet'!$B$16,Paramètres!$A$1:$I$89,5,0)</f>
        <v>22.596685284210423</v>
      </c>
      <c r="FG18" s="13">
        <f t="shared" si="47"/>
        <v>7.2441259820371586</v>
      </c>
      <c r="FH18" s="20">
        <f t="shared" si="22"/>
        <v>51.972746288714539</v>
      </c>
      <c r="FI18" s="59">
        <f t="shared" si="23"/>
        <v>345.30607962204783</v>
      </c>
      <c r="FJ18" s="59">
        <f ca="1">AVERAGE(OFFSET($FI$3,0,0,'Données projet'!$E$16+1,1))-AVERAGE(OFFSET($H$3,0,0,'Données projet'!$E$16+1,1))</f>
        <v>326.46362829268969</v>
      </c>
      <c r="FK18" s="59">
        <f t="shared" si="48"/>
        <v>203.5274665601915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3.65</v>
      </c>
      <c r="FZ18" s="12">
        <f>IF('Données projet'!$A$244&gt;35,FZ17+FY18-GH17,IF(A18&lt;'Données projet'!$A$244,$FW$205^A18,IF(A18='Données projet'!$A$244,'Données projet'!$B$244,FZ17+FY18-GH17)))</f>
        <v>24.974232188561476</v>
      </c>
      <c r="GA18" s="17">
        <f>FZ18*VLOOKUP('Données projet'!$B$17,Paramètres!$A$1:$I$89,3,0)*VLOOKUP('Données projet'!$B$17,Paramètres!$A$1:$I$89,5,0)</f>
        <v>24.155077372776663</v>
      </c>
      <c r="GB18" s="13">
        <f t="shared" si="49"/>
        <v>7.6838400568695304</v>
      </c>
      <c r="GC18" s="20">
        <f t="shared" si="25"/>
        <v>55.452781189967119</v>
      </c>
      <c r="GD18" s="59">
        <f t="shared" si="26"/>
        <v>348.78611452330045</v>
      </c>
      <c r="GE18" s="59">
        <f ca="1">AVERAGE(OFFSET($GD$3,0,0,'Données projet'!$E$17+1,1))-AVERAGE(OFFSET($H$3,0,0,'Données projet'!$E$17+1,1))</f>
        <v>353.24082990916918</v>
      </c>
      <c r="GF18" s="59">
        <f t="shared" si="50"/>
        <v>219.76562717496353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378.17323480030268</v>
      </c>
      <c r="T19" s="59">
        <f t="shared" si="34"/>
        <v>471.89239871617241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59</v>
      </c>
      <c r="AG19" s="12">
        <f>VLOOKUP(A19,'Données projet'!$A$61:$I$81,9,0)</f>
        <v>8.5</v>
      </c>
      <c r="AH19" s="12">
        <f t="array" ref="AH19">INDEX(AG:AG,MIN(IF(ISNUMBER(AG19:AG215),ROW(AG19:AG215),"")))</f>
        <v>8.5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35.282000000000004</v>
      </c>
      <c r="AK19" s="13">
        <f t="shared" si="35"/>
        <v>10.73915395799758</v>
      </c>
      <c r="AL19" s="20">
        <f t="shared" si="4"/>
        <v>80.153509810179131</v>
      </c>
      <c r="AM19" s="59">
        <f t="shared" si="5"/>
        <v>373.48684314351243</v>
      </c>
      <c r="AN19" s="59">
        <f ca="1">AVERAGE(OFFSET($AM$3,0,0,'Données projet'!$E$10+1,1))-AVERAGE(OFFSET($H$3,0,0,'Données projet'!$E$10+1,1))</f>
        <v>141.22849894256314</v>
      </c>
      <c r="AO19" s="59">
        <f t="shared" si="36"/>
        <v>156.12101479343704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8</v>
      </c>
      <c r="AR19" s="16">
        <f>IF(ISNA(VLOOKUP(A19,'Données projet'!$A$61:$I$81,5,0)),0%,VLOOKUP(A19,'Données projet'!$A$61:$I$81,5,0)*VLOOKUP('Données projet'!$B$10,Paramètres!$A$1:$I$89,7,0))</f>
        <v>9.0000000000000011E-2</v>
      </c>
      <c r="AS19" s="16">
        <f>IF(ISNA(VLOOKUP(A19,'Données projet'!$A$61:$I$81,6,0)),0%,VLOOKUP(A19,'Données projet'!$A$61:$I$81,6,0)*VLOOKUP('Données projet'!$B$10,Paramètres!$A$1:$I$89,7,0))</f>
        <v>9.0000000000000011E-2</v>
      </c>
      <c r="AT19" s="16">
        <f>IF(ISNA(VLOOKUP(A19,'Données projet'!$A$61:$I$81,7,0)),0%,VLOOKUP(A19,'Données projet'!$A$61:$I$81,7,0))</f>
        <v>0.6</v>
      </c>
      <c r="AU19" s="21">
        <f>EXP(-LN(2)/35)*AU18+(1-EXP(-LN(2)/35))/(LN(2)/35)*AQ19*AR19*VLOOKUP('Données projet'!$B$10,Paramètres!$A$1:$I$89,3,0)*0.475*44/12</f>
        <v>0.57116559193404848</v>
      </c>
      <c r="AV19" s="21">
        <f>EXP(-LN(2)/25)*AV18+(1-EXP(-LN(2)/25))/(LN(2)/25)*Calculateur!AQ19*Calculateur!AS19*VLOOKUP('Données projet'!$B$10,Paramètres!$A$1:$I$89,3,0)*0.475*44/12</f>
        <v>0.5689166953674516</v>
      </c>
      <c r="AW19" s="21">
        <f>EXP(-LN(2)/2)*AW18+(1-EXP(-LN(2)/2))/(LN(2)/2)*AQ19*AT19*VLOOKUP('Données projet'!$B$10,Paramètres!$A$1:$I$89,3,0)*0.475*44/12</f>
        <v>3.2499595868199673</v>
      </c>
      <c r="AX19" s="21">
        <f t="shared" si="6"/>
        <v>4.3900418741214668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6.2222222222222223</v>
      </c>
      <c r="BD19" s="12">
        <f>IF('Données projet'!$A$88&gt;35,BD18+BC19-BL18,IF(A19&lt;'Données projet'!$A$88,$BA$205^A19,IF(A19='Données projet'!$A$88,'Données projet'!$B$88,BD18+BC19-BL18)))</f>
        <v>66.302076663695672</v>
      </c>
      <c r="BE19" s="13">
        <f>BD19*VLOOKUP('Données projet'!$B$11,Paramètres!$A$1:$I$89,3,0)*VLOOKUP('Données projet'!$B$11,Paramètres!$A$1:$I$89,5,0)</f>
        <v>29.305517885353492</v>
      </c>
      <c r="BF19" s="13">
        <f t="shared" si="37"/>
        <v>9.1148296259287562</v>
      </c>
      <c r="BG19" s="20">
        <f t="shared" si="7"/>
        <v>66.915438582149918</v>
      </c>
      <c r="BH19" s="59">
        <f t="shared" si="8"/>
        <v>360.24877191548325</v>
      </c>
      <c r="BI19" s="59">
        <f ca="1">AVERAGE(OFFSET($BH$3,0,0,'Données projet'!$E$11+1,1))-AVERAGE(OFFSET($H$3,0,0,'Données projet'!$E$11+1,1))</f>
        <v>114.25511901730295</v>
      </c>
      <c r="BJ19" s="59">
        <f t="shared" si="38"/>
        <v>180.96261947642182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46.6</v>
      </c>
      <c r="BZ19" s="13">
        <f>BY19*VLOOKUP('Données projet'!$B$12,Paramètres!$A$1:$I$89,3,0)*VLOOKUP('Données projet'!$B$12,Paramètres!$A$1:$I$89,5,0)</f>
        <v>36.347999999999999</v>
      </c>
      <c r="CA19" s="13">
        <f t="shared" si="39"/>
        <v>11.025356771848859</v>
      </c>
      <c r="CB19" s="20">
        <f t="shared" si="10"/>
        <v>82.508596377636763</v>
      </c>
      <c r="CC19" s="59">
        <f t="shared" si="11"/>
        <v>375.84192971097008</v>
      </c>
      <c r="CD19" s="59">
        <f ca="1">AVERAGE(OFFSET($CC$3,0,0,'Données projet'!$E$12+1,1))-AVERAGE(OFFSET($H$3,0,0,'Données projet'!$E$12+1,1))</f>
        <v>216.95993967070063</v>
      </c>
      <c r="CE19" s="59">
        <f t="shared" si="40"/>
        <v>208.79744153433245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0.21810245897891162</v>
      </c>
      <c r="CL19" s="21">
        <f>EXP(-LN(2)/25)*CL18+(1-EXP(-LN(2)/25))/(LN(2)/25)*Calculateur!CG19*Calculateur!CI19*VLOOKUP('Données projet'!$B$12,Paramètres!$A$1:$I$89,3,0)*0.475*44/12</f>
        <v>0.21552956931003436</v>
      </c>
      <c r="CM19" s="21">
        <f>EXP(-LN(2)/2)*CM18+(1-EXP(-LN(2)/2))/(LN(2)/2)*CG19*CJ19*VLOOKUP('Données projet'!$B$12,Paramètres!$A$1:$I$89,3,0)*0.475*44/12</f>
        <v>0.93671268848748468</v>
      </c>
      <c r="CN19" s="22">
        <f t="shared" si="12"/>
        <v>1.3703447167764307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46.6</v>
      </c>
      <c r="CU19" s="17">
        <f>CT19*VLOOKUP('Données projet'!$B$13,Paramètres!$A$1:$I$89,3,0)*VLOOKUP('Données projet'!$B$13,Paramètres!$A$1:$I$89,5,0)</f>
        <v>31.25928</v>
      </c>
      <c r="CV19" s="13">
        <f t="shared" si="41"/>
        <v>9.6497371409320873</v>
      </c>
      <c r="CW19" s="20">
        <f t="shared" si="13"/>
        <v>71.249871520456722</v>
      </c>
      <c r="CX19" s="59">
        <f t="shared" si="14"/>
        <v>364.58320485379005</v>
      </c>
      <c r="CY19" s="59">
        <f ca="1">AVERAGE(OFFSET($CX$3,0,0,'Données projet'!$E$13+1,1))-AVERAGE(OFFSET($H$3,0,0,'Données projet'!$E$13+1,1))</f>
        <v>181.32837315090507</v>
      </c>
      <c r="CZ19" s="59">
        <f t="shared" si="42"/>
        <v>175.03267817980338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0.23118860651764631</v>
      </c>
      <c r="DG19" s="21">
        <f>EXP(-LN(2)/25)*DG18+(1-EXP(-LN(2)/25))/(LN(2)/25)*Calculateur!DB19*Calculateur!DD19*VLOOKUP('Données projet'!$B$13,Paramètres!$A$1:$I$89,3,0)*0.475*44/12</f>
        <v>0.22846134346863647</v>
      </c>
      <c r="DH19" s="21">
        <f>EXP(-LN(2)/2)*DH18+(1-EXP(-LN(2)/2))/(LN(2)/2)*DB19*DE19*VLOOKUP('Données projet'!$B$13,Paramètres!$A$1:$I$89,3,0)*0.475*44/12</f>
        <v>0.80557291209923676</v>
      </c>
      <c r="DI19" s="22">
        <f t="shared" si="15"/>
        <v>1.2652228620855195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16</v>
      </c>
      <c r="DO19" s="12">
        <f>IF('Données projet'!$A$166&gt;35,DO18+DN19-DW18,IF(A19&lt;'Données projet'!$A$166,$DL$205^A19,IF(A19='Données projet'!$A$166,'Données projet'!$B$166,DO18+DN19-DW18)))</f>
        <v>59</v>
      </c>
      <c r="DP19" s="17">
        <f>DO19*VLOOKUP('Données projet'!$B$14,Paramètres!$A$1:$I$89,3,0)*VLOOKUP('Données projet'!$B$14,Paramètres!$A$1:$I$89,5,0)</f>
        <v>46.940400000000004</v>
      </c>
      <c r="DQ19" s="13">
        <f t="shared" si="43"/>
        <v>13.82072434588865</v>
      </c>
      <c r="DR19" s="20">
        <f t="shared" si="16"/>
        <v>105.82562490242275</v>
      </c>
      <c r="DS19" s="59">
        <f t="shared" si="17"/>
        <v>399.15895823575607</v>
      </c>
      <c r="DT19" s="59">
        <f ca="1">AVERAGE(OFFSET($DS$3,0,0,'Données projet'!$E$14+1,1))-AVERAGE(OFFSET($H$3,0,0,'Données projet'!$E$14+1,1))</f>
        <v>325.72928944930294</v>
      </c>
      <c r="DU19" s="59">
        <f t="shared" si="44"/>
        <v>318.38876834819752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3.8388061640371975</v>
      </c>
      <c r="EB19" s="21">
        <f>EXP(-LN(2)/25)*EB18+(1-EXP(-LN(2)/25))/(LN(2)/25)*Calculateur!DW19*Calculateur!DY19*VLOOKUP('Données projet'!$B$14,Paramètres!$A$1:$I$89,3,0)*0.475*44/12</f>
        <v>4.6191338542878215</v>
      </c>
      <c r="EC19" s="21">
        <f>EXP(-LN(2)/2)*EC18+(1-EXP(-LN(2)/2))/(LN(2)/2)*DW19*DZ19*VLOOKUP('Données projet'!$B$14,Paramètres!$A$1:$I$89,3,0)*0.475*44/12</f>
        <v>13.836042574723063</v>
      </c>
      <c r="ED19" s="22">
        <f t="shared" si="18"/>
        <v>22.293982593048081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3.65</v>
      </c>
      <c r="EJ19" s="12">
        <f>IF('Données projet'!$A$192&gt;35,EJ18+EI19-ER18,IF(A19&lt;'Données projet'!$A$192,$EG$205^A19,IF(A19='Données projet'!$A$192,'Données projet'!$B$192,EJ18+EI19-ER18)))</f>
        <v>30.949831440200953</v>
      </c>
      <c r="EK19" s="17">
        <f>EJ19*VLOOKUP('Données projet'!$B$15,Paramètres!$A$1:$I$89,3,0)*VLOOKUP('Données projet'!$B$15,Paramètres!$A$1:$I$89,5,0)</f>
        <v>31.383129080363769</v>
      </c>
      <c r="EL19" s="13">
        <f t="shared" si="45"/>
        <v>9.6835113353243223</v>
      </c>
      <c r="EM19" s="20">
        <f t="shared" si="19"/>
        <v>71.524398723990075</v>
      </c>
      <c r="EN19" s="59">
        <f t="shared" si="20"/>
        <v>364.8577320573234</v>
      </c>
      <c r="EO19" s="59">
        <f ca="1">AVERAGE(OFFSET($EN$3,0,0,'Données projet'!$E$15+1,1))-AVERAGE(OFFSET($H$3,0,0,'Données projet'!$E$15+1,1))</f>
        <v>384.50065773787549</v>
      </c>
      <c r="EP19" s="59">
        <f t="shared" si="46"/>
        <v>231.92898690465887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3.65</v>
      </c>
      <c r="FE19" s="12">
        <f>IF('Données projet'!$A$218&gt;35,FE18+FD19-FM18,IF(A19&lt;'Données projet'!$A$218,$FB$205^A19,IF(A19='Données projet'!$A$218,'Données projet'!$B$218,FE18+FD19-FM18)))</f>
        <v>30.949831440200953</v>
      </c>
      <c r="FF19" s="17">
        <f>FE19*VLOOKUP('Données projet'!$B$16,Paramètres!$A$1:$I$89,3,0)*VLOOKUP('Données projet'!$B$16,Paramètres!$A$1:$I$89,5,0)</f>
        <v>28.003407487093821</v>
      </c>
      <c r="FG19" s="13">
        <f t="shared" si="47"/>
        <v>8.7560372090925433</v>
      </c>
      <c r="FH19" s="20">
        <f t="shared" si="22"/>
        <v>64.022699512524582</v>
      </c>
      <c r="FI19" s="59">
        <f t="shared" si="23"/>
        <v>357.3560328458579</v>
      </c>
      <c r="FJ19" s="59">
        <f ca="1">AVERAGE(OFFSET($FI$3,0,0,'Données projet'!$E$16+1,1))-AVERAGE(OFFSET($H$3,0,0,'Données projet'!$E$16+1,1))</f>
        <v>326.46362829268969</v>
      </c>
      <c r="FK19" s="59">
        <f t="shared" si="48"/>
        <v>203.5274665601915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3.65</v>
      </c>
      <c r="FZ19" s="12">
        <f>IF('Données projet'!$A$244&gt;35,FZ18+FY19-GH18,IF(A19&lt;'Données projet'!$A$244,$FW$205^A19,IF(A19='Données projet'!$A$244,'Données projet'!$B$244,FZ18+FY19-GH18)))</f>
        <v>30.949831440200953</v>
      </c>
      <c r="GA19" s="17">
        <f>FZ19*VLOOKUP('Données projet'!$B$17,Paramètres!$A$1:$I$89,3,0)*VLOOKUP('Données projet'!$B$17,Paramètres!$A$1:$I$89,5,0)</f>
        <v>29.934676968962361</v>
      </c>
      <c r="GB19" s="13">
        <f t="shared" si="49"/>
        <v>9.2875233828754098</v>
      </c>
      <c r="GC19" s="20">
        <f t="shared" si="25"/>
        <v>68.311998946117441</v>
      </c>
      <c r="GD19" s="59">
        <f t="shared" si="26"/>
        <v>361.64533227945077</v>
      </c>
      <c r="GE19" s="59">
        <f ca="1">AVERAGE(OFFSET($GD$3,0,0,'Données projet'!$E$17+1,1))-AVERAGE(OFFSET($H$3,0,0,'Données projet'!$E$17+1,1))</f>
        <v>353.24082990916918</v>
      </c>
      <c r="GF19" s="59">
        <f t="shared" si="50"/>
        <v>219.76562717496353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378.17323480030268</v>
      </c>
      <c r="T20" s="59">
        <f t="shared" si="34"/>
        <v>471.89239871617241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</v>
      </c>
      <c r="AI20" s="13">
        <f>IF('Données projet'!$A$62&gt;35,AI19+AH20-AQ19,IF(A20&lt;'Données projet'!$A$62,$AF$205^A20,IF(A20='Données projet'!$A$62,'Données projet'!$B$62,AI19+AH20-AQ19)))</f>
        <v>61</v>
      </c>
      <c r="AJ20" s="13">
        <f>AI20*VLOOKUP('Données projet'!$B$10,Paramètres!$A$1:$I$89,3,0)*VLOOKUP('Données projet'!$B$10,Paramètres!$A$1:$I$89,5,0)</f>
        <v>36.478000000000002</v>
      </c>
      <c r="AK20" s="13">
        <f t="shared" si="35"/>
        <v>11.06019217991456</v>
      </c>
      <c r="AL20" s="20">
        <f t="shared" si="4"/>
        <v>82.795684713351179</v>
      </c>
      <c r="AM20" s="59">
        <f t="shared" si="5"/>
        <v>376.12901804668451</v>
      </c>
      <c r="AN20" s="59">
        <f ca="1">AVERAGE(OFFSET($AM$3,0,0,'Données projet'!$E$10+1,1))-AVERAGE(OFFSET($H$3,0,0,'Données projet'!$E$10+1,1))</f>
        <v>141.22849894256314</v>
      </c>
      <c r="AO20" s="59">
        <f t="shared" si="36"/>
        <v>156.12101479343704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0.5599653830528335</v>
      </c>
      <c r="AV20" s="21">
        <f>EXP(-LN(2)/25)*AV19+(1-EXP(-LN(2)/25))/(LN(2)/25)*Calculateur!AQ20*Calculateur!AS20*VLOOKUP('Données projet'!$B$10,Paramètres!$A$1:$I$89,3,0)*0.475*44/12</f>
        <v>0.5533596384145999</v>
      </c>
      <c r="AW20" s="21">
        <f>EXP(-LN(2)/2)*AW19+(1-EXP(-LN(2)/2))/(LN(2)/2)*AQ20*AT20*VLOOKUP('Données projet'!$B$10,Paramètres!$A$1:$I$89,3,0)*0.475*44/12</f>
        <v>2.2980684624226293</v>
      </c>
      <c r="AX20" s="21">
        <f t="shared" si="6"/>
        <v>3.4113934838900626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6.2222222222222223</v>
      </c>
      <c r="BD20" s="12">
        <f>IF('Données projet'!$A$88&gt;35,BD19+BC20-BL19,IF(A20&lt;'Données projet'!$A$88,$BA$205^A20,IF(A20='Données projet'!$A$88,'Données projet'!$B$88,BD19+BC20-BL19)))</f>
        <v>86.1732707185582</v>
      </c>
      <c r="BE20" s="13">
        <f>BD20*VLOOKUP('Données projet'!$B$11,Paramètres!$A$1:$I$89,3,0)*VLOOKUP('Données projet'!$B$11,Paramètres!$A$1:$I$89,5,0)</f>
        <v>38.088585657602728</v>
      </c>
      <c r="BF20" s="13">
        <f t="shared" si="37"/>
        <v>11.490591650218356</v>
      </c>
      <c r="BG20" s="20">
        <f t="shared" si="7"/>
        <v>86.350400477788369</v>
      </c>
      <c r="BH20" s="59">
        <f t="shared" si="8"/>
        <v>379.68373381112167</v>
      </c>
      <c r="BI20" s="59">
        <f ca="1">AVERAGE(OFFSET($BH$3,0,0,'Données projet'!$E$11+1,1))-AVERAGE(OFFSET($H$3,0,0,'Données projet'!$E$11+1,1))</f>
        <v>114.25511901730295</v>
      </c>
      <c r="BJ20" s="59">
        <f t="shared" si="38"/>
        <v>180.96261947642182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56.2</v>
      </c>
      <c r="BZ20" s="13">
        <f>BY20*VLOOKUP('Données projet'!$B$12,Paramètres!$A$1:$I$89,3,0)*VLOOKUP('Données projet'!$B$12,Paramètres!$A$1:$I$89,5,0)</f>
        <v>43.836000000000006</v>
      </c>
      <c r="CA20" s="13">
        <f t="shared" si="39"/>
        <v>13.009897179721728</v>
      </c>
      <c r="CB20" s="20">
        <f t="shared" si="10"/>
        <v>99.006604254682017</v>
      </c>
      <c r="CC20" s="59">
        <f t="shared" si="11"/>
        <v>392.33993758801535</v>
      </c>
      <c r="CD20" s="59">
        <f ca="1">AVERAGE(OFFSET($CC$3,0,0,'Données projet'!$E$12+1,1))-AVERAGE(OFFSET($H$3,0,0,'Données projet'!$E$12+1,1))</f>
        <v>216.95993967070063</v>
      </c>
      <c r="CE20" s="59">
        <f t="shared" si="40"/>
        <v>208.79744153433245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0.21382560278769958</v>
      </c>
      <c r="CL20" s="21">
        <f>EXP(-LN(2)/25)*CL19+(1-EXP(-LN(2)/25))/(LN(2)/25)*Calculateur!CG20*Calculateur!CI20*VLOOKUP('Données projet'!$B$12,Paramètres!$A$1:$I$89,3,0)*0.475*44/12</f>
        <v>0.20963590190304401</v>
      </c>
      <c r="CM20" s="21">
        <f>EXP(-LN(2)/2)*CM19+(1-EXP(-LN(2)/2))/(LN(2)/2)*CG20*CJ20*VLOOKUP('Données projet'!$B$12,Paramètres!$A$1:$I$89,3,0)*0.475*44/12</f>
        <v>0.66235589405298256</v>
      </c>
      <c r="CN20" s="22">
        <f t="shared" si="12"/>
        <v>1.0858173987437261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56.2</v>
      </c>
      <c r="CU20" s="17">
        <f>CT20*VLOOKUP('Données projet'!$B$13,Paramètres!$A$1:$I$89,3,0)*VLOOKUP('Données projet'!$B$13,Paramètres!$A$1:$I$89,5,0)</f>
        <v>37.69896</v>
      </c>
      <c r="CV20" s="13">
        <f t="shared" si="41"/>
        <v>11.38666898611536</v>
      </c>
      <c r="CW20" s="20">
        <f t="shared" si="13"/>
        <v>85.490803817484263</v>
      </c>
      <c r="CX20" s="59">
        <f t="shared" si="14"/>
        <v>378.82413715081759</v>
      </c>
      <c r="CY20" s="59">
        <f ca="1">AVERAGE(OFFSET($CX$3,0,0,'Données projet'!$E$13+1,1))-AVERAGE(OFFSET($H$3,0,0,'Données projet'!$E$13+1,1))</f>
        <v>181.32837315090507</v>
      </c>
      <c r="CZ20" s="59">
        <f t="shared" si="42"/>
        <v>175.03267817980338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0.22665513895496153</v>
      </c>
      <c r="DG20" s="21">
        <f>EXP(-LN(2)/25)*DG19+(1-EXP(-LN(2)/25))/(LN(2)/25)*Calculateur!DB20*Calculateur!DD20*VLOOKUP('Données projet'!$B$13,Paramètres!$A$1:$I$89,3,0)*0.475*44/12</f>
        <v>0.22221405601722671</v>
      </c>
      <c r="DH20" s="21">
        <f>EXP(-LN(2)/2)*DH19+(1-EXP(-LN(2)/2))/(LN(2)/2)*DB20*DE20*VLOOKUP('Données projet'!$B$13,Paramètres!$A$1:$I$89,3,0)*0.475*44/12</f>
        <v>0.56962606888556488</v>
      </c>
      <c r="DI20" s="22">
        <f t="shared" si="15"/>
        <v>1.0184952638577531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16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59.67</v>
      </c>
      <c r="DQ20" s="13">
        <f t="shared" si="43"/>
        <v>17.084807896591332</v>
      </c>
      <c r="DR20" s="20">
        <f t="shared" si="16"/>
        <v>133.68129041989656</v>
      </c>
      <c r="DS20" s="59">
        <f t="shared" si="17"/>
        <v>427.0146237532299</v>
      </c>
      <c r="DT20" s="59">
        <f ca="1">AVERAGE(OFFSET($DS$3,0,0,'Données projet'!$E$14+1,1))-AVERAGE(OFFSET($H$3,0,0,'Données projet'!$E$14+1,1))</f>
        <v>325.72928944930294</v>
      </c>
      <c r="DU20" s="59">
        <f t="shared" si="44"/>
        <v>318.38876834819752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3.7635295166009901</v>
      </c>
      <c r="EB20" s="21">
        <f>EXP(-LN(2)/25)*EB19+(1-EXP(-LN(2)/25))/(LN(2)/25)*Calculateur!DW20*Calculateur!DY20*VLOOKUP('Données projet'!$B$14,Paramètres!$A$1:$I$89,3,0)*0.475*44/12</f>
        <v>4.4928233961326285</v>
      </c>
      <c r="EC20" s="21">
        <f>EXP(-LN(2)/2)*EC19+(1-EXP(-LN(2)/2))/(LN(2)/2)*DW20*DZ20*VLOOKUP('Données projet'!$B$14,Paramètres!$A$1:$I$89,3,0)*0.475*44/12</f>
        <v>9.7835595293724573</v>
      </c>
      <c r="ED20" s="22">
        <f t="shared" si="18"/>
        <v>18.039912442106075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3.65</v>
      </c>
      <c r="EJ20" s="12">
        <f>IF('Données projet'!$A$192&gt;35,EJ19+EI20-ER19,IF(A20&lt;'Données projet'!$A$192,$EG$205^A20,IF(A20='Données projet'!$A$192,'Données projet'!$B$192,EJ19+EI20-ER19)))</f>
        <v>38.355215845858055</v>
      </c>
      <c r="EK20" s="17">
        <f>EJ20*VLOOKUP('Données projet'!$B$15,Paramètres!$A$1:$I$89,3,0)*VLOOKUP('Données projet'!$B$15,Paramètres!$A$1:$I$89,5,0)</f>
        <v>38.892188867700071</v>
      </c>
      <c r="EL20" s="13">
        <f t="shared" si="45"/>
        <v>11.704543208803392</v>
      </c>
      <c r="EM20" s="20">
        <f t="shared" si="19"/>
        <v>88.122641699910204</v>
      </c>
      <c r="EN20" s="59">
        <f t="shared" si="20"/>
        <v>381.45597503324353</v>
      </c>
      <c r="EO20" s="59">
        <f ca="1">AVERAGE(OFFSET($EN$3,0,0,'Données projet'!$E$15+1,1))-AVERAGE(OFFSET($H$3,0,0,'Données projet'!$E$15+1,1))</f>
        <v>384.50065773787549</v>
      </c>
      <c r="EP20" s="59">
        <f t="shared" si="46"/>
        <v>231.92898690465887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3.65</v>
      </c>
      <c r="FE20" s="12">
        <f>IF('Données projet'!$A$218&gt;35,FE19+FD20-FM19,IF(A20&lt;'Données projet'!$A$218,$FB$205^A20,IF(A20='Données projet'!$A$218,'Données projet'!$B$218,FE19+FD20-FM19)))</f>
        <v>38.355215845858055</v>
      </c>
      <c r="FF20" s="17">
        <f>FE20*VLOOKUP('Données projet'!$B$16,Paramètres!$A$1:$I$89,3,0)*VLOOKUP('Données projet'!$B$16,Paramètres!$A$1:$I$89,5,0)</f>
        <v>34.703799297332367</v>
      </c>
      <c r="FG20" s="13">
        <f t="shared" si="47"/>
        <v>10.583497277259243</v>
      </c>
      <c r="FH20" s="20">
        <f t="shared" si="22"/>
        <v>78.875374867413711</v>
      </c>
      <c r="FI20" s="59">
        <f t="shared" si="23"/>
        <v>372.20870820074703</v>
      </c>
      <c r="FJ20" s="59">
        <f ca="1">AVERAGE(OFFSET($FI$3,0,0,'Données projet'!$E$16+1,1))-AVERAGE(OFFSET($H$3,0,0,'Données projet'!$E$16+1,1))</f>
        <v>326.46362829268969</v>
      </c>
      <c r="FK20" s="59">
        <f t="shared" si="48"/>
        <v>203.5274665601915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3.65</v>
      </c>
      <c r="FZ20" s="12">
        <f>IF('Données projet'!$A$244&gt;35,FZ19+FY20-GH19,IF(A20&lt;'Données projet'!$A$244,$FW$205^A20,IF(A20='Données projet'!$A$244,'Données projet'!$B$244,FZ19+FY20-GH19)))</f>
        <v>38.355215845858055</v>
      </c>
      <c r="GA20" s="17">
        <f>FZ20*VLOOKUP('Données projet'!$B$17,Paramètres!$A$1:$I$89,3,0)*VLOOKUP('Données projet'!$B$17,Paramètres!$A$1:$I$89,5,0)</f>
        <v>37.097164766113913</v>
      </c>
      <c r="GB20" s="13">
        <f t="shared" si="49"/>
        <v>11.225909174194843</v>
      </c>
      <c r="GC20" s="20">
        <f t="shared" si="25"/>
        <v>84.162687112704418</v>
      </c>
      <c r="GD20" s="59">
        <f t="shared" si="26"/>
        <v>377.49602044603773</v>
      </c>
      <c r="GE20" s="59">
        <f ca="1">AVERAGE(OFFSET($GD$3,0,0,'Données projet'!$E$17+1,1))-AVERAGE(OFFSET($H$3,0,0,'Données projet'!$E$17+1,1))</f>
        <v>353.24082990916918</v>
      </c>
      <c r="GF20" s="59">
        <f t="shared" si="50"/>
        <v>219.76562717496353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378.17323480030268</v>
      </c>
      <c r="T21" s="59">
        <f t="shared" si="34"/>
        <v>471.89239871617241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</v>
      </c>
      <c r="AI21" s="13">
        <f>IF('Données projet'!$A$62&gt;35,AI20+AH21-AQ20,IF(A21&lt;'Données projet'!$A$62,$AF$205^A21,IF(A21='Données projet'!$A$62,'Données projet'!$B$62,AI20+AH21-AQ20)))</f>
        <v>71</v>
      </c>
      <c r="AJ21" s="13">
        <f>AI21*VLOOKUP('Données projet'!$B$10,Paramètres!$A$1:$I$89,3,0)*VLOOKUP('Données projet'!$B$10,Paramètres!$A$1:$I$89,5,0)</f>
        <v>42.458000000000006</v>
      </c>
      <c r="AK21" s="13">
        <f t="shared" si="35"/>
        <v>12.647861696503936</v>
      </c>
      <c r="AL21" s="20">
        <f t="shared" si="4"/>
        <v>95.976042454744359</v>
      </c>
      <c r="AM21" s="59">
        <f t="shared" si="5"/>
        <v>389.30937578807766</v>
      </c>
      <c r="AN21" s="59">
        <f ca="1">AVERAGE(OFFSET($AM$3,0,0,'Données projet'!$E$10+1,1))-AVERAGE(OFFSET($H$3,0,0,'Données projet'!$E$10+1,1))</f>
        <v>141.22849894256314</v>
      </c>
      <c r="AO21" s="59">
        <f t="shared" si="36"/>
        <v>156.12101479343704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0.54898480343632627</v>
      </c>
      <c r="AV21" s="21">
        <f>EXP(-LN(2)/25)*AV20+(1-EXP(-LN(2)/25))/(LN(2)/25)*Calculateur!AQ21*Calculateur!AS21*VLOOKUP('Données projet'!$B$10,Paramètres!$A$1:$I$89,3,0)*0.475*44/12</f>
        <v>0.53822799000223398</v>
      </c>
      <c r="AW21" s="21">
        <f>EXP(-LN(2)/2)*AW20+(1-EXP(-LN(2)/2))/(LN(2)/2)*AQ21*AT21*VLOOKUP('Données projet'!$B$10,Paramètres!$A$1:$I$89,3,0)*0.475*44/12</f>
        <v>1.6249797934099839</v>
      </c>
      <c r="AX21" s="21">
        <f t="shared" si="6"/>
        <v>2.7121925868485439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112</v>
      </c>
      <c r="BB21" s="12">
        <f>VLOOKUP(A21,'Données projet'!$A$87:$I$107,9,0)</f>
        <v>6.2222222222222223</v>
      </c>
      <c r="BC21" s="12">
        <f t="array" ref="BC21">INDEX(BB:BB,MIN(IF(ISNUMBER(BB21:BB217),ROW(BB21:BB217),"")))</f>
        <v>6.2222222222222223</v>
      </c>
      <c r="BD21" s="12">
        <f>IF('Données projet'!$A$88&gt;35,BD20+BC21-BL20,IF(A21&lt;'Données projet'!$A$88,$BA$205^A21,IF(A21='Données projet'!$A$88,'Données projet'!$B$88,BD20+BC21-BL20)))</f>
        <v>112</v>
      </c>
      <c r="BE21" s="13">
        <f>BD21*VLOOKUP('Données projet'!$B$11,Paramètres!$A$1:$I$89,3,0)*VLOOKUP('Données projet'!$B$11,Paramètres!$A$1:$I$89,5,0)</f>
        <v>49.504000000000012</v>
      </c>
      <c r="BF21" s="13">
        <f t="shared" si="37"/>
        <v>14.48559127166506</v>
      </c>
      <c r="BG21" s="20">
        <f t="shared" si="7"/>
        <v>111.44853813148332</v>
      </c>
      <c r="BH21" s="59">
        <f t="shared" si="8"/>
        <v>404.78187146481662</v>
      </c>
      <c r="BI21" s="59">
        <f ca="1">AVERAGE(OFFSET($BH$3,0,0,'Données projet'!$E$11+1,1))-AVERAGE(OFFSET($H$3,0,0,'Données projet'!$E$11+1,1))</f>
        <v>114.25511901730295</v>
      </c>
      <c r="BJ21" s="59">
        <f t="shared" si="38"/>
        <v>180.96261947642182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0.22000000000000003</v>
      </c>
      <c r="BO21" s="16">
        <f>IF(ISNA(VLOOKUP(A21,'Données projet'!$A$87:$I$107,7,0)),0%,VLOOKUP(A21,'Données projet'!$A$87:$I$107,7,0))</f>
        <v>0.6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2.5697444935679576</v>
      </c>
      <c r="BR21" s="21">
        <f>EXP(-LN(2)/2)*BR20+(1-EXP(-LN(2)/2))/(LN(2)/2)*BL21*BO21*VLOOKUP('Données projet'!$B$11,Paramètres!$A$1:$I$89,3,0)*0.475*44/12</f>
        <v>6.0053601060803743</v>
      </c>
      <c r="BS21" s="22">
        <f t="shared" si="9"/>
        <v>8.5751045996483324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65.8</v>
      </c>
      <c r="BZ21" s="13">
        <f>BY21*VLOOKUP('Données projet'!$B$12,Paramètres!$A$1:$I$89,3,0)*VLOOKUP('Données projet'!$B$12,Paramètres!$A$1:$I$89,5,0)</f>
        <v>51.323999999999998</v>
      </c>
      <c r="CA21" s="13">
        <f t="shared" si="39"/>
        <v>14.95516659950003</v>
      </c>
      <c r="CB21" s="20">
        <f t="shared" si="10"/>
        <v>115.43621516079588</v>
      </c>
      <c r="CC21" s="59">
        <f t="shared" si="11"/>
        <v>408.7695484941292</v>
      </c>
      <c r="CD21" s="59">
        <f ca="1">AVERAGE(OFFSET($CC$3,0,0,'Données projet'!$E$12+1,1))-AVERAGE(OFFSET($H$3,0,0,'Données projet'!$E$12+1,1))</f>
        <v>216.95993967070063</v>
      </c>
      <c r="CE21" s="59">
        <f t="shared" si="40"/>
        <v>208.79744153433245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0.20963261313777251</v>
      </c>
      <c r="CL21" s="21">
        <f>EXP(-LN(2)/25)*CL20+(1-EXP(-LN(2)/25))/(LN(2)/25)*Calculateur!CG21*Calculateur!CI21*VLOOKUP('Données projet'!$B$12,Paramètres!$A$1:$I$89,3,0)*0.475*44/12</f>
        <v>0.20390339714123232</v>
      </c>
      <c r="CM21" s="21">
        <f>EXP(-LN(2)/2)*CM20+(1-EXP(-LN(2)/2))/(LN(2)/2)*CG21*CJ21*VLOOKUP('Données projet'!$B$12,Paramètres!$A$1:$I$89,3,0)*0.475*44/12</f>
        <v>0.46835634424374245</v>
      </c>
      <c r="CN21" s="22">
        <f t="shared" si="12"/>
        <v>0.88189235452274728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65.8</v>
      </c>
      <c r="CU21" s="17">
        <f>CT21*VLOOKUP('Données projet'!$B$13,Paramètres!$A$1:$I$89,3,0)*VLOOKUP('Données projet'!$B$13,Paramètres!$A$1:$I$89,5,0)</f>
        <v>44.138639999999995</v>
      </c>
      <c r="CV21" s="13">
        <f t="shared" si="41"/>
        <v>13.089229634046784</v>
      </c>
      <c r="CW21" s="20">
        <f t="shared" si="13"/>
        <v>99.671872945964807</v>
      </c>
      <c r="CX21" s="59">
        <f t="shared" si="14"/>
        <v>393.00520627929814</v>
      </c>
      <c r="CY21" s="59">
        <f ca="1">AVERAGE(OFFSET($CX$3,0,0,'Données projet'!$E$13+1,1))-AVERAGE(OFFSET($H$3,0,0,'Données projet'!$E$13+1,1))</f>
        <v>181.32837315090507</v>
      </c>
      <c r="CZ21" s="59">
        <f t="shared" si="42"/>
        <v>175.03267817980338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0.22221056992603885</v>
      </c>
      <c r="DG21" s="21">
        <f>EXP(-LN(2)/25)*DG20+(1-EXP(-LN(2)/25))/(LN(2)/25)*Calculateur!DB21*Calculateur!DD21*VLOOKUP('Données projet'!$B$13,Paramètres!$A$1:$I$89,3,0)*0.475*44/12</f>
        <v>0.21613760096970633</v>
      </c>
      <c r="DH21" s="21">
        <f>EXP(-LN(2)/2)*DH20+(1-EXP(-LN(2)/2))/(LN(2)/2)*DB21*DE21*VLOOKUP('Données projet'!$B$13,Paramètres!$A$1:$I$89,3,0)*0.475*44/12</f>
        <v>0.40278645604961838</v>
      </c>
      <c r="DI21" s="22">
        <f t="shared" si="15"/>
        <v>0.84113462694536356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16</v>
      </c>
      <c r="DO21" s="12">
        <f>IF('Données projet'!$A$166&gt;35,DO20+DN21-DW20,IF(A21&lt;'Données projet'!$A$166,$DL$205^A21,IF(A21='Données projet'!$A$166,'Données projet'!$B$166,DO20+DN21-DW20)))</f>
        <v>91</v>
      </c>
      <c r="DP21" s="17">
        <f>DO21*VLOOKUP('Données projet'!$B$14,Paramètres!$A$1:$I$89,3,0)*VLOOKUP('Données projet'!$B$14,Paramètres!$A$1:$I$89,5,0)</f>
        <v>72.399600000000007</v>
      </c>
      <c r="DQ21" s="13">
        <f t="shared" si="43"/>
        <v>20.268188832715463</v>
      </c>
      <c r="DR21" s="20">
        <f t="shared" si="16"/>
        <v>161.39639888364613</v>
      </c>
      <c r="DS21" s="59">
        <f t="shared" si="17"/>
        <v>454.72973221697941</v>
      </c>
      <c r="DT21" s="59">
        <f ca="1">AVERAGE(OFFSET($DS$3,0,0,'Données projet'!$E$14+1,1))-AVERAGE(OFFSET($H$3,0,0,'Données projet'!$E$14+1,1))</f>
        <v>325.72928944930294</v>
      </c>
      <c r="DU21" s="59">
        <f t="shared" si="44"/>
        <v>318.38876834819752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3.6897289983067854</v>
      </c>
      <c r="EB21" s="21">
        <f>EXP(-LN(2)/25)*EB20+(1-EXP(-LN(2)/25))/(LN(2)/25)*Calculateur!DW21*Calculateur!DY21*VLOOKUP('Données projet'!$B$14,Paramètres!$A$1:$I$89,3,0)*0.475*44/12</f>
        <v>4.3699669040980682</v>
      </c>
      <c r="EC21" s="21">
        <f>EXP(-LN(2)/2)*EC20+(1-EXP(-LN(2)/2))/(LN(2)/2)*DW21*DZ21*VLOOKUP('Données projet'!$B$14,Paramètres!$A$1:$I$89,3,0)*0.475*44/12</f>
        <v>6.9180212873615323</v>
      </c>
      <c r="ED21" s="22">
        <f t="shared" si="18"/>
        <v>14.977717189766388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3.65</v>
      </c>
      <c r="EJ21" s="12">
        <f>IF('Données projet'!$A$192&gt;35,EJ20+EI21-ER20,IF(A21&lt;'Données projet'!$A$192,$EG$205^A21,IF(A21='Données projet'!$A$192,'Données projet'!$B$192,EJ20+EI21-ER20)))</f>
        <v>47.532490941824946</v>
      </c>
      <c r="EK21" s="17">
        <f>EJ21*VLOOKUP('Données projet'!$B$15,Paramètres!$A$1:$I$89,3,0)*VLOOKUP('Données projet'!$B$15,Paramètres!$A$1:$I$89,5,0)</f>
        <v>48.197945815010499</v>
      </c>
      <c r="EL21" s="13">
        <f t="shared" si="45"/>
        <v>14.147381769152156</v>
      </c>
      <c r="EM21" s="20">
        <f t="shared" si="19"/>
        <v>108.58477887574996</v>
      </c>
      <c r="EN21" s="59">
        <f t="shared" si="20"/>
        <v>401.91811220908329</v>
      </c>
      <c r="EO21" s="59">
        <f ca="1">AVERAGE(OFFSET($EN$3,0,0,'Données projet'!$E$15+1,1))-AVERAGE(OFFSET($H$3,0,0,'Données projet'!$E$15+1,1))</f>
        <v>384.50065773787549</v>
      </c>
      <c r="EP21" s="59">
        <f t="shared" si="46"/>
        <v>231.92898690465887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3.65</v>
      </c>
      <c r="FE21" s="12">
        <f>IF('Données projet'!$A$218&gt;35,FE20+FD21-FM20,IF(A21&lt;'Données projet'!$A$218,$FB$205^A21,IF(A21='Données projet'!$A$218,'Données projet'!$B$218,FE20+FD21-FM20)))</f>
        <v>47.532490941824946</v>
      </c>
      <c r="FF21" s="17">
        <f>FE21*VLOOKUP('Données projet'!$B$16,Paramètres!$A$1:$I$89,3,0)*VLOOKUP('Données projet'!$B$16,Paramètres!$A$1:$I$89,5,0)</f>
        <v>43.007397804163212</v>
      </c>
      <c r="FG21" s="13">
        <f t="shared" si="47"/>
        <v>12.792363936215189</v>
      </c>
      <c r="FH21" s="20">
        <f t="shared" si="22"/>
        <v>97.184585031159045</v>
      </c>
      <c r="FI21" s="59">
        <f t="shared" si="23"/>
        <v>390.51791836449235</v>
      </c>
      <c r="FJ21" s="59">
        <f ca="1">AVERAGE(OFFSET($FI$3,0,0,'Données projet'!$E$16+1,1))-AVERAGE(OFFSET($H$3,0,0,'Données projet'!$E$16+1,1))</f>
        <v>326.46362829268969</v>
      </c>
      <c r="FK21" s="59">
        <f t="shared" si="48"/>
        <v>203.5274665601915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3.65</v>
      </c>
      <c r="FZ21" s="12">
        <f>IF('Données projet'!$A$244&gt;35,FZ20+FY21-GH20,IF(A21&lt;'Données projet'!$A$244,$FW$205^A21,IF(A21='Données projet'!$A$244,'Données projet'!$B$244,FZ20+FY21-GH20)))</f>
        <v>47.532490941824946</v>
      </c>
      <c r="GA21" s="17">
        <f>FZ21*VLOOKUP('Données projet'!$B$17,Paramètres!$A$1:$I$89,3,0)*VLOOKUP('Données projet'!$B$17,Paramètres!$A$1:$I$89,5,0)</f>
        <v>45.973425238933089</v>
      </c>
      <c r="GB21" s="13">
        <f t="shared" si="49"/>
        <v>13.56885270616201</v>
      </c>
      <c r="GC21" s="20">
        <f t="shared" si="25"/>
        <v>103.70280075437397</v>
      </c>
      <c r="GD21" s="59">
        <f t="shared" si="26"/>
        <v>397.0361340877073</v>
      </c>
      <c r="GE21" s="59">
        <f ca="1">AVERAGE(OFFSET($GD$3,0,0,'Données projet'!$E$17+1,1))-AVERAGE(OFFSET($H$3,0,0,'Données projet'!$E$17+1,1))</f>
        <v>353.24082990916918</v>
      </c>
      <c r="GF21" s="59">
        <f t="shared" si="50"/>
        <v>219.76562717496353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378.17323480030268</v>
      </c>
      <c r="T22" s="59">
        <f t="shared" si="34"/>
        <v>471.89239871617241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</v>
      </c>
      <c r="AI22" s="13">
        <f>IF('Données projet'!$A$62&gt;35,AI21+AH22-AQ21,IF(A22&lt;'Données projet'!$A$62,$AF$205^A22,IF(A22='Données projet'!$A$62,'Données projet'!$B$62,AI21+AH22-AQ21)))</f>
        <v>81</v>
      </c>
      <c r="AJ22" s="13">
        <f>AI22*VLOOKUP('Données projet'!$B$10,Paramètres!$A$1:$I$89,3,0)*VLOOKUP('Données projet'!$B$10,Paramètres!$A$1:$I$89,5,0)</f>
        <v>48.438000000000009</v>
      </c>
      <c r="AK22" s="13">
        <f t="shared" si="35"/>
        <v>14.209624244846971</v>
      </c>
      <c r="AL22" s="20">
        <f t="shared" si="4"/>
        <v>109.11127889310849</v>
      </c>
      <c r="AM22" s="59">
        <f t="shared" si="5"/>
        <v>402.44461222644179</v>
      </c>
      <c r="AN22" s="59">
        <f ca="1">AVERAGE(OFFSET($AM$3,0,0,'Données projet'!$E$10+1,1))-AVERAGE(OFFSET($H$3,0,0,'Données projet'!$E$10+1,1))</f>
        <v>141.22849894256314</v>
      </c>
      <c r="AO22" s="59">
        <f t="shared" si="36"/>
        <v>156.12101479343704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0.53821954628860658</v>
      </c>
      <c r="AV22" s="21">
        <f>EXP(-LN(2)/25)*AV21+(1-EXP(-LN(2)/25))/(LN(2)/25)*Calculateur!AQ22*Calculateur!AS22*VLOOKUP('Données projet'!$B$10,Paramètres!$A$1:$I$89,3,0)*0.475*44/12</f>
        <v>0.52351011731144304</v>
      </c>
      <c r="AW22" s="21">
        <f>EXP(-LN(2)/2)*AW21+(1-EXP(-LN(2)/2))/(LN(2)/2)*AQ22*AT22*VLOOKUP('Données projet'!$B$10,Paramètres!$A$1:$I$89,3,0)*0.475*44/12</f>
        <v>1.1490342312113146</v>
      </c>
      <c r="AX22" s="21">
        <f t="shared" si="6"/>
        <v>2.2107638948113646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110</v>
      </c>
      <c r="BE22" s="13">
        <f>BD22*VLOOKUP('Données projet'!$B$11,Paramètres!$A$1:$I$89,3,0)*VLOOKUP('Données projet'!$B$11,Paramètres!$A$1:$I$89,5,0)</f>
        <v>48.620000000000012</v>
      </c>
      <c r="BF22" s="13">
        <f t="shared" si="37"/>
        <v>14.256790200344739</v>
      </c>
      <c r="BG22" s="20">
        <f t="shared" si="7"/>
        <v>109.51040959893378</v>
      </c>
      <c r="BH22" s="59">
        <f t="shared" si="8"/>
        <v>402.84374293226711</v>
      </c>
      <c r="BI22" s="59">
        <f ca="1">AVERAGE(OFFSET($BH$3,0,0,'Données projet'!$E$11+1,1))-AVERAGE(OFFSET($H$3,0,0,'Données projet'!$E$11+1,1))</f>
        <v>114.25511901730295</v>
      </c>
      <c r="BJ22" s="59">
        <f t="shared" si="38"/>
        <v>180.96261947642182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2.4994746952543521</v>
      </c>
      <c r="BR22" s="21">
        <f>EXP(-LN(2)/2)*BR21+(1-EXP(-LN(2)/2))/(LN(2)/2)*BL22*BO22*VLOOKUP('Données projet'!$B$11,Paramètres!$A$1:$I$89,3,0)*0.475*44/12</f>
        <v>4.2464308544765972</v>
      </c>
      <c r="BS22" s="22">
        <f t="shared" si="9"/>
        <v>6.7459055497309492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75.399999999999991</v>
      </c>
      <c r="BZ22" s="13">
        <f>BY22*VLOOKUP('Données projet'!$B$12,Paramètres!$A$1:$I$89,3,0)*VLOOKUP('Données projet'!$B$12,Paramètres!$A$1:$I$89,5,0)</f>
        <v>58.811999999999998</v>
      </c>
      <c r="CA22" s="13">
        <f t="shared" si="39"/>
        <v>16.86755663452599</v>
      </c>
      <c r="CB22" s="20">
        <f t="shared" si="10"/>
        <v>131.8085611384661</v>
      </c>
      <c r="CC22" s="59">
        <f t="shared" si="11"/>
        <v>425.14189447179945</v>
      </c>
      <c r="CD22" s="59">
        <f ca="1">AVERAGE(OFFSET($CC$3,0,0,'Données projet'!$E$12+1,1))-AVERAGE(OFFSET($H$3,0,0,'Données projet'!$E$12+1,1))</f>
        <v>216.95993967070063</v>
      </c>
      <c r="CE22" s="59">
        <f t="shared" si="40"/>
        <v>208.79744153433245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0.20552184545740937</v>
      </c>
      <c r="CL22" s="21">
        <f>EXP(-LN(2)/25)*CL21+(1-EXP(-LN(2)/25))/(LN(2)/25)*Calculateur!CG22*Calculateur!CI22*VLOOKUP('Données projet'!$B$12,Paramètres!$A$1:$I$89,3,0)*0.475*44/12</f>
        <v>0.19832764802359168</v>
      </c>
      <c r="CM22" s="21">
        <f>EXP(-LN(2)/2)*CM21+(1-EXP(-LN(2)/2))/(LN(2)/2)*CG22*CJ22*VLOOKUP('Données projet'!$B$12,Paramètres!$A$1:$I$89,3,0)*0.475*44/12</f>
        <v>0.33117794702649134</v>
      </c>
      <c r="CN22" s="22">
        <f t="shared" si="12"/>
        <v>0.73502744050749236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75.399999999999991</v>
      </c>
      <c r="CU22" s="17">
        <f>CT22*VLOOKUP('Données projet'!$B$13,Paramètres!$A$1:$I$89,3,0)*VLOOKUP('Données projet'!$B$13,Paramètres!$A$1:$I$89,5,0)</f>
        <v>50.578319999999998</v>
      </c>
      <c r="CV22" s="13">
        <f t="shared" si="41"/>
        <v>14.763013215913022</v>
      </c>
      <c r="CW22" s="20">
        <f t="shared" si="13"/>
        <v>113.80282201771517</v>
      </c>
      <c r="CX22" s="59">
        <f t="shared" si="14"/>
        <v>407.1361553510485</v>
      </c>
      <c r="CY22" s="59">
        <f ca="1">AVERAGE(OFFSET($CX$3,0,0,'Données projet'!$E$13+1,1))-AVERAGE(OFFSET($H$3,0,0,'Données projet'!$E$13+1,1))</f>
        <v>181.32837315090507</v>
      </c>
      <c r="CZ22" s="59">
        <f t="shared" si="42"/>
        <v>175.03267817980338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0.2178531561848539</v>
      </c>
      <c r="DG22" s="21">
        <f>EXP(-LN(2)/25)*DG21+(1-EXP(-LN(2)/25))/(LN(2)/25)*Calculateur!DB22*Calculateur!DD22*VLOOKUP('Données projet'!$B$13,Paramètres!$A$1:$I$89,3,0)*0.475*44/12</f>
        <v>0.21022730690500727</v>
      </c>
      <c r="DH22" s="21">
        <f>EXP(-LN(2)/2)*DH21+(1-EXP(-LN(2)/2))/(LN(2)/2)*DB22*DE22*VLOOKUP('Données projet'!$B$13,Paramètres!$A$1:$I$89,3,0)*0.475*44/12</f>
        <v>0.28481303444278244</v>
      </c>
      <c r="DI22" s="22">
        <f t="shared" si="15"/>
        <v>0.71289349753264353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16</v>
      </c>
      <c r="DO22" s="12">
        <f>IF('Données projet'!$A$166&gt;35,DO21+DN22-DW21,IF(A22&lt;'Données projet'!$A$166,$DL$205^A22,IF(A22='Données projet'!$A$166,'Données projet'!$B$166,DO21+DN22-DW21)))</f>
        <v>107</v>
      </c>
      <c r="DP22" s="17">
        <f>DO22*VLOOKUP('Données projet'!$B$14,Paramètres!$A$1:$I$89,3,0)*VLOOKUP('Données projet'!$B$14,Paramètres!$A$1:$I$89,5,0)</f>
        <v>85.129199999999997</v>
      </c>
      <c r="DQ22" s="13">
        <f t="shared" si="43"/>
        <v>23.386728480923388</v>
      </c>
      <c r="DR22" s="20">
        <f t="shared" si="16"/>
        <v>188.99857543760822</v>
      </c>
      <c r="DS22" s="59">
        <f t="shared" si="17"/>
        <v>482.33190877094154</v>
      </c>
      <c r="DT22" s="59">
        <f ca="1">AVERAGE(OFFSET($DS$3,0,0,'Données projet'!$E$14+1,1))-AVERAGE(OFFSET($H$3,0,0,'Données projet'!$E$14+1,1))</f>
        <v>325.72928944930294</v>
      </c>
      <c r="DU22" s="59">
        <f t="shared" si="44"/>
        <v>318.38876834819752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3.6173756631624587</v>
      </c>
      <c r="EB22" s="21">
        <f>EXP(-LN(2)/25)*EB21+(1-EXP(-LN(2)/25))/(LN(2)/25)*Calculateur!DW22*Calculateur!DY22*VLOOKUP('Données projet'!$B$14,Paramètres!$A$1:$I$89,3,0)*0.475*44/12</f>
        <v>4.2504699292989345</v>
      </c>
      <c r="EC22" s="21">
        <f>EXP(-LN(2)/2)*EC21+(1-EXP(-LN(2)/2))/(LN(2)/2)*DW22*DZ22*VLOOKUP('Données projet'!$B$14,Paramètres!$A$1:$I$89,3,0)*0.475*44/12</f>
        <v>4.8917797646862295</v>
      </c>
      <c r="ED22" s="22">
        <f t="shared" si="18"/>
        <v>12.759625357147623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3.65</v>
      </c>
      <c r="EJ22" s="12">
        <f>IF('Données projet'!$A$192&gt;35,EJ21+EI22-ER21,IF(A22&lt;'Données projet'!$A$192,$EG$205^A22,IF(A22='Données projet'!$A$192,'Données projet'!$B$192,EJ21+EI22-ER21)))</f>
        <v>58.90561805764559</v>
      </c>
      <c r="EK22" s="17">
        <f>EJ22*VLOOKUP('Données projet'!$B$15,Paramètres!$A$1:$I$89,3,0)*VLOOKUP('Données projet'!$B$15,Paramètres!$A$1:$I$89,5,0)</f>
        <v>59.730296710452635</v>
      </c>
      <c r="EL22" s="13">
        <f t="shared" si="45"/>
        <v>17.100061689857345</v>
      </c>
      <c r="EM22" s="20">
        <f t="shared" si="19"/>
        <v>133.81287421387319</v>
      </c>
      <c r="EN22" s="59">
        <f t="shared" si="20"/>
        <v>427.14620754720647</v>
      </c>
      <c r="EO22" s="59">
        <f ca="1">AVERAGE(OFFSET($EN$3,0,0,'Données projet'!$E$15+1,1))-AVERAGE(OFFSET($H$3,0,0,'Données projet'!$E$15+1,1))</f>
        <v>384.50065773787549</v>
      </c>
      <c r="EP22" s="59">
        <f t="shared" si="46"/>
        <v>231.92898690465887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3.65</v>
      </c>
      <c r="FE22" s="12">
        <f>IF('Données projet'!$A$218&gt;35,FE21+FD22-FM21,IF(A22&lt;'Données projet'!$A$218,$FB$205^A22,IF(A22='Données projet'!$A$218,'Données projet'!$B$218,FE21+FD22-FM21)))</f>
        <v>58.90561805764559</v>
      </c>
      <c r="FF22" s="17">
        <f>FE22*VLOOKUP('Données projet'!$B$16,Paramètres!$A$1:$I$89,3,0)*VLOOKUP('Données projet'!$B$16,Paramètres!$A$1:$I$89,5,0)</f>
        <v>53.297803218557732</v>
      </c>
      <c r="FG22" s="13">
        <f t="shared" si="47"/>
        <v>15.462240012873817</v>
      </c>
      <c r="FH22" s="20">
        <f t="shared" si="22"/>
        <v>119.75707529474329</v>
      </c>
      <c r="FI22" s="59">
        <f t="shared" si="23"/>
        <v>413.0904086280766</v>
      </c>
      <c r="FJ22" s="59">
        <f ca="1">AVERAGE(OFFSET($FI$3,0,0,'Données projet'!$E$16+1,1))-AVERAGE(OFFSET($H$3,0,0,'Données projet'!$E$16+1,1))</f>
        <v>326.46362829268969</v>
      </c>
      <c r="FK22" s="59">
        <f t="shared" si="48"/>
        <v>203.5274665601915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3.65</v>
      </c>
      <c r="FZ22" s="12">
        <f>IF('Données projet'!$A$244&gt;35,FZ21+FY22-GH21,IF(A22&lt;'Données projet'!$A$244,$FW$205^A22,IF(A22='Données projet'!$A$244,'Données projet'!$B$244,FZ21+FY22-GH21)))</f>
        <v>58.90561805764559</v>
      </c>
      <c r="GA22" s="17">
        <f>FZ22*VLOOKUP('Données projet'!$B$17,Paramètres!$A$1:$I$89,3,0)*VLOOKUP('Données projet'!$B$17,Paramètres!$A$1:$I$89,5,0)</f>
        <v>56.973513785354818</v>
      </c>
      <c r="GB22" s="13">
        <f t="shared" si="49"/>
        <v>16.400788649238766</v>
      </c>
      <c r="GC22" s="20">
        <f t="shared" si="25"/>
        <v>127.7935767402505</v>
      </c>
      <c r="GD22" s="59">
        <f t="shared" si="26"/>
        <v>421.12691007358382</v>
      </c>
      <c r="GE22" s="59">
        <f ca="1">AVERAGE(OFFSET($GD$3,0,0,'Données projet'!$E$17+1,1))-AVERAGE(OFFSET($H$3,0,0,'Données projet'!$E$17+1,1))</f>
        <v>353.24082990916918</v>
      </c>
      <c r="GF22" s="59">
        <f t="shared" si="50"/>
        <v>219.76562717496353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378.17323480030268</v>
      </c>
      <c r="T23" s="59">
        <f t="shared" si="34"/>
        <v>471.89239871617241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91</v>
      </c>
      <c r="AG23" s="12">
        <f>VLOOKUP(A23,'Données projet'!$A$61:$I$81,9,0)</f>
        <v>10</v>
      </c>
      <c r="AH23" s="12">
        <f t="array" ref="AH23">INDEX(AG:AG,MIN(IF(ISNUMBER(AG23:AG219),ROW(AG23:AG219),"")))</f>
        <v>10</v>
      </c>
      <c r="AI23" s="13">
        <f>IF('Données projet'!$A$62&gt;35,AI22+AH23-AQ22,IF(A23&lt;'Données projet'!$A$62,$AF$205^A23,IF(A23='Données projet'!$A$62,'Données projet'!$B$62,AI22+AH23-AQ22)))</f>
        <v>91</v>
      </c>
      <c r="AJ23" s="13">
        <f>AI23*VLOOKUP('Données projet'!$B$10,Paramètres!$A$1:$I$89,3,0)*VLOOKUP('Données projet'!$B$10,Paramètres!$A$1:$I$89,5,0)</f>
        <v>54.417999999999999</v>
      </c>
      <c r="AK23" s="13">
        <f t="shared" si="35"/>
        <v>15.749044324804036</v>
      </c>
      <c r="AL23" s="20">
        <f t="shared" si="4"/>
        <v>122.20760219903367</v>
      </c>
      <c r="AM23" s="59">
        <f t="shared" si="5"/>
        <v>415.54093553236697</v>
      </c>
      <c r="AN23" s="59">
        <f ca="1">AVERAGE(OFFSET($AM$3,0,0,'Données projet'!$E$10+1,1))-AVERAGE(OFFSET($H$3,0,0,'Données projet'!$E$10+1,1))</f>
        <v>141.22849894256314</v>
      </c>
      <c r="AO23" s="59">
        <f t="shared" si="36"/>
        <v>156.12101479343704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14</v>
      </c>
      <c r="AR23" s="16">
        <f>IF(ISNA(VLOOKUP(A23,'Données projet'!$A$61:$I$81,5,0)),0%,VLOOKUP(A23,'Données projet'!$A$61:$I$81,5,0)*VLOOKUP('Données projet'!$B$10,Paramètres!$A$1:$I$89,7,0))</f>
        <v>0.13500000000000001</v>
      </c>
      <c r="AS23" s="16">
        <f>IF(ISNA(VLOOKUP(A23,'Données projet'!$A$61:$I$81,6,0)),0%,VLOOKUP(A23,'Données projet'!$A$61:$I$81,6,0)*VLOOKUP('Données projet'!$B$10,Paramètres!$A$1:$I$89,7,0))</f>
        <v>0.18000000000000002</v>
      </c>
      <c r="AT23" s="16">
        <f>IF(ISNA(VLOOKUP(A23,'Données projet'!$A$61:$I$81,7,0)),0%,VLOOKUP(A23,'Données projet'!$A$61:$I$81,7,0))</f>
        <v>0.3</v>
      </c>
      <c r="AU23" s="21">
        <f>EXP(-LN(2)/35)*AU22+(1-EXP(-LN(2)/35))/(LN(2)/35)*AQ23*AR23*VLOOKUP('Données projet'!$B$10,Paramètres!$A$1:$I$89,3,0)*0.475*44/12</f>
        <v>2.0269750680942726</v>
      </c>
      <c r="AV23" s="21">
        <f>EXP(-LN(2)/25)*AV22+(1-EXP(-LN(2)/25))/(LN(2)/25)*Calculateur!AQ23*Calculateur!AS23*VLOOKUP('Données projet'!$B$10,Paramètres!$A$1:$I$89,3,0)*0.475*44/12</f>
        <v>2.5004031394094417</v>
      </c>
      <c r="AW23" s="21">
        <f>EXP(-LN(2)/2)*AW22+(1-EXP(-LN(2)/2))/(LN(2)/2)*AQ23*AT23*VLOOKUP('Données projet'!$B$10,Paramètres!$A$1:$I$89,3,0)*0.475*44/12</f>
        <v>3.6562045351724635</v>
      </c>
      <c r="AX23" s="21">
        <f t="shared" si="6"/>
        <v>8.1835827426761778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56.576000000000008</v>
      </c>
      <c r="BF23" s="13">
        <f t="shared" si="37"/>
        <v>16.299636199174788</v>
      </c>
      <c r="BG23" s="20">
        <f t="shared" si="7"/>
        <v>126.92506638022944</v>
      </c>
      <c r="BH23" s="59">
        <f t="shared" si="8"/>
        <v>420.25839971356277</v>
      </c>
      <c r="BI23" s="59">
        <f ca="1">AVERAGE(OFFSET($BH$3,0,0,'Données projet'!$E$11+1,1))-AVERAGE(OFFSET($H$3,0,0,'Données projet'!$E$11+1,1))</f>
        <v>114.25511901730295</v>
      </c>
      <c r="BJ23" s="59">
        <f t="shared" si="38"/>
        <v>180.96261947642182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2.4311264282709604</v>
      </c>
      <c r="BR23" s="21">
        <f>EXP(-LN(2)/2)*BR22+(1-EXP(-LN(2)/2))/(LN(2)/2)*BL23*BO23*VLOOKUP('Données projet'!$B$11,Paramètres!$A$1:$I$89,3,0)*0.475*44/12</f>
        <v>3.0026800530401876</v>
      </c>
      <c r="BS23" s="22">
        <f t="shared" si="9"/>
        <v>5.433806481311148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85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84.999999999999986</v>
      </c>
      <c r="BZ23" s="13">
        <f>BY23*VLOOKUP('Données projet'!$B$12,Paramètres!$A$1:$I$89,3,0)*VLOOKUP('Données projet'!$B$12,Paramètres!$A$1:$I$89,5,0)</f>
        <v>66.3</v>
      </c>
      <c r="CA23" s="13">
        <f t="shared" si="39"/>
        <v>18.751733344032118</v>
      </c>
      <c r="CB23" s="20">
        <f t="shared" si="10"/>
        <v>148.13176890752257</v>
      </c>
      <c r="CC23" s="59">
        <f t="shared" si="11"/>
        <v>441.46510224085591</v>
      </c>
      <c r="CD23" s="59">
        <f ca="1">AVERAGE(OFFSET($CC$3,0,0,'Données projet'!$E$12+1,1))-AVERAGE(OFFSET($H$3,0,0,'Données projet'!$E$12+1,1))</f>
        <v>216.95993967070063</v>
      </c>
      <c r="CE23" s="59">
        <f t="shared" si="40"/>
        <v>208.79744153433245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25</v>
      </c>
      <c r="CH23" s="16">
        <f>IF(ISNA(VLOOKUP(A23,'Données projet'!$A$113:$I$133,5,0)),0%,VLOOKUP(A23,'Données projet'!$A$113:$I$133,5,0)*VLOOKUP('Données projet'!$B$12,Paramètres!$A$1:$I$89,7,0))</f>
        <v>0.129</v>
      </c>
      <c r="CI23" s="16">
        <f>IF(ISNA(VLOOKUP(A23,'Données projet'!$A$113:$I$133,6,0)),0%,VLOOKUP(A23,'Données projet'!$A$113:$I$133,6,0)*VLOOKUP('Données projet'!$B$12,Paramètres!$A$1:$I$89,7,0))</f>
        <v>0.17200000000000001</v>
      </c>
      <c r="CJ23" s="16">
        <f>IF(ISNA(VLOOKUP(A23,'Données projet'!$A$113:$I$133,7,0)),0%,VLOOKUP(A23,'Données projet'!$A$113:$I$133,7,0))</f>
        <v>0.3</v>
      </c>
      <c r="CK23" s="21">
        <f>EXP(-LN(2)/35)*CK22+(1-EXP(-LN(2)/35))/(LN(2)/35)*CG23*CH23*VLOOKUP('Données projet'!$B$12,Paramètres!$A$1:$I$89,3,0)*0.475*44/12</f>
        <v>2.9823024271390741</v>
      </c>
      <c r="CL23" s="21">
        <f>EXP(-LN(2)/25)*CL22+(1-EXP(-LN(2)/25))/(LN(2)/25)*Calculateur!CG23*Calculateur!CI23*VLOOKUP('Données projet'!$B$12,Paramètres!$A$1:$I$89,3,0)*0.475*44/12</f>
        <v>3.8860532057400117</v>
      </c>
      <c r="CM23" s="21">
        <f>EXP(-LN(2)/2)*CM22+(1-EXP(-LN(2)/2))/(LN(2)/2)*CG23*CJ23*VLOOKUP('Données projet'!$B$12,Paramètres!$A$1:$I$89,3,0)*0.475*44/12</f>
        <v>5.7538106225633916</v>
      </c>
      <c r="CN23" s="22">
        <f t="shared" si="12"/>
        <v>12.622166255442476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85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84.999999999999986</v>
      </c>
      <c r="CU23" s="17">
        <f>CT23*VLOOKUP('Données projet'!$B$13,Paramètres!$A$1:$I$89,3,0)*VLOOKUP('Données projet'!$B$13,Paramètres!$A$1:$I$89,5,0)</f>
        <v>57.017999999999986</v>
      </c>
      <c r="CV23" s="13">
        <f t="shared" si="41"/>
        <v>16.412103612717626</v>
      </c>
      <c r="CW23" s="20">
        <f t="shared" si="13"/>
        <v>127.89076379214983</v>
      </c>
      <c r="CX23" s="59">
        <f t="shared" si="14"/>
        <v>421.22409712548313</v>
      </c>
      <c r="CY23" s="59">
        <f ca="1">AVERAGE(OFFSET($CX$3,0,0,'Données projet'!$E$13+1,1))-AVERAGE(OFFSET($H$3,0,0,'Données projet'!$E$13+1,1))</f>
        <v>181.32837315090507</v>
      </c>
      <c r="CZ23" s="59">
        <f t="shared" si="42"/>
        <v>175.03267817980338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25</v>
      </c>
      <c r="DC23" s="16">
        <f>IF(ISNA(VLOOKUP(A23,'Données projet'!$A$139:$I$159,5,0)),0%,VLOOKUP(A23,'Données projet'!$A$139:$I$159,5,0)*VLOOKUP('Données projet'!$B$13,Paramètres!$A$1:$I$89,7,0))</f>
        <v>0.159</v>
      </c>
      <c r="DD23" s="16">
        <f>IF(ISNA(VLOOKUP(A23,'Données projet'!$A$139:$I$159,6,0)),0%,VLOOKUP(A23,'Données projet'!$A$139:$I$159,6,0)*VLOOKUP('Données projet'!$B$13,Paramètres!$A$1:$I$89,7,0))</f>
        <v>0.21200000000000002</v>
      </c>
      <c r="DE23" s="16">
        <f>IF(ISNA(VLOOKUP(A23,'Données projet'!$A$139:$I$159,7,0)),0%,VLOOKUP(A23,'Données projet'!$A$139:$I$159,7,0))</f>
        <v>0.3</v>
      </c>
      <c r="DF23" s="21">
        <f>EXP(-LN(2)/35)*DF22+(1-EXP(-LN(2)/35))/(LN(2)/35)*DB23*DC23*VLOOKUP('Données projet'!$B$13,Paramètres!$A$1:$I$89,3,0)*0.475*44/12</f>
        <v>3.1612405727674178</v>
      </c>
      <c r="DG23" s="21">
        <f>EXP(-LN(2)/25)*DG22+(1-EXP(-LN(2)/25))/(LN(2)/25)*Calculateur!DB23*Calculateur!DD23*VLOOKUP('Données projet'!$B$13,Paramètres!$A$1:$I$89,3,0)*0.475*44/12</f>
        <v>4.1192163980844123</v>
      </c>
      <c r="DH23" s="21">
        <f>EXP(-LN(2)/2)*DH22+(1-EXP(-LN(2)/2))/(LN(2)/2)*DB23*DE23*VLOOKUP('Données projet'!$B$13,Paramètres!$A$1:$I$89,3,0)*0.475*44/12</f>
        <v>4.9482771354045161</v>
      </c>
      <c r="DI23" s="22">
        <f t="shared" si="15"/>
        <v>12.228734106256347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123</v>
      </c>
      <c r="DM23" s="12">
        <f>VLOOKUP(A23,'Données projet'!$A$165:$I$185,9,0)</f>
        <v>16</v>
      </c>
      <c r="DN23" s="12">
        <f t="array" ref="DN23">INDEX(DM:DM,MIN(IF(ISNUMBER(DM23:DM219),ROW(DM23:DM219),"")))</f>
        <v>16</v>
      </c>
      <c r="DO23" s="12">
        <f>IF('Données projet'!$A$166&gt;35,DO22+DN23-DW22,IF(A23&lt;'Données projet'!$A$166,$DL$205^A23,IF(A23='Données projet'!$A$166,'Données projet'!$B$166,DO22+DN23-DW22)))</f>
        <v>123</v>
      </c>
      <c r="DP23" s="17">
        <f>DO23*VLOOKUP('Données projet'!$B$14,Paramètres!$A$1:$I$89,3,0)*VLOOKUP('Données projet'!$B$14,Paramètres!$A$1:$I$89,5,0)</f>
        <v>97.858800000000016</v>
      </c>
      <c r="DQ23" s="13">
        <f t="shared" si="43"/>
        <v>26.45124536158788</v>
      </c>
      <c r="DR23" s="20">
        <f t="shared" si="16"/>
        <v>216.50666233809889</v>
      </c>
      <c r="DS23" s="59">
        <f t="shared" si="17"/>
        <v>509.83999567143223</v>
      </c>
      <c r="DT23" s="59">
        <f ca="1">AVERAGE(OFFSET($DS$3,0,0,'Données projet'!$E$14+1,1))-AVERAGE(OFFSET($H$3,0,0,'Données projet'!$E$14+1,1))</f>
        <v>325.72928944930294</v>
      </c>
      <c r="DU23" s="59">
        <f t="shared" si="44"/>
        <v>318.38876834819752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42</v>
      </c>
      <c r="DX23" s="16">
        <f>IF(ISNA(VLOOKUP(A23,'Données projet'!$A$165:$I$185,5,0)),0%,VLOOKUP(A23,'Données projet'!$A$165:$I$185,5,0)*VLOOKUP('Données projet'!$B$14,Paramètres!$A$1:$I$89,7,0))</f>
        <v>0.10600000000000001</v>
      </c>
      <c r="DY23" s="16">
        <f>IF(ISNA(VLOOKUP(A23,'Données projet'!$A$165:$I$185,6,0)),0%,VLOOKUP(A23,'Données projet'!$A$165:$I$185,6,0)*VLOOKUP('Données projet'!$B$14,Paramètres!$A$1:$I$89,7,0))</f>
        <v>0.10600000000000001</v>
      </c>
      <c r="DZ23" s="16">
        <f>IF(ISNA(VLOOKUP(A23,'Données projet'!$A$165:$I$185,7,0)),0%,VLOOKUP(A23,'Données projet'!$A$165:$I$185,7,0))</f>
        <v>0.6</v>
      </c>
      <c r="EA23" s="21">
        <f>EXP(-LN(2)/35)*EA22+(1-EXP(-LN(2)/35))/(LN(2)/35)*DW23*DX23*VLOOKUP('Données projet'!$B$14,Paramètres!$A$1:$I$89,3,0)*0.475*44/12</f>
        <v>7.4620295983630971</v>
      </c>
      <c r="EB23" s="21">
        <f>EXP(-LN(2)/25)*EB22+(1-EXP(-LN(2)/25))/(LN(2)/25)*Calculateur!DW23*Calculateur!DY23*VLOOKUP('Données projet'!$B$14,Paramètres!$A$1:$I$89,3,0)*0.475*44/12</f>
        <v>8.0344119073885789</v>
      </c>
      <c r="EC23" s="21">
        <f>EXP(-LN(2)/2)*EC22+(1-EXP(-LN(2)/2))/(LN(2)/2)*DW23*DZ23*VLOOKUP('Données projet'!$B$14,Paramètres!$A$1:$I$89,3,0)*0.475*44/12</f>
        <v>22.375894977833948</v>
      </c>
      <c r="ED23" s="22">
        <f t="shared" si="18"/>
        <v>37.872336483585627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73</v>
      </c>
      <c r="EH23" s="12">
        <f>VLOOKUP(A23,'Données projet'!$A$191:$I$211,9,0)</f>
        <v>3.65</v>
      </c>
      <c r="EI23" s="12">
        <f t="array" ref="EI23">INDEX(EH:EH,MIN(IF(ISNUMBER(EH23:EH219),ROW(EH23:EH219),"")))</f>
        <v>3.65</v>
      </c>
      <c r="EJ23" s="12">
        <f>IF('Données projet'!$A$192&gt;35,EJ22+EI23-ER22,IF(A23&lt;'Données projet'!$A$192,$EG$205^A23,IF(A23='Données projet'!$A$192,'Données projet'!$B$192,EJ22+EI23-ER22)))</f>
        <v>73</v>
      </c>
      <c r="EK23" s="17">
        <f>EJ23*VLOOKUP('Données projet'!$B$15,Paramètres!$A$1:$I$89,3,0)*VLOOKUP('Données projet'!$B$15,Paramètres!$A$1:$I$89,5,0)</f>
        <v>74.022000000000006</v>
      </c>
      <c r="EL23" s="13">
        <f t="shared" si="45"/>
        <v>20.668991235856851</v>
      </c>
      <c r="EM23" s="20">
        <f t="shared" si="19"/>
        <v>164.92014306911736</v>
      </c>
      <c r="EN23" s="59">
        <f t="shared" si="20"/>
        <v>458.2534764024507</v>
      </c>
      <c r="EO23" s="59">
        <f ca="1">AVERAGE(OFFSET($EN$3,0,0,'Données projet'!$E$15+1,1))-AVERAGE(OFFSET($H$3,0,0,'Données projet'!$E$15+1,1))</f>
        <v>384.50065773787549</v>
      </c>
      <c r="EP23" s="59">
        <f t="shared" si="46"/>
        <v>231.92898690465887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</v>
      </c>
      <c r="ES23" s="16">
        <f>IF(ISNA(VLOOKUP(A23,'Données projet'!$A$191:$I$211,5,0)),0%,VLOOKUP(A23,'Données projet'!$A$191:$I$211,5,0)*VLOOKUP('Données projet'!$B$15,Paramètres!$A$1:$I$89,7,0))</f>
        <v>8.6000000000000007E-2</v>
      </c>
      <c r="ET23" s="16">
        <f>IF(ISNA(VLOOKUP(A23,'Données projet'!$A$191:$I$211,6,0)),0%,VLOOKUP(A23,'Données projet'!$A$191:$I$211,6,0)*VLOOKUP('Données projet'!$B$15,Paramètres!$A$1:$I$89,7,0))</f>
        <v>8.6000000000000007E-2</v>
      </c>
      <c r="EU23" s="16">
        <f>IF(ISNA(VLOOKUP(A23,'Données projet'!$A$191:$I$211,7,0)),0%,VLOOKUP(A23,'Données projet'!$A$191:$I$211,7,0))</f>
        <v>0.6</v>
      </c>
      <c r="EV23" s="21">
        <f>EXP(-LN(2)/35)*EV22+(1-EXP(-LN(2)/35))/(LN(2)/35)*ER23*ES23*VLOOKUP('Données projet'!$B$15,Paramètres!$A$1:$I$89,3,0)*0.475*44/12</f>
        <v>0.57840863386074848</v>
      </c>
      <c r="EW23" s="21">
        <f>EXP(-LN(2)/25)*EW22+(1-EXP(-LN(2)/25))/(LN(2)/25)*Calculateur!ER23*Calculateur!ET23*VLOOKUP('Données projet'!$B$15,Paramètres!$A$1:$I$89,3,0)*0.475*44/12</f>
        <v>0.57613121867827077</v>
      </c>
      <c r="EX23" s="21">
        <f>EXP(-LN(2)/2)*EX22+(1-EXP(-LN(2)/2))/(LN(2)/2)*ER23*EU23*VLOOKUP('Données projet'!$B$15,Paramètres!$A$1:$I$89,3,0)*0.475*44/12</f>
        <v>3.4442506490755087</v>
      </c>
      <c r="EY23" s="22">
        <f t="shared" si="21"/>
        <v>4.5987905016145278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73</v>
      </c>
      <c r="FC23" s="12">
        <f>VLOOKUP(A23,'Données projet'!$A$217:$I$237,9,0)</f>
        <v>3.65</v>
      </c>
      <c r="FD23" s="12">
        <f t="array" ref="FD23">INDEX(FC:FC,MIN(IF(ISNUMBER(FC23:FC219),ROW(FC23:FC219),"")))</f>
        <v>3.65</v>
      </c>
      <c r="FE23" s="12">
        <f>IF('Données projet'!$A$218&gt;35,FE22+FD23-FM22,IF(A23&lt;'Données projet'!$A$218,$FB$205^A23,IF(A23='Données projet'!$A$218,'Données projet'!$B$218,FE22+FD23-FM22)))</f>
        <v>73</v>
      </c>
      <c r="FF23" s="17">
        <f>FE23*VLOOKUP('Données projet'!$B$16,Paramètres!$A$1:$I$89,3,0)*VLOOKUP('Données projet'!$B$16,Paramètres!$A$1:$I$89,5,0)</f>
        <v>66.050399999999996</v>
      </c>
      <c r="FG23" s="13">
        <f t="shared" si="47"/>
        <v>18.689342126897891</v>
      </c>
      <c r="FH23" s="20">
        <f t="shared" si="22"/>
        <v>147.58838420434714</v>
      </c>
      <c r="FI23" s="59">
        <f t="shared" si="23"/>
        <v>440.92171753768048</v>
      </c>
      <c r="FJ23" s="59">
        <f ca="1">AVERAGE(OFFSET($FI$3,0,0,'Données projet'!$E$16+1,1))-AVERAGE(OFFSET($H$3,0,0,'Données projet'!$E$16+1,1))</f>
        <v>326.46362829268969</v>
      </c>
      <c r="FK23" s="59">
        <f t="shared" si="48"/>
        <v>203.5274665601915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6</v>
      </c>
      <c r="FN23" s="16">
        <f>IF(ISNA(VLOOKUP(A23,'Données projet'!$A$217:$I$237,5,0)),0%,VLOOKUP(A23,'Données projet'!$A$217:$I$237,5,0)*VLOOKUP('Données projet'!$B$16,Paramètres!$A$1:$I$89,7,0))</f>
        <v>8.6000000000000007E-2</v>
      </c>
      <c r="FO23" s="16">
        <f>IF(ISNA(VLOOKUP(A23,'Données projet'!$A$217:$I$237,6,0)),0%,VLOOKUP(A23,'Données projet'!$A$217:$I$237,6,0)*VLOOKUP('Données projet'!$B$16,Paramètres!$A$1:$I$89,7,0))</f>
        <v>8.6000000000000007E-2</v>
      </c>
      <c r="FP23" s="16">
        <f>IF(ISNA(VLOOKUP(A23,'Données projet'!$A$217:$I$237,7,0)),0%,VLOOKUP(A23,'Données projet'!$A$217:$I$237,7,0))</f>
        <v>0.6</v>
      </c>
      <c r="FQ23" s="21">
        <f>EXP(-LN(2)/35)*FQ22+(1-EXP(-LN(2)/35))/(LN(2)/35)*FM23*FN23*VLOOKUP('Données projet'!$B$16,Paramètres!$A$1:$I$89,3,0)*0.475*44/12</f>
        <v>0.51611847329112925</v>
      </c>
      <c r="FR23" s="21">
        <f>EXP(-LN(2)/25)*FR22+(1-EXP(-LN(2)/25))/(LN(2)/25)*Calculateur!FM23*Calculateur!FO23*VLOOKUP('Données projet'!$B$16,Paramètres!$A$1:$I$89,3,0)*0.475*44/12</f>
        <v>0.51408631820522621</v>
      </c>
      <c r="FS23" s="21">
        <f>EXP(-LN(2)/2)*FS22+(1-EXP(-LN(2)/2))/(LN(2)/2)*FM23*FP23*VLOOKUP('Données projet'!$B$16,Paramètres!$A$1:$I$89,3,0)*0.475*44/12</f>
        <v>3.0733313484058384</v>
      </c>
      <c r="FT23" s="22">
        <f t="shared" si="24"/>
        <v>4.1035361399021939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73</v>
      </c>
      <c r="FX23" s="12">
        <f>VLOOKUP(A23,'Données projet'!$A$243:$I$263,9,0)</f>
        <v>3.65</v>
      </c>
      <c r="FY23" s="12">
        <f t="array" ref="FY23">INDEX(FX:FX,MIN(IF(ISNUMBER(FX23:FX219),ROW(FX23:FX219),"")))</f>
        <v>3.65</v>
      </c>
      <c r="FZ23" s="12">
        <f>IF('Données projet'!$A$244&gt;35,FZ22+FY23-GH22,IF(A23&lt;'Données projet'!$A$244,$FW$205^A23,IF(A23='Données projet'!$A$244,'Données projet'!$B$244,FZ22+FY23-GH22)))</f>
        <v>73</v>
      </c>
      <c r="GA23" s="17">
        <f>FZ23*VLOOKUP('Données projet'!$B$17,Paramètres!$A$1:$I$89,3,0)*VLOOKUP('Données projet'!$B$17,Paramètres!$A$1:$I$89,5,0)</f>
        <v>70.605599999999995</v>
      </c>
      <c r="GB23" s="13">
        <f t="shared" si="49"/>
        <v>19.823773913828742</v>
      </c>
      <c r="GC23" s="20">
        <f t="shared" si="25"/>
        <v>157.49782623325171</v>
      </c>
      <c r="GD23" s="59">
        <f t="shared" si="26"/>
        <v>450.83115956658503</v>
      </c>
      <c r="GE23" s="59">
        <f ca="1">AVERAGE(OFFSET($GD$3,0,0,'Données projet'!$E$17+1,1))-AVERAGE(OFFSET($H$3,0,0,'Données projet'!$E$17+1,1))</f>
        <v>353.24082990916918</v>
      </c>
      <c r="GF23" s="59">
        <f t="shared" si="50"/>
        <v>219.76562717496353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6</v>
      </c>
      <c r="GI23" s="16">
        <f>IF(ISNA(VLOOKUP(A23,'Données projet'!$A$243:$I$263,5,0)),0%,VLOOKUP(A23,'Données projet'!$A$243:$I$263,5,0)*VLOOKUP('Données projet'!$B$17,Paramètres!$A$1:$I$89,7,0))</f>
        <v>8.6000000000000007E-2</v>
      </c>
      <c r="GJ23" s="16">
        <f>IF(ISNA(VLOOKUP(A23,'Données projet'!$A$243:$I$263,6,0)),0%,VLOOKUP(A23,'Données projet'!$A$243:$I$263,6,0)*VLOOKUP('Données projet'!$B$17,Paramètres!$A$1:$I$89,7,0))</f>
        <v>8.6000000000000007E-2</v>
      </c>
      <c r="GK23" s="16">
        <f>IF(ISNA(VLOOKUP(A23,'Données projet'!$A$243:$I$263,7,0)),0%,VLOOKUP(A23,'Données projet'!$A$243:$I$263,7,0))</f>
        <v>0.6</v>
      </c>
      <c r="GL23" s="21">
        <f>EXP(-LN(2)/35)*GL22+(1-EXP(-LN(2)/35))/(LN(2)/35)*GH23*GI23*VLOOKUP('Données projet'!$B$17,Paramètres!$A$1:$I$89,3,0)*0.475*44/12</f>
        <v>0.55171285075948318</v>
      </c>
      <c r="GM23" s="21">
        <f>EXP(-LN(2)/25)*GM22+(1-EXP(-LN(2)/25))/(LN(2)/25)*Calculateur!GH23*Calculateur!GJ23*VLOOKUP('Données projet'!$B$17,Paramètres!$A$1:$I$89,3,0)*0.475*44/12</f>
        <v>0.54954054704696598</v>
      </c>
      <c r="GN23" s="21">
        <f>EXP(-LN(2)/2)*GN22+(1-EXP(-LN(2)/2))/(LN(2)/2)*GH23*GK23*VLOOKUP('Données projet'!$B$17,Paramètres!$A$1:$I$89,3,0)*0.475*44/12</f>
        <v>3.2852852345027928</v>
      </c>
      <c r="GO23" s="21">
        <f t="shared" si="27"/>
        <v>4.3865386323092421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378.17323480030268</v>
      </c>
      <c r="T24" s="59">
        <f t="shared" si="34"/>
        <v>471.89239871617241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88</v>
      </c>
      <c r="AJ24" s="13">
        <f>AI24*VLOOKUP('Données projet'!$B$10,Paramètres!$A$1:$I$89,3,0)*VLOOKUP('Données projet'!$B$10,Paramètres!$A$1:$I$89,5,0)</f>
        <v>52.624000000000009</v>
      </c>
      <c r="AK24" s="13">
        <f t="shared" si="35"/>
        <v>15.289388641788772</v>
      </c>
      <c r="AL24" s="20">
        <f t="shared" si="4"/>
        <v>118.28248521778211</v>
      </c>
      <c r="AM24" s="59">
        <f t="shared" si="5"/>
        <v>411.61581855111541</v>
      </c>
      <c r="AN24" s="59">
        <f ca="1">AVERAGE(OFFSET($AM$3,0,0,'Données projet'!$E$10+1,1))-AVERAGE(OFFSET($H$3,0,0,'Données projet'!$E$10+1,1))</f>
        <v>141.22849894256314</v>
      </c>
      <c r="AO24" s="59">
        <f t="shared" si="36"/>
        <v>156.12101479343704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1.9872273233416577</v>
      </c>
      <c r="AV24" s="21">
        <f>EXP(-LN(2)/25)*AV23+(1-EXP(-LN(2)/25))/(LN(2)/25)*Calculateur!AQ24*Calculateur!AS24*VLOOKUP('Données projet'!$B$10,Paramètres!$A$1:$I$89,3,0)*0.475*44/12</f>
        <v>2.432029484071804</v>
      </c>
      <c r="AW24" s="21">
        <f>EXP(-LN(2)/2)*AW23+(1-EXP(-LN(2)/2))/(LN(2)/2)*AQ24*AT24*VLOOKUP('Données projet'!$B$10,Paramètres!$A$1:$I$89,3,0)*0.475*44/12</f>
        <v>2.5853270202254581</v>
      </c>
      <c r="AX24" s="21">
        <f t="shared" si="6"/>
        <v>7.0045838276389194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146</v>
      </c>
      <c r="BE24" s="13">
        <f>BD24*VLOOKUP('Données projet'!$B$11,Paramètres!$A$1:$I$89,3,0)*VLOOKUP('Données projet'!$B$11,Paramètres!$A$1:$I$89,5,0)</f>
        <v>64.531999999999996</v>
      </c>
      <c r="BF24" s="13">
        <f t="shared" si="37"/>
        <v>18.30919986224939</v>
      </c>
      <c r="BG24" s="20">
        <f t="shared" si="7"/>
        <v>144.281756426751</v>
      </c>
      <c r="BH24" s="59">
        <f t="shared" si="8"/>
        <v>437.61508976008429</v>
      </c>
      <c r="BI24" s="59">
        <f ca="1">AVERAGE(OFFSET($BH$3,0,0,'Données projet'!$E$11+1,1))-AVERAGE(OFFSET($H$3,0,0,'Données projet'!$E$11+1,1))</f>
        <v>114.25511901730295</v>
      </c>
      <c r="BJ24" s="59">
        <f t="shared" si="38"/>
        <v>180.96261947642182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0.22000000000000003</v>
      </c>
      <c r="BO24" s="16">
        <f>IF(ISNA(VLOOKUP(A24,'Données projet'!$A$87:$I$107,7,0)),0%,VLOOKUP(A24,'Données projet'!$A$87:$I$107,7,0))</f>
        <v>0.6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5.7053149898808542</v>
      </c>
      <c r="BR24" s="21">
        <f>EXP(-LN(2)/2)*BR23+(1-EXP(-LN(2)/2))/(LN(2)/2)*BL24*BO24*VLOOKUP('Données projet'!$B$11,Paramètres!$A$1:$I$89,3,0)*0.475*44/12</f>
        <v>9.9301835651427872</v>
      </c>
      <c r="BS24" s="22">
        <f t="shared" si="9"/>
        <v>15.635498555023641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10.6</v>
      </c>
      <c r="BY24" s="12">
        <f>IF('Données projet'!$A$114&gt;35,BY23+BX24-CG23,IF(A24&lt;'Données projet'!$A$114,$BV$205^A24,IF(A24='Données projet'!$A$114,'Données projet'!$B$114,BY23+BX24-CG23)))</f>
        <v>70.59999999999998</v>
      </c>
      <c r="BZ24" s="13">
        <f>BY24*VLOOKUP('Données projet'!$B$12,Paramètres!$A$1:$I$89,3,0)*VLOOKUP('Données projet'!$B$12,Paramètres!$A$1:$I$89,5,0)</f>
        <v>55.067999999999984</v>
      </c>
      <c r="CA24" s="13">
        <f t="shared" si="39"/>
        <v>15.915148294580479</v>
      </c>
      <c r="CB24" s="20">
        <f t="shared" si="10"/>
        <v>123.62898327972762</v>
      </c>
      <c r="CC24" s="59">
        <f t="shared" si="11"/>
        <v>416.96231661306092</v>
      </c>
      <c r="CD24" s="59">
        <f ca="1">AVERAGE(OFFSET($CC$3,0,0,'Données projet'!$E$12+1,1))-AVERAGE(OFFSET($H$3,0,0,'Données projet'!$E$12+1,1))</f>
        <v>216.95993967070063</v>
      </c>
      <c r="CE24" s="59">
        <f t="shared" si="40"/>
        <v>208.79744153433245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2.9238212955677438</v>
      </c>
      <c r="CL24" s="21">
        <f>EXP(-LN(2)/25)*CL23+(1-EXP(-LN(2)/25))/(LN(2)/25)*Calculateur!CG24*Calculateur!CI24*VLOOKUP('Données projet'!$B$12,Paramètres!$A$1:$I$89,3,0)*0.475*44/12</f>
        <v>3.7797888764703949</v>
      </c>
      <c r="CM24" s="21">
        <f>EXP(-LN(2)/2)*CM23+(1-EXP(-LN(2)/2))/(LN(2)/2)*CG24*CJ24*VLOOKUP('Données projet'!$B$12,Paramètres!$A$1:$I$89,3,0)*0.475*44/12</f>
        <v>4.0685585088777652</v>
      </c>
      <c r="CN24" s="22">
        <f t="shared" si="12"/>
        <v>10.772168680915904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10.6</v>
      </c>
      <c r="CT24" s="12">
        <f>IF('Données projet'!$A$140&gt;35,CT23+CS24-DB23,IF(A24&lt;'Données projet'!$A$140,$CQ$205^A24,IF(A24='Données projet'!$A$140,'Données projet'!$B$140,CT23+CS24-DB23)))</f>
        <v>70.59999999999998</v>
      </c>
      <c r="CU24" s="17">
        <f>CT24*VLOOKUP('Données projet'!$B$13,Paramètres!$A$1:$I$89,3,0)*VLOOKUP('Données projet'!$B$13,Paramètres!$A$1:$I$89,5,0)</f>
        <v>47.358479999999986</v>
      </c>
      <c r="CV24" s="13">
        <f t="shared" si="41"/>
        <v>13.929435643641453</v>
      </c>
      <c r="CW24" s="20">
        <f t="shared" si="13"/>
        <v>106.74311974600884</v>
      </c>
      <c r="CX24" s="59">
        <f t="shared" si="14"/>
        <v>400.07645307934217</v>
      </c>
      <c r="CY24" s="59">
        <f ca="1">AVERAGE(OFFSET($CX$3,0,0,'Données projet'!$E$13+1,1))-AVERAGE(OFFSET($H$3,0,0,'Données projet'!$E$13+1,1))</f>
        <v>181.32837315090507</v>
      </c>
      <c r="CZ24" s="59">
        <f t="shared" si="42"/>
        <v>175.03267817980338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3.0992505733018074</v>
      </c>
      <c r="DG24" s="21">
        <f>EXP(-LN(2)/25)*DG23+(1-EXP(-LN(2)/25))/(LN(2)/25)*Calculateur!DB24*Calculateur!DD24*VLOOKUP('Données projet'!$B$13,Paramètres!$A$1:$I$89,3,0)*0.475*44/12</f>
        <v>4.0065762090586183</v>
      </c>
      <c r="DH24" s="21">
        <f>EXP(-LN(2)/2)*DH23+(1-EXP(-LN(2)/2))/(LN(2)/2)*DB24*DE24*VLOOKUP('Données projet'!$B$13,Paramètres!$A$1:$I$89,3,0)*0.475*44/12</f>
        <v>3.4989603176348778</v>
      </c>
      <c r="DI24" s="22">
        <f t="shared" si="15"/>
        <v>10.604787099995303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16.8</v>
      </c>
      <c r="DO24" s="12">
        <f>IF('Données projet'!$A$166&gt;35,DO23+DN24-DW23,IF(A24&lt;'Données projet'!$A$166,$DL$205^A24,IF(A24='Données projet'!$A$166,'Données projet'!$B$166,DO23+DN24-DW23)))</f>
        <v>97.800000000000011</v>
      </c>
      <c r="DP24" s="17">
        <f>DO24*VLOOKUP('Données projet'!$B$14,Paramètres!$A$1:$I$89,3,0)*VLOOKUP('Données projet'!$B$14,Paramètres!$A$1:$I$89,5,0)</f>
        <v>77.809680000000014</v>
      </c>
      <c r="DQ24" s="13">
        <f t="shared" si="43"/>
        <v>21.600777311280577</v>
      </c>
      <c r="DR24" s="20">
        <f t="shared" si="16"/>
        <v>173.13987981714703</v>
      </c>
      <c r="DS24" s="59">
        <f t="shared" si="17"/>
        <v>466.47321315048032</v>
      </c>
      <c r="DT24" s="59">
        <f ca="1">AVERAGE(OFFSET($DS$3,0,0,'Données projet'!$E$14+1,1))-AVERAGE(OFFSET($H$3,0,0,'Données projet'!$E$14+1,1))</f>
        <v>325.72928944930294</v>
      </c>
      <c r="DU24" s="59">
        <f t="shared" si="44"/>
        <v>318.38876834819752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7.3157037493278398</v>
      </c>
      <c r="EB24" s="21">
        <f>EXP(-LN(2)/25)*EB23+(1-EXP(-LN(2)/25))/(LN(2)/25)*Calculateur!DW24*Calculateur!DY24*VLOOKUP('Données projet'!$B$14,Paramètres!$A$1:$I$89,3,0)*0.475*44/12</f>
        <v>7.814710491269679</v>
      </c>
      <c r="EC24" s="21">
        <f>EXP(-LN(2)/2)*EC23+(1-EXP(-LN(2)/2))/(LN(2)/2)*DW24*DZ24*VLOOKUP('Données projet'!$B$14,Paramètres!$A$1:$I$89,3,0)*0.475*44/12</f>
        <v>15.822147073944398</v>
      </c>
      <c r="ED24" s="22">
        <f t="shared" si="18"/>
        <v>30.952561314541917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7.2</v>
      </c>
      <c r="EJ24" s="12">
        <f>IF('Données projet'!$A$192&gt;35,EJ23+EI24-ER23,IF(A24&lt;'Données projet'!$A$192,$EG$205^A24,IF(A24='Données projet'!$A$192,'Données projet'!$B$192,EJ23+EI24-ER23)))</f>
        <v>74.2</v>
      </c>
      <c r="EK24" s="17">
        <f>EJ24*VLOOKUP('Données projet'!$B$15,Paramètres!$A$1:$I$89,3,0)*VLOOKUP('Données projet'!$B$15,Paramètres!$A$1:$I$89,5,0)</f>
        <v>75.238800000000012</v>
      </c>
      <c r="EL24" s="13">
        <f t="shared" si="45"/>
        <v>20.96892143970209</v>
      </c>
      <c r="EM24" s="20">
        <f t="shared" si="19"/>
        <v>167.56178150748116</v>
      </c>
      <c r="EN24" s="59">
        <f t="shared" si="20"/>
        <v>460.89511484081447</v>
      </c>
      <c r="EO24" s="59">
        <f ca="1">AVERAGE(OFFSET($EN$3,0,0,'Données projet'!$E$15+1,1))-AVERAGE(OFFSET($H$3,0,0,'Données projet'!$E$15+1,1))</f>
        <v>384.50065773787549</v>
      </c>
      <c r="EP24" s="59">
        <f t="shared" si="46"/>
        <v>231.92898690465887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0.56706639334517028</v>
      </c>
      <c r="EW24" s="21">
        <f>EXP(-LN(2)/25)*EW23+(1-EXP(-LN(2)/25))/(LN(2)/25)*Calculateur!ER24*Calculateur!ET24*VLOOKUP('Données projet'!$B$15,Paramètres!$A$1:$I$89,3,0)*0.475*44/12</f>
        <v>0.56037688020608944</v>
      </c>
      <c r="EX24" s="21">
        <f>EXP(-LN(2)/2)*EX23+(1-EXP(-LN(2)/2))/(LN(2)/2)*ER24*EU24*VLOOKUP('Données projet'!$B$15,Paramètres!$A$1:$I$89,3,0)*0.475*44/12</f>
        <v>2.4354529900674602</v>
      </c>
      <c r="EY24" s="22">
        <f t="shared" si="21"/>
        <v>3.56289626361872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7.2</v>
      </c>
      <c r="FE24" s="12">
        <f>IF('Données projet'!$A$218&gt;35,FE23+FD24-FM23,IF(A24&lt;'Données projet'!$A$218,$FB$205^A24,IF(A24='Données projet'!$A$218,'Données projet'!$B$218,FE23+FD24-FM23)))</f>
        <v>74.2</v>
      </c>
      <c r="FF24" s="17">
        <f>FE24*VLOOKUP('Données projet'!$B$16,Paramètres!$A$1:$I$89,3,0)*VLOOKUP('Données projet'!$B$16,Paramètres!$A$1:$I$89,5,0)</f>
        <v>67.136160000000004</v>
      </c>
      <c r="FG24" s="13">
        <f t="shared" si="47"/>
        <v>18.960545405756019</v>
      </c>
      <c r="FH24" s="20">
        <f t="shared" si="22"/>
        <v>149.95176191502506</v>
      </c>
      <c r="FI24" s="59">
        <f t="shared" si="23"/>
        <v>443.2850952483584</v>
      </c>
      <c r="FJ24" s="59">
        <f ca="1">AVERAGE(OFFSET($FI$3,0,0,'Données projet'!$E$16+1,1))-AVERAGE(OFFSET($H$3,0,0,'Données projet'!$E$16+1,1))</f>
        <v>326.46362829268969</v>
      </c>
      <c r="FK24" s="59">
        <f t="shared" si="48"/>
        <v>203.5274665601915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0.50599770483107487</v>
      </c>
      <c r="FR24" s="21">
        <f>EXP(-LN(2)/25)*FR23+(1-EXP(-LN(2)/25))/(LN(2)/25)*Calculateur!FM24*Calculateur!FO24*VLOOKUP('Données projet'!$B$16,Paramètres!$A$1:$I$89,3,0)*0.475*44/12</f>
        <v>0.5000286007992798</v>
      </c>
      <c r="FS24" s="21">
        <f>EXP(-LN(2)/2)*FS23+(1-EXP(-LN(2)/2))/(LN(2)/2)*FM24*FP24*VLOOKUP('Données projet'!$B$16,Paramètres!$A$1:$I$89,3,0)*0.475*44/12</f>
        <v>2.1731734372909646</v>
      </c>
      <c r="FT24" s="22">
        <f t="shared" si="24"/>
        <v>3.1791997429213192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7.2</v>
      </c>
      <c r="FZ24" s="12">
        <f>IF('Données projet'!$A$244&gt;35,FZ23+FY24-GH23,IF(A24&lt;'Données projet'!$A$244,$FW$205^A24,IF(A24='Données projet'!$A$244,'Données projet'!$B$244,FZ23+FY24-GH23)))</f>
        <v>74.2</v>
      </c>
      <c r="GA24" s="17">
        <f>FZ24*VLOOKUP('Données projet'!$B$17,Paramètres!$A$1:$I$89,3,0)*VLOOKUP('Données projet'!$B$17,Paramètres!$A$1:$I$89,5,0)</f>
        <v>71.76624000000001</v>
      </c>
      <c r="GB24" s="13">
        <f t="shared" si="49"/>
        <v>20.111439068025625</v>
      </c>
      <c r="GC24" s="20">
        <f t="shared" si="25"/>
        <v>160.02029104347795</v>
      </c>
      <c r="GD24" s="59">
        <f t="shared" si="26"/>
        <v>453.35362437681124</v>
      </c>
      <c r="GE24" s="59">
        <f ca="1">AVERAGE(OFFSET($GD$3,0,0,'Données projet'!$E$17+1,1))-AVERAGE(OFFSET($H$3,0,0,'Données projet'!$E$17+1,1))</f>
        <v>353.24082990916918</v>
      </c>
      <c r="GF24" s="59">
        <f t="shared" si="50"/>
        <v>219.76562717496353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0.54089409826770096</v>
      </c>
      <c r="GM24" s="21">
        <f>EXP(-LN(2)/25)*GM23+(1-EXP(-LN(2)/25))/(LN(2)/25)*Calculateur!GH24*Calculateur!GJ24*VLOOKUP('Données projet'!$B$17,Paramètres!$A$1:$I$89,3,0)*0.475*44/12</f>
        <v>0.53451333188888528</v>
      </c>
      <c r="GN24" s="21">
        <f>EXP(-LN(2)/2)*GN23+(1-EXP(-LN(2)/2))/(LN(2)/2)*GH24*GK24*VLOOKUP('Données projet'!$B$17,Paramètres!$A$1:$I$89,3,0)*0.475*44/12</f>
        <v>2.3230474674489621</v>
      </c>
      <c r="GO24" s="21">
        <f t="shared" si="27"/>
        <v>3.3984548976055482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378.17323480030268</v>
      </c>
      <c r="T25" s="59">
        <f t="shared" si="34"/>
        <v>471.89239871617241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99</v>
      </c>
      <c r="AJ25" s="13">
        <f>AI25*VLOOKUP('Données projet'!$B$10,Paramètres!$A$1:$I$89,3,0)*VLOOKUP('Données projet'!$B$10,Paramètres!$A$1:$I$89,5,0)</f>
        <v>59.201999999999998</v>
      </c>
      <c r="AK25" s="13">
        <f t="shared" si="35"/>
        <v>16.966352622896878</v>
      </c>
      <c r="AL25" s="20">
        <f t="shared" si="4"/>
        <v>132.65988081821206</v>
      </c>
      <c r="AM25" s="59">
        <f t="shared" si="5"/>
        <v>425.99321415154537</v>
      </c>
      <c r="AN25" s="59">
        <f ca="1">AVERAGE(OFFSET($AM$3,0,0,'Données projet'!$E$10+1,1))-AVERAGE(OFFSET($H$3,0,0,'Données projet'!$E$10+1,1))</f>
        <v>141.22849894256314</v>
      </c>
      <c r="AO25" s="59">
        <f t="shared" si="36"/>
        <v>156.12101479343704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1.9482590076199113</v>
      </c>
      <c r="AV25" s="21">
        <f>EXP(-LN(2)/25)*AV24+(1-EXP(-LN(2)/25))/(LN(2)/25)*Calculateur!AQ25*Calculateur!AS25*VLOOKUP('Données projet'!$B$10,Paramètres!$A$1:$I$89,3,0)*0.475*44/12</f>
        <v>2.3655255099349883</v>
      </c>
      <c r="AW25" s="21">
        <f>EXP(-LN(2)/2)*AW24+(1-EXP(-LN(2)/2))/(LN(2)/2)*AQ25*AT25*VLOOKUP('Données projet'!$B$10,Paramètres!$A$1:$I$89,3,0)*0.475*44/12</f>
        <v>1.8281022675862322</v>
      </c>
      <c r="AX25" s="21">
        <f t="shared" si="6"/>
        <v>6.1418867851411321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136</v>
      </c>
      <c r="BE25" s="13">
        <f>BD25*VLOOKUP('Données projet'!$B$11,Paramètres!$A$1:$I$89,3,0)*VLOOKUP('Données projet'!$B$11,Paramètres!$A$1:$I$89,5,0)</f>
        <v>60.112000000000002</v>
      </c>
      <c r="BF25" s="13">
        <f t="shared" si="37"/>
        <v>17.1965830522599</v>
      </c>
      <c r="BG25" s="20">
        <f t="shared" si="7"/>
        <v>134.64578214935264</v>
      </c>
      <c r="BH25" s="59">
        <f t="shared" si="8"/>
        <v>427.97911548268598</v>
      </c>
      <c r="BI25" s="59">
        <f ca="1">AVERAGE(OFFSET($BH$3,0,0,'Données projet'!$E$11+1,1))-AVERAGE(OFFSET($H$3,0,0,'Données projet'!$E$11+1,1))</f>
        <v>114.25511901730295</v>
      </c>
      <c r="BJ25" s="59">
        <f t="shared" si="38"/>
        <v>180.96261947642182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5.5493028514530867</v>
      </c>
      <c r="BR25" s="21">
        <f>EXP(-LN(2)/2)*BR24+(1-EXP(-LN(2)/2))/(LN(2)/2)*BL25*BO25*VLOOKUP('Données projet'!$B$11,Paramètres!$A$1:$I$89,3,0)*0.475*44/12</f>
        <v>7.0217001373396721</v>
      </c>
      <c r="BS25" s="22">
        <f t="shared" si="9"/>
        <v>12.57100298879276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10.6</v>
      </c>
      <c r="BY25" s="12">
        <f>IF('Données projet'!$A$114&gt;35,BY24+BX25-CG24,IF(A25&lt;'Données projet'!$A$114,$BV$205^A25,IF(A25='Données projet'!$A$114,'Données projet'!$B$114,BY24+BX25-CG24)))</f>
        <v>81.199999999999974</v>
      </c>
      <c r="BZ25" s="13">
        <f>BY25*VLOOKUP('Données projet'!$B$12,Paramètres!$A$1:$I$89,3,0)*VLOOKUP('Données projet'!$B$12,Paramètres!$A$1:$I$89,5,0)</f>
        <v>63.335999999999984</v>
      </c>
      <c r="CA25" s="13">
        <f t="shared" si="39"/>
        <v>18.009040022946227</v>
      </c>
      <c r="CB25" s="20">
        <f t="shared" si="10"/>
        <v>141.67594470663133</v>
      </c>
      <c r="CC25" s="59">
        <f t="shared" si="11"/>
        <v>435.00927803996467</v>
      </c>
      <c r="CD25" s="59">
        <f ca="1">AVERAGE(OFFSET($CC$3,0,0,'Données projet'!$E$12+1,1))-AVERAGE(OFFSET($H$3,0,0,'Données projet'!$E$12+1,1))</f>
        <v>216.95993967070063</v>
      </c>
      <c r="CE25" s="59">
        <f t="shared" si="40"/>
        <v>208.79744153433245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2.8664869433165592</v>
      </c>
      <c r="CL25" s="21">
        <f>EXP(-LN(2)/25)*CL24+(1-EXP(-LN(2)/25))/(LN(2)/25)*Calculateur!CG25*Calculateur!CI25*VLOOKUP('Données projet'!$B$12,Paramètres!$A$1:$I$89,3,0)*0.475*44/12</f>
        <v>3.6764303508728537</v>
      </c>
      <c r="CM25" s="21">
        <f>EXP(-LN(2)/2)*CM24+(1-EXP(-LN(2)/2))/(LN(2)/2)*CG25*CJ25*VLOOKUP('Données projet'!$B$12,Paramètres!$A$1:$I$89,3,0)*0.475*44/12</f>
        <v>2.8769053112816962</v>
      </c>
      <c r="CN25" s="22">
        <f t="shared" si="12"/>
        <v>9.4198226054711096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10.6</v>
      </c>
      <c r="CT25" s="12">
        <f>IF('Données projet'!$A$140&gt;35,CT24+CS25-DB24,IF(A25&lt;'Données projet'!$A$140,$CQ$205^A25,IF(A25='Données projet'!$A$140,'Données projet'!$B$140,CT24+CS25-DB24)))</f>
        <v>81.199999999999974</v>
      </c>
      <c r="CU25" s="17">
        <f>CT25*VLOOKUP('Données projet'!$B$13,Paramètres!$A$1:$I$89,3,0)*VLOOKUP('Données projet'!$B$13,Paramètres!$A$1:$I$89,5,0)</f>
        <v>54.468959999999988</v>
      </c>
      <c r="CV25" s="13">
        <f t="shared" si="41"/>
        <v>15.762075185238176</v>
      </c>
      <c r="CW25" s="20">
        <f t="shared" si="13"/>
        <v>122.31905294762315</v>
      </c>
      <c r="CX25" s="59">
        <f t="shared" si="14"/>
        <v>415.65238628095648</v>
      </c>
      <c r="CY25" s="59">
        <f ca="1">AVERAGE(OFFSET($CX$3,0,0,'Données projet'!$E$13+1,1))-AVERAGE(OFFSET($H$3,0,0,'Données projet'!$E$13+1,1))</f>
        <v>181.32837315090507</v>
      </c>
      <c r="CZ25" s="59">
        <f t="shared" si="42"/>
        <v>175.03267817980338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3.0384761599155516</v>
      </c>
      <c r="DG25" s="21">
        <f>EXP(-LN(2)/25)*DG24+(1-EXP(-LN(2)/25))/(LN(2)/25)*Calculateur!DB25*Calculateur!DD25*VLOOKUP('Données projet'!$B$13,Paramètres!$A$1:$I$89,3,0)*0.475*44/12</f>
        <v>3.8970161719252245</v>
      </c>
      <c r="DH25" s="21">
        <f>EXP(-LN(2)/2)*DH24+(1-EXP(-LN(2)/2))/(LN(2)/2)*DB25*DE25*VLOOKUP('Données projet'!$B$13,Paramètres!$A$1:$I$89,3,0)*0.475*44/12</f>
        <v>2.4741385677022585</v>
      </c>
      <c r="DI25" s="22">
        <f t="shared" si="15"/>
        <v>9.4096308995430356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16.8</v>
      </c>
      <c r="DO25" s="12">
        <f>IF('Données projet'!$A$166&gt;35,DO24+DN25-DW24,IF(A25&lt;'Données projet'!$A$166,$DL$205^A25,IF(A25='Données projet'!$A$166,'Données projet'!$B$166,DO24+DN25-DW24)))</f>
        <v>114.60000000000001</v>
      </c>
      <c r="DP25" s="17">
        <f>DO25*VLOOKUP('Données projet'!$B$14,Paramètres!$A$1:$I$89,3,0)*VLOOKUP('Données projet'!$B$14,Paramètres!$A$1:$I$89,5,0)</f>
        <v>91.175760000000011</v>
      </c>
      <c r="DQ25" s="13">
        <f t="shared" si="43"/>
        <v>24.848575433138123</v>
      </c>
      <c r="DR25" s="20">
        <f t="shared" si="16"/>
        <v>202.07571754604893</v>
      </c>
      <c r="DS25" s="59">
        <f t="shared" si="17"/>
        <v>495.40905087938222</v>
      </c>
      <c r="DT25" s="59">
        <f ca="1">AVERAGE(OFFSET($DS$3,0,0,'Données projet'!$E$14+1,1))-AVERAGE(OFFSET($H$3,0,0,'Données projet'!$E$14+1,1))</f>
        <v>325.72928944930294</v>
      </c>
      <c r="DU25" s="59">
        <f t="shared" si="44"/>
        <v>318.38876834819752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7.1722472609422088</v>
      </c>
      <c r="EB25" s="21">
        <f>EXP(-LN(2)/25)*EB24+(1-EXP(-LN(2)/25))/(LN(2)/25)*Calculateur!DW25*Calculateur!DY25*VLOOKUP('Données projet'!$B$14,Paramètres!$A$1:$I$89,3,0)*0.475*44/12</f>
        <v>7.6010168219281455</v>
      </c>
      <c r="EC25" s="21">
        <f>EXP(-LN(2)/2)*EC24+(1-EXP(-LN(2)/2))/(LN(2)/2)*DW25*DZ25*VLOOKUP('Données projet'!$B$14,Paramètres!$A$1:$I$89,3,0)*0.475*44/12</f>
        <v>11.187947488916976</v>
      </c>
      <c r="ED25" s="22">
        <f t="shared" si="18"/>
        <v>25.961211571787331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7.2</v>
      </c>
      <c r="EJ25" s="12">
        <f>IF('Données projet'!$A$192&gt;35,EJ24+EI25-ER24,IF(A25&lt;'Données projet'!$A$192,$EG$205^A25,IF(A25='Données projet'!$A$192,'Données projet'!$B$192,EJ24+EI25-ER24)))</f>
        <v>81.400000000000006</v>
      </c>
      <c r="EK25" s="17">
        <f>EJ25*VLOOKUP('Données projet'!$B$15,Paramètres!$A$1:$I$89,3,0)*VLOOKUP('Données projet'!$B$15,Paramètres!$A$1:$I$89,5,0)</f>
        <v>82.539600000000007</v>
      </c>
      <c r="EL25" s="13">
        <f t="shared" si="45"/>
        <v>22.756995627482848</v>
      </c>
      <c r="EM25" s="20">
        <f t="shared" si="19"/>
        <v>183.39157071786599</v>
      </c>
      <c r="EN25" s="59">
        <f t="shared" si="20"/>
        <v>476.7249040511993</v>
      </c>
      <c r="EO25" s="59">
        <f ca="1">AVERAGE(OFFSET($EN$3,0,0,'Données projet'!$E$15+1,1))-AVERAGE(OFFSET($H$3,0,0,'Données projet'!$E$15+1,1))</f>
        <v>384.50065773787549</v>
      </c>
      <c r="EP25" s="59">
        <f t="shared" si="46"/>
        <v>231.92898690465887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0.55594656724801894</v>
      </c>
      <c r="EW25" s="21">
        <f>EXP(-LN(2)/25)*EW24+(1-EXP(-LN(2)/25))/(LN(2)/25)*Calculateur!ER25*Calculateur!ET25*VLOOKUP('Données projet'!$B$15,Paramètres!$A$1:$I$89,3,0)*0.475*44/12</f>
        <v>0.54505334494791458</v>
      </c>
      <c r="EX25" s="21">
        <f>EXP(-LN(2)/2)*EX24+(1-EXP(-LN(2)/2))/(LN(2)/2)*ER25*EU25*VLOOKUP('Données projet'!$B$15,Paramètres!$A$1:$I$89,3,0)*0.475*44/12</f>
        <v>1.7221253245377546</v>
      </c>
      <c r="EY25" s="22">
        <f t="shared" si="21"/>
        <v>2.8231252367336879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7.2</v>
      </c>
      <c r="FE25" s="12">
        <f>IF('Données projet'!$A$218&gt;35,FE24+FD25-FM24,IF(A25&lt;'Données projet'!$A$218,$FB$205^A25,IF(A25='Données projet'!$A$218,'Données projet'!$B$218,FE24+FD25-FM24)))</f>
        <v>81.400000000000006</v>
      </c>
      <c r="FF25" s="17">
        <f>FE25*VLOOKUP('Données projet'!$B$16,Paramètres!$A$1:$I$89,3,0)*VLOOKUP('Données projet'!$B$16,Paramètres!$A$1:$I$89,5,0)</f>
        <v>73.650720000000007</v>
      </c>
      <c r="FG25" s="13">
        <f t="shared" si="47"/>
        <v>20.577360172493922</v>
      </c>
      <c r="FH25" s="20">
        <f t="shared" si="22"/>
        <v>164.11390630042692</v>
      </c>
      <c r="FI25" s="59">
        <f t="shared" si="23"/>
        <v>457.4472396337602</v>
      </c>
      <c r="FJ25" s="59">
        <f ca="1">AVERAGE(OFFSET($FI$3,0,0,'Données projet'!$E$16+1,1))-AVERAGE(OFFSET($H$3,0,0,'Données projet'!$E$16+1,1))</f>
        <v>326.46362829268969</v>
      </c>
      <c r="FK25" s="59">
        <f t="shared" si="48"/>
        <v>203.5274665601915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0.49607539846746296</v>
      </c>
      <c r="FR25" s="21">
        <f>EXP(-LN(2)/25)*FR24+(1-EXP(-LN(2)/25))/(LN(2)/25)*Calculateur!FM25*Calculateur!FO25*VLOOKUP('Données projet'!$B$16,Paramètres!$A$1:$I$89,3,0)*0.475*44/12</f>
        <v>0.4863552924150622</v>
      </c>
      <c r="FS25" s="21">
        <f>EXP(-LN(2)/2)*FS24+(1-EXP(-LN(2)/2))/(LN(2)/2)*FM25*FP25*VLOOKUP('Données projet'!$B$16,Paramètres!$A$1:$I$89,3,0)*0.475*44/12</f>
        <v>1.5366656742029194</v>
      </c>
      <c r="FT25" s="22">
        <f t="shared" si="24"/>
        <v>2.5190963650854448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7.2</v>
      </c>
      <c r="FZ25" s="12">
        <f>IF('Données projet'!$A$244&gt;35,FZ24+FY25-GH24,IF(A25&lt;'Données projet'!$A$244,$FW$205^A25,IF(A25='Données projet'!$A$244,'Données projet'!$B$244,FZ24+FY25-GH24)))</f>
        <v>81.400000000000006</v>
      </c>
      <c r="GA25" s="17">
        <f>FZ25*VLOOKUP('Données projet'!$B$17,Paramètres!$A$1:$I$89,3,0)*VLOOKUP('Données projet'!$B$17,Paramètres!$A$1:$I$89,5,0)</f>
        <v>78.730080000000015</v>
      </c>
      <c r="GB25" s="13">
        <f t="shared" si="49"/>
        <v>21.826393515256996</v>
      </c>
      <c r="GC25" s="20">
        <f t="shared" si="25"/>
        <v>175.13585803907259</v>
      </c>
      <c r="GD25" s="59">
        <f t="shared" si="26"/>
        <v>468.46919137240593</v>
      </c>
      <c r="GE25" s="59">
        <f ca="1">AVERAGE(OFFSET($GD$3,0,0,'Données projet'!$E$17+1,1))-AVERAGE(OFFSET($H$3,0,0,'Données projet'!$E$17+1,1))</f>
        <v>353.24082990916918</v>
      </c>
      <c r="GF25" s="59">
        <f t="shared" si="50"/>
        <v>219.76562717496353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0.53028749491349514</v>
      </c>
      <c r="GM25" s="21">
        <f>EXP(-LN(2)/25)*GM24+(1-EXP(-LN(2)/25))/(LN(2)/25)*Calculateur!GH25*Calculateur!GJ25*VLOOKUP('Données projet'!$B$17,Paramètres!$A$1:$I$89,3,0)*0.475*44/12</f>
        <v>0.51989703671954923</v>
      </c>
      <c r="GN25" s="21">
        <f>EXP(-LN(2)/2)*GN24+(1-EXP(-LN(2)/2))/(LN(2)/2)*GH25*GK25*VLOOKUP('Données projet'!$B$17,Paramètres!$A$1:$I$89,3,0)*0.475*44/12</f>
        <v>1.6426426172513968</v>
      </c>
      <c r="GO25" s="21">
        <f t="shared" si="27"/>
        <v>2.6928271488844411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378.17323480030268</v>
      </c>
      <c r="T26" s="59">
        <f t="shared" si="34"/>
        <v>471.89239871617241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110</v>
      </c>
      <c r="AJ26" s="13">
        <f>AI26*VLOOKUP('Données projet'!$B$10,Paramètres!$A$1:$I$89,3,0)*VLOOKUP('Données projet'!$B$10,Paramètres!$A$1:$I$89,5,0)</f>
        <v>65.78</v>
      </c>
      <c r="AK26" s="13">
        <f t="shared" si="35"/>
        <v>18.621720661480644</v>
      </c>
      <c r="AL26" s="20">
        <f t="shared" si="4"/>
        <v>146.99966348541213</v>
      </c>
      <c r="AM26" s="59">
        <f t="shared" si="5"/>
        <v>440.33299681874541</v>
      </c>
      <c r="AN26" s="59">
        <f ca="1">AVERAGE(OFFSET($AM$3,0,0,'Données projet'!$E$10+1,1))-AVERAGE(OFFSET($H$3,0,0,'Données projet'!$E$10+1,1))</f>
        <v>141.22849894256314</v>
      </c>
      <c r="AO26" s="59">
        <f t="shared" si="36"/>
        <v>156.12101479343704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1.9100548368011425</v>
      </c>
      <c r="AV26" s="21">
        <f>EXP(-LN(2)/25)*AV25+(1-EXP(-LN(2)/25))/(LN(2)/25)*Calculateur!AQ26*Calculateur!AS26*VLOOKUP('Données projet'!$B$10,Paramètres!$A$1:$I$89,3,0)*0.475*44/12</f>
        <v>2.300840090468236</v>
      </c>
      <c r="AW26" s="21">
        <f>EXP(-LN(2)/2)*AW25+(1-EXP(-LN(2)/2))/(LN(2)/2)*AQ26*AT26*VLOOKUP('Données projet'!$B$10,Paramètres!$A$1:$I$89,3,0)*0.475*44/12</f>
        <v>1.2926635101127293</v>
      </c>
      <c r="AX26" s="21">
        <f t="shared" si="6"/>
        <v>5.5035584373821074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152</v>
      </c>
      <c r="BE26" s="13">
        <f>BD26*VLOOKUP('Données projet'!$B$11,Paramètres!$A$1:$I$89,3,0)*VLOOKUP('Données projet'!$B$11,Paramètres!$A$1:$I$89,5,0)</f>
        <v>67.184000000000012</v>
      </c>
      <c r="BF26" s="13">
        <f t="shared" si="37"/>
        <v>18.972483175556398</v>
      </c>
      <c r="BG26" s="20">
        <f t="shared" si="7"/>
        <v>150.05587486409408</v>
      </c>
      <c r="BH26" s="59">
        <f t="shared" si="8"/>
        <v>443.38920819742737</v>
      </c>
      <c r="BI26" s="59">
        <f ca="1">AVERAGE(OFFSET($BH$3,0,0,'Données projet'!$E$11+1,1))-AVERAGE(OFFSET($H$3,0,0,'Données projet'!$E$11+1,1))</f>
        <v>114.25511901730295</v>
      </c>
      <c r="BJ26" s="59">
        <f t="shared" si="38"/>
        <v>180.96261947642182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5.3975568731549481</v>
      </c>
      <c r="BR26" s="21">
        <f>EXP(-LN(2)/2)*BR25+(1-EXP(-LN(2)/2))/(LN(2)/2)*BL26*BO26*VLOOKUP('Données projet'!$B$11,Paramètres!$A$1:$I$89,3,0)*0.475*44/12</f>
        <v>4.9650917825713945</v>
      </c>
      <c r="BS26" s="22">
        <f t="shared" si="9"/>
        <v>10.362648655726343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10.6</v>
      </c>
      <c r="BY26" s="12">
        <f>IF('Données projet'!$A$114&gt;35,BY25+BX26-CG25,IF(A26&lt;'Données projet'!$A$114,$BV$205^A26,IF(A26='Données projet'!$A$114,'Données projet'!$B$114,BY25+BX26-CG25)))</f>
        <v>91.799999999999969</v>
      </c>
      <c r="BZ26" s="13">
        <f>BY26*VLOOKUP('Données projet'!$B$12,Paramètres!$A$1:$I$89,3,0)*VLOOKUP('Données projet'!$B$12,Paramètres!$A$1:$I$89,5,0)</f>
        <v>71.603999999999985</v>
      </c>
      <c r="CA26" s="13">
        <f t="shared" si="39"/>
        <v>20.071260561992585</v>
      </c>
      <c r="CB26" s="20">
        <f t="shared" si="10"/>
        <v>159.66774547880371</v>
      </c>
      <c r="CC26" s="59">
        <f t="shared" si="11"/>
        <v>453.00107881213705</v>
      </c>
      <c r="CD26" s="59">
        <f ca="1">AVERAGE(OFFSET($CC$3,0,0,'Données projet'!$E$12+1,1))-AVERAGE(OFFSET($H$3,0,0,'Données projet'!$E$12+1,1))</f>
        <v>216.95993967070063</v>
      </c>
      <c r="CE26" s="59">
        <f t="shared" si="40"/>
        <v>208.79744153433245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2.8102768827425182</v>
      </c>
      <c r="CL26" s="21">
        <f>EXP(-LN(2)/25)*CL25+(1-EXP(-LN(2)/25))/(LN(2)/25)*Calculateur!CG26*Calculateur!CI26*VLOOKUP('Données projet'!$B$12,Paramètres!$A$1:$I$89,3,0)*0.475*44/12</f>
        <v>3.5758981695931662</v>
      </c>
      <c r="CM26" s="21">
        <f>EXP(-LN(2)/2)*CM25+(1-EXP(-LN(2)/2))/(LN(2)/2)*CG26*CJ26*VLOOKUP('Données projet'!$B$12,Paramètres!$A$1:$I$89,3,0)*0.475*44/12</f>
        <v>2.034279254438883</v>
      </c>
      <c r="CN26" s="22">
        <f t="shared" si="12"/>
        <v>8.4204543067745661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10.6</v>
      </c>
      <c r="CT26" s="12">
        <f>IF('Données projet'!$A$140&gt;35,CT25+CS26-DB25,IF(A26&lt;'Données projet'!$A$140,$CQ$205^A26,IF(A26='Données projet'!$A$140,'Données projet'!$B$140,CT25+CS26-DB25)))</f>
        <v>91.799999999999969</v>
      </c>
      <c r="CU26" s="17">
        <f>CT26*VLOOKUP('Données projet'!$B$13,Paramètres!$A$1:$I$89,3,0)*VLOOKUP('Données projet'!$B$13,Paramètres!$A$1:$I$89,5,0)</f>
        <v>61.579439999999977</v>
      </c>
      <c r="CV26" s="13">
        <f t="shared" si="41"/>
        <v>17.566995111207309</v>
      </c>
      <c r="CW26" s="20">
        <f t="shared" si="13"/>
        <v>137.84670781868599</v>
      </c>
      <c r="CX26" s="59">
        <f t="shared" si="14"/>
        <v>431.18004115201927</v>
      </c>
      <c r="CY26" s="59">
        <f ca="1">AVERAGE(OFFSET($CX$3,0,0,'Données projet'!$E$13+1,1))-AVERAGE(OFFSET($H$3,0,0,'Données projet'!$E$13+1,1))</f>
        <v>181.32837315090507</v>
      </c>
      <c r="CZ26" s="59">
        <f t="shared" si="42"/>
        <v>175.03267817980338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2.9788934957070681</v>
      </c>
      <c r="DG26" s="21">
        <f>EXP(-LN(2)/25)*DG25+(1-EXP(-LN(2)/25))/(LN(2)/25)*Calculateur!DB26*Calculateur!DD26*VLOOKUP('Données projet'!$B$13,Paramètres!$A$1:$I$89,3,0)*0.475*44/12</f>
        <v>3.7904520597687554</v>
      </c>
      <c r="DH26" s="21">
        <f>EXP(-LN(2)/2)*DH25+(1-EXP(-LN(2)/2))/(LN(2)/2)*DB26*DE26*VLOOKUP('Données projet'!$B$13,Paramètres!$A$1:$I$89,3,0)*0.475*44/12</f>
        <v>1.7494801588174391</v>
      </c>
      <c r="DI26" s="22">
        <f t="shared" si="15"/>
        <v>8.5188257142932624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16.8</v>
      </c>
      <c r="DO26" s="12">
        <f>IF('Données projet'!$A$166&gt;35,DO25+DN26-DW25,IF(A26&lt;'Données projet'!$A$166,$DL$205^A26,IF(A26='Données projet'!$A$166,'Données projet'!$B$166,DO25+DN26-DW25)))</f>
        <v>131.4</v>
      </c>
      <c r="DP26" s="17">
        <f>DO26*VLOOKUP('Données projet'!$B$14,Paramètres!$A$1:$I$89,3,0)*VLOOKUP('Données projet'!$B$14,Paramètres!$A$1:$I$89,5,0)</f>
        <v>104.54184000000002</v>
      </c>
      <c r="DQ26" s="13">
        <f t="shared" si="43"/>
        <v>28.041215323191079</v>
      </c>
      <c r="DR26" s="20">
        <f t="shared" si="16"/>
        <v>230.91548802122449</v>
      </c>
      <c r="DS26" s="59">
        <f t="shared" si="17"/>
        <v>524.24882135455778</v>
      </c>
      <c r="DT26" s="59">
        <f ca="1">AVERAGE(OFFSET($DS$3,0,0,'Données projet'!$E$14+1,1))-AVERAGE(OFFSET($H$3,0,0,'Données projet'!$E$14+1,1))</f>
        <v>325.72928944930294</v>
      </c>
      <c r="DU26" s="59">
        <f t="shared" si="44"/>
        <v>318.38876834819752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7.0316038667940015</v>
      </c>
      <c r="EB26" s="21">
        <f>EXP(-LN(2)/25)*EB25+(1-EXP(-LN(2)/25))/(LN(2)/25)*Calculateur!DW26*Calculateur!DY26*VLOOKUP('Données projet'!$B$14,Paramètres!$A$1:$I$89,3,0)*0.475*44/12</f>
        <v>7.393166617212418</v>
      </c>
      <c r="EC26" s="21">
        <f>EXP(-LN(2)/2)*EC25+(1-EXP(-LN(2)/2))/(LN(2)/2)*DW26*DZ26*VLOOKUP('Données projet'!$B$14,Paramètres!$A$1:$I$89,3,0)*0.475*44/12</f>
        <v>7.9110735369722001</v>
      </c>
      <c r="ED26" s="22">
        <f t="shared" si="18"/>
        <v>22.33584402097862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7.2</v>
      </c>
      <c r="EJ26" s="12">
        <f>IF('Données projet'!$A$192&gt;35,EJ25+EI26-ER25,IF(A26&lt;'Données projet'!$A$192,$EG$205^A26,IF(A26='Données projet'!$A$192,'Données projet'!$B$192,EJ25+EI26-ER25)))</f>
        <v>88.600000000000009</v>
      </c>
      <c r="EK26" s="17">
        <f>EJ26*VLOOKUP('Données projet'!$B$15,Paramètres!$A$1:$I$89,3,0)*VLOOKUP('Données projet'!$B$15,Paramètres!$A$1:$I$89,5,0)</f>
        <v>89.840400000000017</v>
      </c>
      <c r="EL26" s="13">
        <f t="shared" si="45"/>
        <v>24.526729341796202</v>
      </c>
      <c r="EM26" s="20">
        <f t="shared" si="19"/>
        <v>199.18941693696172</v>
      </c>
      <c r="EN26" s="59">
        <f t="shared" si="20"/>
        <v>492.52275027029503</v>
      </c>
      <c r="EO26" s="59">
        <f ca="1">AVERAGE(OFFSET($EN$3,0,0,'Données projet'!$E$15+1,1))-AVERAGE(OFFSET($H$3,0,0,'Données projet'!$E$15+1,1))</f>
        <v>384.50065773787549</v>
      </c>
      <c r="EP26" s="59">
        <f t="shared" si="46"/>
        <v>231.92898690465887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0.54504479415820861</v>
      </c>
      <c r="EW26" s="21">
        <f>EXP(-LN(2)/25)*EW25+(1-EXP(-LN(2)/25))/(LN(2)/25)*Calculateur!ER26*Calculateur!ET26*VLOOKUP('Données projet'!$B$15,Paramètres!$A$1:$I$89,3,0)*0.475*44/12</f>
        <v>0.53014883256720413</v>
      </c>
      <c r="EX26" s="21">
        <f>EXP(-LN(2)/2)*EX25+(1-EXP(-LN(2)/2))/(LN(2)/2)*ER26*EU26*VLOOKUP('Données projet'!$B$15,Paramètres!$A$1:$I$89,3,0)*0.475*44/12</f>
        <v>1.2177264950337303</v>
      </c>
      <c r="EY26" s="22">
        <f t="shared" si="21"/>
        <v>2.2929201217591428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7.2</v>
      </c>
      <c r="FE26" s="12">
        <f>IF('Données projet'!$A$218&gt;35,FE25+FD26-FM25,IF(A26&lt;'Données projet'!$A$218,$FB$205^A26,IF(A26='Données projet'!$A$218,'Données projet'!$B$218,FE25+FD26-FM25)))</f>
        <v>88.600000000000009</v>
      </c>
      <c r="FF26" s="17">
        <f>FE26*VLOOKUP('Données projet'!$B$16,Paramètres!$A$1:$I$89,3,0)*VLOOKUP('Données projet'!$B$16,Paramètres!$A$1:$I$89,5,0)</f>
        <v>80.165279999999996</v>
      </c>
      <c r="FG26" s="13">
        <f t="shared" si="47"/>
        <v>22.177591092468788</v>
      </c>
      <c r="FH26" s="20">
        <f t="shared" si="22"/>
        <v>178.24716715271646</v>
      </c>
      <c r="FI26" s="59">
        <f t="shared" si="23"/>
        <v>471.5805004860498</v>
      </c>
      <c r="FJ26" s="59">
        <f ca="1">AVERAGE(OFFSET($FI$3,0,0,'Données projet'!$E$16+1,1))-AVERAGE(OFFSET($H$3,0,0,'Données projet'!$E$16+1,1))</f>
        <v>326.46362829268969</v>
      </c>
      <c r="FK26" s="59">
        <f t="shared" si="48"/>
        <v>203.5274665601915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0.48634766247963218</v>
      </c>
      <c r="FR26" s="21">
        <f>EXP(-LN(2)/25)*FR25+(1-EXP(-LN(2)/25))/(LN(2)/25)*Calculateur!FM26*Calculateur!FO26*VLOOKUP('Données projet'!$B$16,Paramètres!$A$1:$I$89,3,0)*0.475*44/12</f>
        <v>0.47305588136765908</v>
      </c>
      <c r="FS26" s="21">
        <f>EXP(-LN(2)/2)*FS25+(1-EXP(-LN(2)/2))/(LN(2)/2)*FM26*FP26*VLOOKUP('Données projet'!$B$16,Paramètres!$A$1:$I$89,3,0)*0.475*44/12</f>
        <v>1.0865867186454823</v>
      </c>
      <c r="FT26" s="22">
        <f t="shared" si="24"/>
        <v>2.0459902624927735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7.2</v>
      </c>
      <c r="FZ26" s="12">
        <f>IF('Données projet'!$A$244&gt;35,FZ25+FY26-GH25,IF(A26&lt;'Données projet'!$A$244,$FW$205^A26,IF(A26='Données projet'!$A$244,'Données projet'!$B$244,FZ25+FY26-GH25)))</f>
        <v>88.600000000000009</v>
      </c>
      <c r="GA26" s="17">
        <f>FZ26*VLOOKUP('Données projet'!$B$17,Paramètres!$A$1:$I$89,3,0)*VLOOKUP('Données projet'!$B$17,Paramètres!$A$1:$I$89,5,0)</f>
        <v>85.693920000000006</v>
      </c>
      <c r="GB26" s="13">
        <f t="shared" si="49"/>
        <v>23.523757486236178</v>
      </c>
      <c r="GC26" s="20">
        <f t="shared" si="25"/>
        <v>190.22078828852798</v>
      </c>
      <c r="GD26" s="59">
        <f t="shared" si="26"/>
        <v>483.55412162186133</v>
      </c>
      <c r="GE26" s="59">
        <f ca="1">AVERAGE(OFFSET($GD$3,0,0,'Données projet'!$E$17+1,1))-AVERAGE(OFFSET($H$3,0,0,'Données projet'!$E$17+1,1))</f>
        <v>353.24082990916918</v>
      </c>
      <c r="GF26" s="59">
        <f t="shared" si="50"/>
        <v>219.76562717496353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0.51988888058167604</v>
      </c>
      <c r="GM26" s="21">
        <f>EXP(-LN(2)/25)*GM25+(1-EXP(-LN(2)/25))/(LN(2)/25)*Calculateur!GH26*Calculateur!GJ26*VLOOKUP('Données projet'!$B$17,Paramètres!$A$1:$I$89,3,0)*0.475*44/12</f>
        <v>0.50568042491025622</v>
      </c>
      <c r="GN26" s="21">
        <f>EXP(-LN(2)/2)*GN25+(1-EXP(-LN(2)/2))/(LN(2)/2)*GH26*GK26*VLOOKUP('Données projet'!$B$17,Paramètres!$A$1:$I$89,3,0)*0.475*44/12</f>
        <v>1.1615237337244813</v>
      </c>
      <c r="GO26" s="21">
        <f t="shared" si="27"/>
        <v>2.1870930392164132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378.17323480030268</v>
      </c>
      <c r="T27" s="59">
        <f t="shared" si="34"/>
        <v>471.89239871617241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121</v>
      </c>
      <c r="AG27" s="12">
        <f>VLOOKUP(A27,'Données projet'!$A$61:$I$81,9,0)</f>
        <v>11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121</v>
      </c>
      <c r="AJ27" s="13">
        <f>AI27*VLOOKUP('Données projet'!$B$10,Paramètres!$A$1:$I$89,3,0)*VLOOKUP('Données projet'!$B$10,Paramètres!$A$1:$I$89,5,0)</f>
        <v>72.358000000000004</v>
      </c>
      <c r="AK27" s="13">
        <f t="shared" si="35"/>
        <v>20.257898193815318</v>
      </c>
      <c r="AL27" s="20">
        <f t="shared" si="4"/>
        <v>161.30602268756169</v>
      </c>
      <c r="AM27" s="59">
        <f t="shared" si="5"/>
        <v>454.63935602089498</v>
      </c>
      <c r="AN27" s="59">
        <f ca="1">AVERAGE(OFFSET($AM$3,0,0,'Données projet'!$E$10+1,1))-AVERAGE(OFFSET($H$3,0,0,'Données projet'!$E$10+1,1))</f>
        <v>141.22849894256314</v>
      </c>
      <c r="AO27" s="59">
        <f t="shared" si="36"/>
        <v>156.12101479343704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20</v>
      </c>
      <c r="AR27" s="16">
        <f>IF(ISNA(VLOOKUP(A27,'Données projet'!$A$61:$I$81,5,0)),0%,VLOOKUP(A27,'Données projet'!$A$61:$I$81,5,0)*VLOOKUP('Données projet'!$B$10,Paramètres!$A$1:$I$89,7,0))</f>
        <v>0.18000000000000002</v>
      </c>
      <c r="AS27" s="16">
        <f>IF(ISNA(VLOOKUP(A27,'Données projet'!$A$61:$I$81,6,0)),0%,VLOOKUP(A27,'Données projet'!$A$61:$I$81,6,0)*VLOOKUP('Données projet'!$B$10,Paramètres!$A$1:$I$89,7,0))</f>
        <v>0.13500000000000001</v>
      </c>
      <c r="AT27" s="16">
        <f>IF(ISNA(VLOOKUP(A27,'Données projet'!$A$61:$I$81,7,0)),0%,VLOOKUP(A27,'Données projet'!$A$61:$I$81,7,0))</f>
        <v>0.3</v>
      </c>
      <c r="AU27" s="21">
        <f>EXP(-LN(2)/35)*AU26+(1-EXP(-LN(2)/35))/(LN(2)/35)*AQ27*AR27*VLOOKUP('Données projet'!$B$10,Paramètres!$A$1:$I$89,3,0)*0.475*44/12</f>
        <v>4.7284277861401289</v>
      </c>
      <c r="AV27" s="21">
        <f>EXP(-LN(2)/25)*AV26+(1-EXP(-LN(2)/25))/(LN(2)/25)*Calculateur!AQ27*Calculateur!AS27*VLOOKUP('Données projet'!$B$10,Paramètres!$A$1:$I$89,3,0)*0.475*44/12</f>
        <v>4.3713611048264038</v>
      </c>
      <c r="AW27" s="21">
        <f>EXP(-LN(2)/2)*AW26+(1-EXP(-LN(2)/2))/(LN(2)/2)*AQ27*AT27*VLOOKUP('Données projet'!$B$10,Paramètres!$A$1:$I$89,3,0)*0.475*44/12</f>
        <v>4.9765006173180755</v>
      </c>
      <c r="AX27" s="21">
        <f t="shared" si="6"/>
        <v>14.076289508284608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168</v>
      </c>
      <c r="BE27" s="13">
        <f>BD27*VLOOKUP('Données projet'!$B$11,Paramètres!$A$1:$I$89,3,0)*VLOOKUP('Données projet'!$B$11,Paramètres!$A$1:$I$89,5,0)</f>
        <v>74.256000000000014</v>
      </c>
      <c r="BF27" s="13">
        <f t="shared" si="37"/>
        <v>20.726714411291823</v>
      </c>
      <c r="BG27" s="20">
        <f t="shared" si="7"/>
        <v>165.4282275996666</v>
      </c>
      <c r="BH27" s="59">
        <f t="shared" si="8"/>
        <v>458.76156093299994</v>
      </c>
      <c r="BI27" s="59">
        <f ca="1">AVERAGE(OFFSET($BH$3,0,0,'Données projet'!$E$11+1,1))-AVERAGE(OFFSET($H$3,0,0,'Données projet'!$E$11+1,1))</f>
        <v>114.25511901730295</v>
      </c>
      <c r="BJ27" s="59">
        <f t="shared" si="38"/>
        <v>180.96261947642182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0.22000000000000003</v>
      </c>
      <c r="BO27" s="16">
        <f>IF(ISNA(VLOOKUP(A27,'Données projet'!$A$87:$I$107,7,0)),0%,VLOOKUP(A27,'Données projet'!$A$87:$I$107,7,0))</f>
        <v>0.6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8.976089912286886</v>
      </c>
      <c r="BR27" s="21">
        <f>EXP(-LN(2)/2)*BR26+(1-EXP(-LN(2)/2))/(LN(2)/2)*BL27*BO27*VLOOKUP('Données projet'!$B$11,Paramètres!$A$1:$I$89,3,0)*0.475*44/12</f>
        <v>12.218622222486381</v>
      </c>
      <c r="BS27" s="22">
        <f t="shared" si="9"/>
        <v>21.194712134773269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10.6</v>
      </c>
      <c r="BY27" s="12">
        <f>IF('Données projet'!$A$114&gt;35,BY26+BX27-CG26,IF(A27&lt;'Données projet'!$A$114,$BV$205^A27,IF(A27='Données projet'!$A$114,'Données projet'!$B$114,BY26+BX27-CG26)))</f>
        <v>102.39999999999996</v>
      </c>
      <c r="BZ27" s="13">
        <f>BY27*VLOOKUP('Données projet'!$B$12,Paramètres!$A$1:$I$89,3,0)*VLOOKUP('Données projet'!$B$12,Paramètres!$A$1:$I$89,5,0)</f>
        <v>79.871999999999971</v>
      </c>
      <c r="CA27" s="13">
        <f t="shared" si="39"/>
        <v>22.105884547145401</v>
      </c>
      <c r="CB27" s="20">
        <f t="shared" si="10"/>
        <v>177.61148225294485</v>
      </c>
      <c r="CC27" s="59">
        <f t="shared" si="11"/>
        <v>470.9448155862782</v>
      </c>
      <c r="CD27" s="59">
        <f ca="1">AVERAGE(OFFSET($CC$3,0,0,'Données projet'!$E$12+1,1))-AVERAGE(OFFSET($H$3,0,0,'Données projet'!$E$12+1,1))</f>
        <v>216.95993967070063</v>
      </c>
      <c r="CE27" s="59">
        <f t="shared" si="40"/>
        <v>208.79744153433245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2.7551690671715825</v>
      </c>
      <c r="CL27" s="21">
        <f>EXP(-LN(2)/25)*CL26+(1-EXP(-LN(2)/25))/(LN(2)/25)*Calculateur!CG27*Calculateur!CI27*VLOOKUP('Données projet'!$B$12,Paramètres!$A$1:$I$89,3,0)*0.475*44/12</f>
        <v>3.4781150460973294</v>
      </c>
      <c r="CM27" s="21">
        <f>EXP(-LN(2)/2)*CM26+(1-EXP(-LN(2)/2))/(LN(2)/2)*CG27*CJ27*VLOOKUP('Données projet'!$B$12,Paramètres!$A$1:$I$89,3,0)*0.475*44/12</f>
        <v>1.4384526556408483</v>
      </c>
      <c r="CN27" s="22">
        <f t="shared" si="12"/>
        <v>7.67173676890976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10.6</v>
      </c>
      <c r="CT27" s="12">
        <f>IF('Données projet'!$A$140&gt;35,CT26+CS27-DB26,IF(A27&lt;'Données projet'!$A$140,$CQ$205^A27,IF(A27='Données projet'!$A$140,'Données projet'!$B$140,CT26+CS27-DB26)))</f>
        <v>102.39999999999996</v>
      </c>
      <c r="CU27" s="17">
        <f>CT27*VLOOKUP('Données projet'!$B$13,Paramètres!$A$1:$I$89,3,0)*VLOOKUP('Données projet'!$B$13,Paramètres!$A$1:$I$89,5,0)</f>
        <v>68.689919999999972</v>
      </c>
      <c r="CV27" s="13">
        <f t="shared" si="41"/>
        <v>19.34776166993591</v>
      </c>
      <c r="CW27" s="20">
        <f t="shared" si="13"/>
        <v>153.33229557513832</v>
      </c>
      <c r="CX27" s="59">
        <f t="shared" si="14"/>
        <v>446.6656289084716</v>
      </c>
      <c r="CY27" s="59">
        <f ca="1">AVERAGE(OFFSET($CX$3,0,0,'Données projet'!$E$13+1,1))-AVERAGE(OFFSET($H$3,0,0,'Données projet'!$E$13+1,1))</f>
        <v>181.32837315090507</v>
      </c>
      <c r="CZ27" s="59">
        <f t="shared" si="42"/>
        <v>175.03267817980338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2.9204792112018763</v>
      </c>
      <c r="DG27" s="21">
        <f>EXP(-LN(2)/25)*DG26+(1-EXP(-LN(2)/25))/(LN(2)/25)*Calculateur!DB27*Calculateur!DD27*VLOOKUP('Données projet'!$B$13,Paramètres!$A$1:$I$89,3,0)*0.475*44/12</f>
        <v>3.686801948863168</v>
      </c>
      <c r="DH27" s="21">
        <f>EXP(-LN(2)/2)*DH26+(1-EXP(-LN(2)/2))/(LN(2)/2)*DB27*DE27*VLOOKUP('Données projet'!$B$13,Paramètres!$A$1:$I$89,3,0)*0.475*44/12</f>
        <v>1.2370692838511295</v>
      </c>
      <c r="DI27" s="22">
        <f t="shared" si="15"/>
        <v>7.8443504439161735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16.8</v>
      </c>
      <c r="DO27" s="12">
        <f>IF('Données projet'!$A$166&gt;35,DO26+DN27-DW26,IF(A27&lt;'Données projet'!$A$166,$DL$205^A27,IF(A27='Données projet'!$A$166,'Données projet'!$B$166,DO26+DN27-DW26)))</f>
        <v>148.20000000000002</v>
      </c>
      <c r="DP27" s="17">
        <f>DO27*VLOOKUP('Données projet'!$B$14,Paramètres!$A$1:$I$89,3,0)*VLOOKUP('Données projet'!$B$14,Paramètres!$A$1:$I$89,5,0)</f>
        <v>117.90792000000002</v>
      </c>
      <c r="DQ27" s="13">
        <f t="shared" si="43"/>
        <v>31.186557651984323</v>
      </c>
      <c r="DR27" s="20">
        <f t="shared" si="16"/>
        <v>259.67288191053939</v>
      </c>
      <c r="DS27" s="59">
        <f t="shared" si="17"/>
        <v>553.0062152438727</v>
      </c>
      <c r="DT27" s="59">
        <f ca="1">AVERAGE(OFFSET($DS$3,0,0,'Données projet'!$E$14+1,1))-AVERAGE(OFFSET($H$3,0,0,'Données projet'!$E$14+1,1))</f>
        <v>325.72928944930294</v>
      </c>
      <c r="DU27" s="59">
        <f t="shared" si="44"/>
        <v>318.38876834819752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6.8937184038210404</v>
      </c>
      <c r="EB27" s="21">
        <f>EXP(-LN(2)/25)*EB26+(1-EXP(-LN(2)/25))/(LN(2)/25)*Calculateur!DW27*Calculateur!DY27*VLOOKUP('Données projet'!$B$14,Paramètres!$A$1:$I$89,3,0)*0.475*44/12</f>
        <v>7.1910000872750093</v>
      </c>
      <c r="EC27" s="21">
        <f>EXP(-LN(2)/2)*EC26+(1-EXP(-LN(2)/2))/(LN(2)/2)*DW27*DZ27*VLOOKUP('Données projet'!$B$14,Paramètres!$A$1:$I$89,3,0)*0.475*44/12</f>
        <v>5.5939737444584887</v>
      </c>
      <c r="ED27" s="22">
        <f t="shared" si="18"/>
        <v>19.678692235554539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7.2</v>
      </c>
      <c r="EJ27" s="12">
        <f>IF('Données projet'!$A$192&gt;35,EJ26+EI27-ER26,IF(A27&lt;'Données projet'!$A$192,$EG$205^A27,IF(A27='Données projet'!$A$192,'Données projet'!$B$192,EJ26+EI27-ER26)))</f>
        <v>95.800000000000011</v>
      </c>
      <c r="EK27" s="17">
        <f>EJ27*VLOOKUP('Données projet'!$B$15,Paramètres!$A$1:$I$89,3,0)*VLOOKUP('Données projet'!$B$15,Paramètres!$A$1:$I$89,5,0)</f>
        <v>97.141200000000026</v>
      </c>
      <c r="EL27" s="13">
        <f t="shared" si="45"/>
        <v>26.279782450761708</v>
      </c>
      <c r="EM27" s="20">
        <f t="shared" si="19"/>
        <v>214.95821110174333</v>
      </c>
      <c r="EN27" s="59">
        <f t="shared" si="20"/>
        <v>508.29154443507662</v>
      </c>
      <c r="EO27" s="59">
        <f ca="1">AVERAGE(OFFSET($EN$3,0,0,'Données projet'!$E$15+1,1))-AVERAGE(OFFSET($H$3,0,0,'Données projet'!$E$15+1,1))</f>
        <v>384.50065773787549</v>
      </c>
      <c r="EP27" s="59">
        <f t="shared" si="46"/>
        <v>231.92898690465887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0.5343567981892644</v>
      </c>
      <c r="EW27" s="21">
        <f>EXP(-LN(2)/25)*EW26+(1-EXP(-LN(2)/25))/(LN(2)/25)*Calculateur!ER27*Calculateur!ET27*VLOOKUP('Données projet'!$B$15,Paramètres!$A$1:$I$89,3,0)*0.475*44/12</f>
        <v>0.51565188486133851</v>
      </c>
      <c r="EX27" s="21">
        <f>EXP(-LN(2)/2)*EX26+(1-EXP(-LN(2)/2))/(LN(2)/2)*ER27*EU27*VLOOKUP('Données projet'!$B$15,Paramètres!$A$1:$I$89,3,0)*0.475*44/12</f>
        <v>0.8610626622688774</v>
      </c>
      <c r="EY27" s="22">
        <f t="shared" si="21"/>
        <v>1.9110713453194803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7.2</v>
      </c>
      <c r="FE27" s="12">
        <f>IF('Données projet'!$A$218&gt;35,FE26+FD27-FM26,IF(A27&lt;'Données projet'!$A$218,$FB$205^A27,IF(A27='Données projet'!$A$218,'Données projet'!$B$218,FE26+FD27-FM26)))</f>
        <v>95.800000000000011</v>
      </c>
      <c r="FF27" s="17">
        <f>FE27*VLOOKUP('Données projet'!$B$16,Paramètres!$A$1:$I$89,3,0)*VLOOKUP('Données projet'!$B$16,Paramètres!$A$1:$I$89,5,0)</f>
        <v>86.679839999999999</v>
      </c>
      <c r="FG27" s="13">
        <f t="shared" si="47"/>
        <v>23.762739053789723</v>
      </c>
      <c r="FH27" s="20">
        <f t="shared" si="22"/>
        <v>192.35415851868379</v>
      </c>
      <c r="FI27" s="59">
        <f t="shared" si="23"/>
        <v>485.6874918520171</v>
      </c>
      <c r="FJ27" s="59">
        <f ca="1">AVERAGE(OFFSET($FI$3,0,0,'Données projet'!$E$16+1,1))-AVERAGE(OFFSET($H$3,0,0,'Données projet'!$E$16+1,1))</f>
        <v>326.46362829268969</v>
      </c>
      <c r="FK27" s="59">
        <f t="shared" si="48"/>
        <v>203.5274665601915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0.47681068146118966</v>
      </c>
      <c r="FR27" s="21">
        <f>EXP(-LN(2)/25)*FR26+(1-EXP(-LN(2)/25))/(LN(2)/25)*Calculateur!FM27*Calculateur!FO27*VLOOKUP('Données projet'!$B$16,Paramètres!$A$1:$I$89,3,0)*0.475*44/12</f>
        <v>0.46012014341473284</v>
      </c>
      <c r="FS27" s="21">
        <f>EXP(-LN(2)/2)*FS26+(1-EXP(-LN(2)/2))/(LN(2)/2)*FM27*FP27*VLOOKUP('Données projet'!$B$16,Paramètres!$A$1:$I$89,3,0)*0.475*44/12</f>
        <v>0.76833283710145972</v>
      </c>
      <c r="FT27" s="22">
        <f t="shared" si="24"/>
        <v>1.7052636619773822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7.2</v>
      </c>
      <c r="FZ27" s="12">
        <f>IF('Données projet'!$A$244&gt;35,FZ26+FY27-GH26,IF(A27&lt;'Données projet'!$A$244,$FW$205^A27,IF(A27='Données projet'!$A$244,'Données projet'!$B$244,FZ26+FY27-GH26)))</f>
        <v>95.800000000000011</v>
      </c>
      <c r="GA27" s="17">
        <f>FZ27*VLOOKUP('Données projet'!$B$17,Paramètres!$A$1:$I$89,3,0)*VLOOKUP('Données projet'!$B$17,Paramètres!$A$1:$I$89,5,0)</f>
        <v>92.65776000000001</v>
      </c>
      <c r="GB27" s="13">
        <f t="shared" si="49"/>
        <v>25.205122972074609</v>
      </c>
      <c r="GC27" s="20">
        <f t="shared" si="25"/>
        <v>205.2778545096966</v>
      </c>
      <c r="GD27" s="59">
        <f t="shared" si="26"/>
        <v>498.61118784302994</v>
      </c>
      <c r="GE27" s="59">
        <f ca="1">AVERAGE(OFFSET($GD$3,0,0,'Données projet'!$E$17+1,1))-AVERAGE(OFFSET($H$3,0,0,'Données projet'!$E$17+1,1))</f>
        <v>353.24082990916918</v>
      </c>
      <c r="GF27" s="59">
        <f t="shared" si="50"/>
        <v>219.76562717496353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0.50969417673437545</v>
      </c>
      <c r="GM27" s="21">
        <f>EXP(-LN(2)/25)*GM26+(1-EXP(-LN(2)/25))/(LN(2)/25)*Calculateur!GH27*Calculateur!GJ27*VLOOKUP('Données projet'!$B$17,Paramètres!$A$1:$I$89,3,0)*0.475*44/12</f>
        <v>0.49185256709850744</v>
      </c>
      <c r="GN27" s="21">
        <f>EXP(-LN(2)/2)*GN26+(1-EXP(-LN(2)/2))/(LN(2)/2)*GH27*GK27*VLOOKUP('Données projet'!$B$17,Paramètres!$A$1:$I$89,3,0)*0.475*44/12</f>
        <v>0.82132130862569852</v>
      </c>
      <c r="GO27" s="21">
        <f t="shared" si="27"/>
        <v>1.8228680524585814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378.17323480030268</v>
      </c>
      <c r="T28" s="59">
        <f t="shared" si="34"/>
        <v>471.89239871617241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0.22000000000000003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8.7749216383305857</v>
      </c>
      <c r="AB28" s="21">
        <f>EXP(-LN(2)/2)*AB27+(1-EXP(-LN(2)/2))/(LN(2)/2)*V28*Y28*VLOOKUP('Données projet'!$B$9,Paramètres!$A$1:$I$89,3,0)*0.475*44/12</f>
        <v>20.506538479880337</v>
      </c>
      <c r="AC28" s="22">
        <f t="shared" si="3"/>
        <v>29.281460118210923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11.25</v>
      </c>
      <c r="AI28" s="13">
        <f>IF('Données projet'!$A$62&gt;35,AI27+AH28-AQ27,IF(A28&lt;'Données projet'!$A$62,$AF$205^A28,IF(A28='Données projet'!$A$62,'Données projet'!$B$62,AI27+AH28-AQ27)))</f>
        <v>112.25</v>
      </c>
      <c r="AJ28" s="13">
        <f>AI28*VLOOKUP('Données projet'!$B$10,Paramètres!$A$1:$I$89,3,0)*VLOOKUP('Données projet'!$B$10,Paramètres!$A$1:$I$89,5,0)</f>
        <v>67.125500000000002</v>
      </c>
      <c r="AK28" s="13">
        <f t="shared" si="35"/>
        <v>18.957885224346715</v>
      </c>
      <c r="AL28" s="20">
        <f t="shared" si="4"/>
        <v>149.92856259907052</v>
      </c>
      <c r="AM28" s="59">
        <f t="shared" si="5"/>
        <v>443.26189593240383</v>
      </c>
      <c r="AN28" s="59">
        <f ca="1">AVERAGE(OFFSET($AM$3,0,0,'Données projet'!$E$10+1,1))-AVERAGE(OFFSET($H$3,0,0,'Données projet'!$E$10+1,1))</f>
        <v>141.22849894256314</v>
      </c>
      <c r="AO28" s="59">
        <f t="shared" si="36"/>
        <v>156.12101479343704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4.6357062013100938</v>
      </c>
      <c r="AV28" s="21">
        <f>EXP(-LN(2)/25)*AV27+(1-EXP(-LN(2)/25))/(LN(2)/25)*Calculateur!AQ28*Calculateur!AS28*VLOOKUP('Données projet'!$B$10,Paramètres!$A$1:$I$89,3,0)*0.475*44/12</f>
        <v>4.2518260055350359</v>
      </c>
      <c r="AW28" s="21">
        <f>EXP(-LN(2)/2)*AW27+(1-EXP(-LN(2)/2))/(LN(2)/2)*AQ28*AT28*VLOOKUP('Données projet'!$B$10,Paramètres!$A$1:$I$89,3,0)*0.475*44/12</f>
        <v>3.5189173330846515</v>
      </c>
      <c r="AX28" s="21">
        <f t="shared" si="6"/>
        <v>12.406449539929781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14.166666666666666</v>
      </c>
      <c r="BD28" s="12">
        <f>IF('Données projet'!$A$88&gt;35,BD27+BC28-BL27,IF(A28&lt;'Données projet'!$A$88,$BA$205^A28,IF(A28='Données projet'!$A$88,'Données projet'!$B$88,BD27+BC28-BL27)))</f>
        <v>153.16666666666666</v>
      </c>
      <c r="BE28" s="13">
        <f>BD28*VLOOKUP('Données projet'!$B$11,Paramètres!$A$1:$I$89,3,0)*VLOOKUP('Données projet'!$B$11,Paramètres!$A$1:$I$89,5,0)</f>
        <v>67.699666666666673</v>
      </c>
      <c r="BF28" s="13">
        <f t="shared" si="37"/>
        <v>19.101097573807596</v>
      </c>
      <c r="BG28" s="20">
        <f t="shared" si="7"/>
        <v>151.17799771882599</v>
      </c>
      <c r="BH28" s="59">
        <f t="shared" si="8"/>
        <v>444.51133105215933</v>
      </c>
      <c r="BI28" s="59">
        <f ca="1">AVERAGE(OFFSET($BH$3,0,0,'Données projet'!$E$11+1,1))-AVERAGE(OFFSET($H$3,0,0,'Données projet'!$E$11+1,1))</f>
        <v>114.25511901730295</v>
      </c>
      <c r="BJ28" s="59">
        <f t="shared" si="38"/>
        <v>180.96261947642182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8.7306382616033478</v>
      </c>
      <c r="BR28" s="21">
        <f>EXP(-LN(2)/2)*BR27+(1-EXP(-LN(2)/2))/(LN(2)/2)*BL28*BO28*VLOOKUP('Données projet'!$B$11,Paramètres!$A$1:$I$89,3,0)*0.475*44/12</f>
        <v>8.6398706302767643</v>
      </c>
      <c r="BS28" s="22">
        <f t="shared" si="9"/>
        <v>17.370508891880114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113</v>
      </c>
      <c r="BW28" s="12">
        <f>VLOOKUP(A28,'Données projet'!$A$113:$I$133,9,0)</f>
        <v>10.6</v>
      </c>
      <c r="BX28" s="12">
        <f t="array" ref="BX28">INDEX(BW:BW,MIN(IF(ISNUMBER(BW28:BW224),ROW(BW28:BW224),"")))</f>
        <v>10.6</v>
      </c>
      <c r="BY28" s="12">
        <f>IF('Données projet'!$A$114&gt;35,BY27+BX28-CG27,IF(A28&lt;'Données projet'!$A$114,$BV$205^A28,IF(A28='Données projet'!$A$114,'Données projet'!$B$114,BY27+BX28-CG27)))</f>
        <v>112.99999999999996</v>
      </c>
      <c r="BZ28" s="13">
        <f>BY28*VLOOKUP('Données projet'!$B$12,Paramètres!$A$1:$I$89,3,0)*VLOOKUP('Données projet'!$B$12,Paramètres!$A$1:$I$89,5,0)</f>
        <v>88.139999999999972</v>
      </c>
      <c r="CA28" s="13">
        <f t="shared" si="39"/>
        <v>24.116094026318823</v>
      </c>
      <c r="CB28" s="20">
        <f t="shared" si="10"/>
        <v>195.51269709583855</v>
      </c>
      <c r="CC28" s="59">
        <f t="shared" si="11"/>
        <v>488.84603042917183</v>
      </c>
      <c r="CD28" s="59">
        <f ca="1">AVERAGE(OFFSET($CC$3,0,0,'Données projet'!$E$12+1,1))-AVERAGE(OFFSET($H$3,0,0,'Données projet'!$E$12+1,1))</f>
        <v>216.95993967070063</v>
      </c>
      <c r="CE28" s="59">
        <f t="shared" si="40"/>
        <v>208.79744153433245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27</v>
      </c>
      <c r="CH28" s="16">
        <f>IF(ISNA(VLOOKUP(A28,'Données projet'!$A$113:$I$133,5,0)),0%,VLOOKUP(A28,'Données projet'!$A$113:$I$133,5,0)*VLOOKUP('Données projet'!$B$12,Paramètres!$A$1:$I$89,7,0))</f>
        <v>0.129</v>
      </c>
      <c r="CI28" s="16">
        <f>IF(ISNA(VLOOKUP(A28,'Données projet'!$A$113:$I$133,6,0)),0%,VLOOKUP(A28,'Données projet'!$A$113:$I$133,6,0)*VLOOKUP('Données projet'!$B$12,Paramètres!$A$1:$I$89,7,0))</f>
        <v>0.17200000000000001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5.7044174811438921</v>
      </c>
      <c r="CL28" s="21">
        <f>EXP(-LN(2)/25)*CL27+(1-EXP(-LN(2)/25))/(LN(2)/25)*Calculateur!CG28*Calculateur!CI28*VLOOKUP('Données projet'!$B$12,Paramètres!$A$1:$I$89,3,0)*0.475*44/12</f>
        <v>7.3716065519513965</v>
      </c>
      <c r="CM28" s="21">
        <f>EXP(-LN(2)/2)*CM27+(1-EXP(-LN(2)/2))/(LN(2)/2)*CG28*CJ28*VLOOKUP('Données projet'!$B$12,Paramètres!$A$1:$I$89,3,0)*0.475*44/12</f>
        <v>6.9783426736962841</v>
      </c>
      <c r="CN28" s="22">
        <f t="shared" si="12"/>
        <v>20.054366706791573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113</v>
      </c>
      <c r="CR28" s="12">
        <f>VLOOKUP(A28,'Données projet'!$A$139:$I$159,9,0)</f>
        <v>10.6</v>
      </c>
      <c r="CS28" s="12">
        <f t="array" ref="CS28">INDEX(CR:CR,MIN(IF(ISNUMBER(CR28:CR224),ROW(CR28:CR224),"")))</f>
        <v>10.6</v>
      </c>
      <c r="CT28" s="12">
        <f>IF('Données projet'!$A$140&gt;35,CT27+CS28-DB27,IF(A28&lt;'Données projet'!$A$140,$CQ$205^A28,IF(A28='Données projet'!$A$140,'Données projet'!$B$140,CT27+CS28-DB27)))</f>
        <v>112.99999999999996</v>
      </c>
      <c r="CU28" s="17">
        <f>CT28*VLOOKUP('Données projet'!$B$13,Paramètres!$A$1:$I$89,3,0)*VLOOKUP('Données projet'!$B$13,Paramètres!$A$1:$I$89,5,0)</f>
        <v>75.800399999999968</v>
      </c>
      <c r="CV28" s="13">
        <f t="shared" si="41"/>
        <v>21.107159889298988</v>
      </c>
      <c r="CW28" s="20">
        <f t="shared" si="13"/>
        <v>168.78066680719567</v>
      </c>
      <c r="CX28" s="59">
        <f t="shared" si="14"/>
        <v>462.11400014052901</v>
      </c>
      <c r="CY28" s="59">
        <f ca="1">AVERAGE(OFFSET($CX$3,0,0,'Données projet'!$E$13+1,1))-AVERAGE(OFFSET($H$3,0,0,'Données projet'!$E$13+1,1))</f>
        <v>181.32837315090507</v>
      </c>
      <c r="CZ28" s="59">
        <f t="shared" si="42"/>
        <v>175.03267817980338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27</v>
      </c>
      <c r="DC28" s="16">
        <f>IF(ISNA(VLOOKUP(A28,'Données projet'!$A$139:$I$159,5,0)),0%,VLOOKUP(A28,'Données projet'!$A$139:$I$159,5,0)*VLOOKUP('Données projet'!$B$13,Paramètres!$A$1:$I$89,7,0))</f>
        <v>0.159</v>
      </c>
      <c r="DD28" s="16">
        <f>IF(ISNA(VLOOKUP(A28,'Données projet'!$A$139:$I$159,6,0)),0%,VLOOKUP(A28,'Données projet'!$A$139:$I$159,6,0)*VLOOKUP('Données projet'!$B$13,Paramètres!$A$1:$I$89,7,0))</f>
        <v>0.21200000000000002</v>
      </c>
      <c r="DE28" s="16">
        <f>IF(ISNA(VLOOKUP(A28,'Données projet'!$A$139:$I$159,7,0)),0%,VLOOKUP(A28,'Données projet'!$A$139:$I$159,7,0))</f>
        <v>0.3</v>
      </c>
      <c r="DF28" s="21">
        <f>EXP(-LN(2)/35)*DF27+(1-EXP(-LN(2)/35))/(LN(2)/35)*DB28*DC28*VLOOKUP('Données projet'!$B$13,Paramètres!$A$1:$I$89,3,0)*0.475*44/12</f>
        <v>6.0466825300125233</v>
      </c>
      <c r="DG28" s="21">
        <f>EXP(-LN(2)/25)*DG27+(1-EXP(-LN(2)/25))/(LN(2)/25)*Calculateur!DB28*Calculateur!DD28*VLOOKUP('Données projet'!$B$13,Paramètres!$A$1:$I$89,3,0)*0.475*44/12</f>
        <v>7.8139029450684809</v>
      </c>
      <c r="DH28" s="21">
        <f>EXP(-LN(2)/2)*DH27+(1-EXP(-LN(2)/2))/(LN(2)/2)*DB28*DE28*VLOOKUP('Données projet'!$B$13,Paramètres!$A$1:$I$89,3,0)*0.475*44/12</f>
        <v>6.001374699378804</v>
      </c>
      <c r="DI28" s="22">
        <f t="shared" si="15"/>
        <v>19.86196017445981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165</v>
      </c>
      <c r="DM28" s="12">
        <f>VLOOKUP(A28,'Données projet'!$A$165:$I$185,9,0)</f>
        <v>16.8</v>
      </c>
      <c r="DN28" s="12">
        <f t="array" ref="DN28">INDEX(DM:DM,MIN(IF(ISNUMBER(DM28:DM224),ROW(DM28:DM224),"")))</f>
        <v>16.8</v>
      </c>
      <c r="DO28" s="12">
        <f>IF('Données projet'!$A$166&gt;35,DO27+DN28-DW27,IF(A28&lt;'Données projet'!$A$166,$DL$205^A28,IF(A28='Données projet'!$A$166,'Données projet'!$B$166,DO27+DN28-DW27)))</f>
        <v>165.00000000000003</v>
      </c>
      <c r="DP28" s="17">
        <f>DO28*VLOOKUP('Données projet'!$B$14,Paramètres!$A$1:$I$89,3,0)*VLOOKUP('Données projet'!$B$14,Paramètres!$A$1:$I$89,5,0)</f>
        <v>131.27400000000003</v>
      </c>
      <c r="DQ28" s="13">
        <f t="shared" si="43"/>
        <v>34.290576031111669</v>
      </c>
      <c r="DR28" s="20">
        <f t="shared" si="16"/>
        <v>288.35830325418618</v>
      </c>
      <c r="DS28" s="59">
        <f t="shared" si="17"/>
        <v>581.6916365875195</v>
      </c>
      <c r="DT28" s="59">
        <f ca="1">AVERAGE(OFFSET($DS$3,0,0,'Données projet'!$E$14+1,1))-AVERAGE(OFFSET($H$3,0,0,'Données projet'!$E$14+1,1))</f>
        <v>325.72928944930294</v>
      </c>
      <c r="DU28" s="59">
        <f t="shared" si="44"/>
        <v>318.38876834819752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0.159</v>
      </c>
      <c r="DY28" s="16">
        <f>IF(ISNA(VLOOKUP(A28,'Données projet'!$A$165:$I$185,6,0)),0%,VLOOKUP(A28,'Données projet'!$A$165:$I$185,6,0)*VLOOKUP('Données projet'!$B$14,Paramètres!$A$1:$I$89,7,0))</f>
        <v>0.21200000000000002</v>
      </c>
      <c r="DZ28" s="16">
        <f>IF(ISNA(VLOOKUP(A28,'Données projet'!$A$165:$I$185,7,0)),0%,VLOOKUP(A28,'Données projet'!$A$165:$I$185,7,0))</f>
        <v>0.3</v>
      </c>
      <c r="EA28" s="21">
        <f>EXP(-LN(2)/35)*EA27+(1-EXP(-LN(2)/35))/(LN(2)/35)*DW28*DX28*VLOOKUP('Données projet'!$B$14,Paramètres!$A$1:$I$89,3,0)*0.475*44/12</f>
        <v>12.631919489036093</v>
      </c>
      <c r="EB28" s="21">
        <f>EXP(-LN(2)/25)*EB27+(1-EXP(-LN(2)/25))/(LN(2)/25)*Calculateur!DW28*Calculateur!DY28*VLOOKUP('Données projet'!$B$14,Paramètres!$A$1:$I$89,3,0)*0.475*44/12</f>
        <v>14.794704415387859</v>
      </c>
      <c r="EC28" s="21">
        <f>EXP(-LN(2)/2)*EC27+(1-EXP(-LN(2)/2))/(LN(2)/2)*DW28*DZ28*VLOOKUP('Données projet'!$B$14,Paramètres!$A$1:$I$89,3,0)*0.475*44/12</f>
        <v>13.413978935562692</v>
      </c>
      <c r="ED28" s="22">
        <f t="shared" si="18"/>
        <v>40.840602839986644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103</v>
      </c>
      <c r="EH28" s="12">
        <f>VLOOKUP(A28,'Données projet'!$A$191:$I$211,9,0)</f>
        <v>7.2</v>
      </c>
      <c r="EI28" s="12">
        <f t="array" ref="EI28">INDEX(EH:EH,MIN(IF(ISNUMBER(EH28:EH224),ROW(EH28:EH224),"")))</f>
        <v>7.2</v>
      </c>
      <c r="EJ28" s="12">
        <f>IF('Données projet'!$A$192&gt;35,EJ27+EI28-ER27,IF(A28&lt;'Données projet'!$A$192,$EG$205^A28,IF(A28='Données projet'!$A$192,'Données projet'!$B$192,EJ27+EI28-ER27)))</f>
        <v>103.00000000000001</v>
      </c>
      <c r="EK28" s="17">
        <f>EJ28*VLOOKUP('Données projet'!$B$15,Paramètres!$A$1:$I$89,3,0)*VLOOKUP('Données projet'!$B$15,Paramètres!$A$1:$I$89,5,0)</f>
        <v>104.44200000000004</v>
      </c>
      <c r="EL28" s="13">
        <f t="shared" si="45"/>
        <v>28.01755116176631</v>
      </c>
      <c r="EM28" s="20">
        <f t="shared" si="19"/>
        <v>230.70038494007636</v>
      </c>
      <c r="EN28" s="59">
        <f t="shared" si="20"/>
        <v>524.0337182734097</v>
      </c>
      <c r="EO28" s="59">
        <f ca="1">AVERAGE(OFFSET($EN$3,0,0,'Données projet'!$E$15+1,1))-AVERAGE(OFFSET($H$3,0,0,'Données projet'!$E$15+1,1))</f>
        <v>384.50065773787549</v>
      </c>
      <c r="EP28" s="59">
        <f t="shared" si="46"/>
        <v>231.92898690465887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28</v>
      </c>
      <c r="ES28" s="16">
        <f>IF(ISNA(VLOOKUP(A28,'Données projet'!$A$191:$I$211,5,0)),0%,VLOOKUP(A28,'Données projet'!$A$191:$I$211,5,0)*VLOOKUP('Données projet'!$B$15,Paramètres!$A$1:$I$89,7,0))</f>
        <v>0.129</v>
      </c>
      <c r="ET28" s="16">
        <f>IF(ISNA(VLOOKUP(A28,'Données projet'!$A$191:$I$211,6,0)),0%,VLOOKUP(A28,'Données projet'!$A$191:$I$211,6,0)*VLOOKUP('Données projet'!$B$15,Paramètres!$A$1:$I$89,7,0))</f>
        <v>0.17200000000000001</v>
      </c>
      <c r="EU28" s="16">
        <f>IF(ISNA(VLOOKUP(A28,'Données projet'!$A$191:$I$211,7,0)),0%,VLOOKUP(A28,'Données projet'!$A$191:$I$211,7,0))</f>
        <v>0.3</v>
      </c>
      <c r="EV28" s="21">
        <f>EXP(-LN(2)/35)*EV27+(1-EXP(-LN(2)/35))/(LN(2)/35)*ER28*ES28*VLOOKUP('Données projet'!$B$15,Paramètres!$A$1:$I$89,3,0)*0.475*44/12</f>
        <v>4.5727388243274758</v>
      </c>
      <c r="EW28" s="21">
        <f>EXP(-LN(2)/25)*EW27+(1-EXP(-LN(2)/25))/(LN(2)/25)*Calculateur!ER28*Calculateur!ET28*VLOOKUP('Données projet'!$B$15,Paramètres!$A$1:$I$89,3,0)*0.475*44/12</f>
        <v>5.8787760646167122</v>
      </c>
      <c r="EX28" s="21">
        <f>EXP(-LN(2)/2)*EX27+(1-EXP(-LN(2)/2))/(LN(2)/2)*ER28*EU28*VLOOKUP('Données projet'!$B$15,Paramètres!$A$1:$I$89,3,0)*0.475*44/12</f>
        <v>8.6454480953597201</v>
      </c>
      <c r="EY28" s="22">
        <f t="shared" si="21"/>
        <v>19.096962984303907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103</v>
      </c>
      <c r="FC28" s="12">
        <f>VLOOKUP(A28,'Données projet'!$A$217:$I$237,9,0)</f>
        <v>7.2</v>
      </c>
      <c r="FD28" s="12">
        <f t="array" ref="FD28">INDEX(FC:FC,MIN(IF(ISNUMBER(FC28:FC224),ROW(FC28:FC224),"")))</f>
        <v>7.2</v>
      </c>
      <c r="FE28" s="12">
        <f>IF('Données projet'!$A$218&gt;35,FE27+FD28-FM27,IF(A28&lt;'Données projet'!$A$218,$FB$205^A28,IF(A28='Données projet'!$A$218,'Données projet'!$B$218,FE27+FD28-FM27)))</f>
        <v>103.00000000000001</v>
      </c>
      <c r="FF28" s="17">
        <f>FE28*VLOOKUP('Données projet'!$B$16,Paramètres!$A$1:$I$89,3,0)*VLOOKUP('Données projet'!$B$16,Paramètres!$A$1:$I$89,5,0)</f>
        <v>93.194400000000002</v>
      </c>
      <c r="FG28" s="13">
        <f t="shared" si="47"/>
        <v>25.33406653691528</v>
      </c>
      <c r="FH28" s="20">
        <f t="shared" si="22"/>
        <v>206.43707921846078</v>
      </c>
      <c r="FI28" s="59">
        <f t="shared" si="23"/>
        <v>499.7704125517941</v>
      </c>
      <c r="FJ28" s="59">
        <f ca="1">AVERAGE(OFFSET($FI$3,0,0,'Données projet'!$E$16+1,1))-AVERAGE(OFFSET($H$3,0,0,'Données projet'!$E$16+1,1))</f>
        <v>326.46362829268969</v>
      </c>
      <c r="FK28" s="59">
        <f t="shared" si="48"/>
        <v>203.5274665601915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0.129</v>
      </c>
      <c r="FO28" s="16">
        <f>IF(ISNA(VLOOKUP(A28,'Données projet'!$A$217:$I$237,6,0)),0%,VLOOKUP(A28,'Données projet'!$A$217:$I$237,6,0)*VLOOKUP('Données projet'!$B$16,Paramètres!$A$1:$I$89,7,0))</f>
        <v>0.17200000000000001</v>
      </c>
      <c r="FP28" s="16">
        <f>IF(ISNA(VLOOKUP(A28,'Données projet'!$A$217:$I$237,7,0)),0%,VLOOKUP(A28,'Données projet'!$A$217:$I$237,7,0))</f>
        <v>0.3</v>
      </c>
      <c r="FQ28" s="21">
        <f>EXP(-LN(2)/35)*FQ27+(1-EXP(-LN(2)/35))/(LN(2)/35)*FM28*FN28*VLOOKUP('Données projet'!$B$16,Paramètres!$A$1:$I$89,3,0)*0.475*44/12</f>
        <v>4.0802900278614391</v>
      </c>
      <c r="FR28" s="21">
        <f>EXP(-LN(2)/25)*FR27+(1-EXP(-LN(2)/25))/(LN(2)/25)*Calculateur!FM28*Calculateur!FO28*VLOOKUP('Données projet'!$B$16,Paramètres!$A$1:$I$89,3,0)*0.475*44/12</f>
        <v>5.2456771038118353</v>
      </c>
      <c r="FS28" s="21">
        <f>EXP(-LN(2)/2)*FS27+(1-EXP(-LN(2)/2))/(LN(2)/2)*FM28*FP28*VLOOKUP('Données projet'!$B$16,Paramètres!$A$1:$I$89,3,0)*0.475*44/12</f>
        <v>7.7143998389363642</v>
      </c>
      <c r="FT28" s="22">
        <f t="shared" si="24"/>
        <v>17.040366970609639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103</v>
      </c>
      <c r="FX28" s="12">
        <f>VLOOKUP(A28,'Données projet'!$A$243:$I$263,9,0)</f>
        <v>7.2</v>
      </c>
      <c r="FY28" s="12">
        <f t="array" ref="FY28">INDEX(FX:FX,MIN(IF(ISNUMBER(FX28:FX224),ROW(FX28:FX224),"")))</f>
        <v>7.2</v>
      </c>
      <c r="FZ28" s="12">
        <f>IF('Données projet'!$A$244&gt;35,FZ27+FY28-GH27,IF(A28&lt;'Données projet'!$A$244,$FW$205^A28,IF(A28='Données projet'!$A$244,'Données projet'!$B$244,FZ27+FY28-GH27)))</f>
        <v>103.00000000000001</v>
      </c>
      <c r="GA28" s="17">
        <f>FZ28*VLOOKUP('Données projet'!$B$17,Paramètres!$A$1:$I$89,3,0)*VLOOKUP('Données projet'!$B$17,Paramètres!$A$1:$I$89,5,0)</f>
        <v>99.621600000000015</v>
      </c>
      <c r="GB28" s="13">
        <f t="shared" si="49"/>
        <v>26.871829085032747</v>
      </c>
      <c r="GC28" s="20">
        <f t="shared" si="25"/>
        <v>220.30938898976538</v>
      </c>
      <c r="GD28" s="59">
        <f t="shared" si="26"/>
        <v>513.64272232309872</v>
      </c>
      <c r="GE28" s="59">
        <f ca="1">AVERAGE(OFFSET($GD$3,0,0,'Données projet'!$E$17+1,1))-AVERAGE(OFFSET($H$3,0,0,'Données projet'!$E$17+1,1))</f>
        <v>353.24082990916918</v>
      </c>
      <c r="GF28" s="59">
        <f t="shared" si="50"/>
        <v>219.76562717496353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0.129</v>
      </c>
      <c r="GJ28" s="16">
        <f>IF(ISNA(VLOOKUP(A28,'Données projet'!$A$243:$I$263,6,0)),0%,VLOOKUP(A28,'Données projet'!$A$243:$I$263,6,0)*VLOOKUP('Données projet'!$B$17,Paramètres!$A$1:$I$89,7,0))</f>
        <v>0.17200000000000001</v>
      </c>
      <c r="GK28" s="16">
        <f>IF(ISNA(VLOOKUP(A28,'Données projet'!$A$243:$I$263,7,0)),0%,VLOOKUP(A28,'Données projet'!$A$243:$I$263,7,0))</f>
        <v>0.3</v>
      </c>
      <c r="GL28" s="21">
        <f>EXP(-LN(2)/35)*GL27+(1-EXP(-LN(2)/35))/(LN(2)/35)*GH28*GI28*VLOOKUP('Données projet'!$B$17,Paramètres!$A$1:$I$89,3,0)*0.475*44/12</f>
        <v>4.3616893401277466</v>
      </c>
      <c r="GM28" s="21">
        <f>EXP(-LN(2)/25)*GM27+(1-EXP(-LN(2)/25))/(LN(2)/25)*Calculateur!GH28*Calculateur!GJ28*VLOOKUP('Données projet'!$B$17,Paramètres!$A$1:$I$89,3,0)*0.475*44/12</f>
        <v>5.6074479385574794</v>
      </c>
      <c r="GN28" s="21">
        <f>EXP(-LN(2)/2)*GN27+(1-EXP(-LN(2)/2))/(LN(2)/2)*GH28*GK28*VLOOKUP('Données projet'!$B$17,Paramètres!$A$1:$I$89,3,0)*0.475*44/12</f>
        <v>8.2464274140354252</v>
      </c>
      <c r="GO28" s="21">
        <f t="shared" si="27"/>
        <v>18.215564692720651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378.17323480030268</v>
      </c>
      <c r="T29" s="59">
        <f t="shared" si="34"/>
        <v>471.89239871617241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8.5349709446773616</v>
      </c>
      <c r="AB29" s="21">
        <f>EXP(-LN(2)/2)*AB28+(1-EXP(-LN(2)/2))/(LN(2)/2)*V29*Y29*VLOOKUP('Données projet'!$B$9,Paramètres!$A$1:$I$89,3,0)*0.475*44/12</f>
        <v>14.500312417786263</v>
      </c>
      <c r="AC29" s="22">
        <f t="shared" si="3"/>
        <v>23.035283362463623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11.25</v>
      </c>
      <c r="AI29" s="13">
        <f>IF('Données projet'!$A$62&gt;35,AI28+AH29-AQ28,IF(A29&lt;'Données projet'!$A$62,$AF$205^A29,IF(A29='Données projet'!$A$62,'Données projet'!$B$62,AI28+AH29-AQ28)))</f>
        <v>123.5</v>
      </c>
      <c r="AJ29" s="13">
        <f>AI29*VLOOKUP('Données projet'!$B$10,Paramètres!$A$1:$I$89,3,0)*VLOOKUP('Données projet'!$B$10,Paramètres!$A$1:$I$89,5,0)</f>
        <v>73.853000000000009</v>
      </c>
      <c r="AK29" s="13">
        <f t="shared" si="35"/>
        <v>20.627289068131414</v>
      </c>
      <c r="AL29" s="20">
        <f t="shared" si="4"/>
        <v>164.55317012699555</v>
      </c>
      <c r="AM29" s="59">
        <f t="shared" si="5"/>
        <v>457.88650346032887</v>
      </c>
      <c r="AN29" s="59">
        <f ca="1">AVERAGE(OFFSET($AM$3,0,0,'Données projet'!$E$10+1,1))-AVERAGE(OFFSET($H$3,0,0,'Données projet'!$E$10+1,1))</f>
        <v>141.22849894256314</v>
      </c>
      <c r="AO29" s="59">
        <f t="shared" si="36"/>
        <v>156.12101479343704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4.5448028302039933</v>
      </c>
      <c r="AV29" s="21">
        <f>EXP(-LN(2)/25)*AV28+(1-EXP(-LN(2)/25))/(LN(2)/25)*Calculateur!AQ29*Calculateur!AS29*VLOOKUP('Données projet'!$B$10,Paramètres!$A$1:$I$89,3,0)*0.475*44/12</f>
        <v>4.1355595998198682</v>
      </c>
      <c r="AW29" s="21">
        <f>EXP(-LN(2)/2)*AW28+(1-EXP(-LN(2)/2))/(LN(2)/2)*AQ29*AT29*VLOOKUP('Données projet'!$B$10,Paramètres!$A$1:$I$89,3,0)*0.475*44/12</f>
        <v>2.4882503086590382</v>
      </c>
      <c r="AX29" s="21">
        <f t="shared" si="6"/>
        <v>11.168612738682901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14.166666666666666</v>
      </c>
      <c r="BD29" s="12">
        <f>IF('Données projet'!$A$88&gt;35,BD28+BC29-BL28,IF(A29&lt;'Données projet'!$A$88,$BA$205^A29,IF(A29='Données projet'!$A$88,'Données projet'!$B$88,BD28+BC29-BL28)))</f>
        <v>167.33333333333331</v>
      </c>
      <c r="BE29" s="13">
        <f>BD29*VLOOKUP('Données projet'!$B$11,Paramètres!$A$1:$I$89,3,0)*VLOOKUP('Données projet'!$B$11,Paramètres!$A$1:$I$89,5,0)</f>
        <v>73.961333333333329</v>
      </c>
      <c r="BF29" s="13">
        <f t="shared" si="37"/>
        <v>20.654022503340354</v>
      </c>
      <c r="BG29" s="20">
        <f t="shared" si="7"/>
        <v>164.78841141554</v>
      </c>
      <c r="BH29" s="59">
        <f t="shared" si="8"/>
        <v>458.12174474887331</v>
      </c>
      <c r="BI29" s="59">
        <f ca="1">AVERAGE(OFFSET($BH$3,0,0,'Données projet'!$E$11+1,1))-AVERAGE(OFFSET($H$3,0,0,'Données projet'!$E$11+1,1))</f>
        <v>114.25511901730295</v>
      </c>
      <c r="BJ29" s="59">
        <f t="shared" si="38"/>
        <v>180.96261947642182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8.4918984992154929</v>
      </c>
      <c r="BR29" s="21">
        <f>EXP(-LN(2)/2)*BR28+(1-EXP(-LN(2)/2))/(LN(2)/2)*BL29*BO29*VLOOKUP('Données projet'!$B$11,Paramètres!$A$1:$I$89,3,0)*0.475*44/12</f>
        <v>6.1093111112431906</v>
      </c>
      <c r="BS29" s="22">
        <f t="shared" si="9"/>
        <v>14.601209610458683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11.5</v>
      </c>
      <c r="BY29" s="12">
        <f>IF('Données projet'!$A$114&gt;35,BY28+BX29-CG28,IF(A29&lt;'Données projet'!$A$114,$BV$205^A29,IF(A29='Données projet'!$A$114,'Données projet'!$B$114,BY28+BX29-CG28)))</f>
        <v>97.499999999999957</v>
      </c>
      <c r="BZ29" s="13">
        <f>BY29*VLOOKUP('Données projet'!$B$12,Paramètres!$A$1:$I$89,3,0)*VLOOKUP('Données projet'!$B$12,Paramètres!$A$1:$I$89,5,0)</f>
        <v>76.049999999999969</v>
      </c>
      <c r="CA29" s="13">
        <f t="shared" si="39"/>
        <v>21.168560890749262</v>
      </c>
      <c r="CB29" s="20">
        <f t="shared" si="10"/>
        <v>169.32232688472158</v>
      </c>
      <c r="CC29" s="59">
        <f t="shared" si="11"/>
        <v>462.65566021805489</v>
      </c>
      <c r="CD29" s="59">
        <f ca="1">AVERAGE(OFFSET($CC$3,0,0,'Données projet'!$E$12+1,1))-AVERAGE(OFFSET($H$3,0,0,'Données projet'!$E$12+1,1))</f>
        <v>216.95993967070063</v>
      </c>
      <c r="CE29" s="59">
        <f t="shared" si="40"/>
        <v>208.79744153433245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5.5925573336897667</v>
      </c>
      <c r="CL29" s="21">
        <f>EXP(-LN(2)/25)*CL28+(1-EXP(-LN(2)/25))/(LN(2)/25)*Calculateur!CG29*Calculateur!CI29*VLOOKUP('Données projet'!$B$12,Paramètres!$A$1:$I$89,3,0)*0.475*44/12</f>
        <v>7.1700295831323446</v>
      </c>
      <c r="CM29" s="21">
        <f>EXP(-LN(2)/2)*CM28+(1-EXP(-LN(2)/2))/(LN(2)/2)*CG29*CJ29*VLOOKUP('Données projet'!$B$12,Paramètres!$A$1:$I$89,3,0)*0.475*44/12</f>
        <v>4.9344334260141061</v>
      </c>
      <c r="CN29" s="22">
        <f t="shared" si="12"/>
        <v>17.697020342836218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11.5</v>
      </c>
      <c r="CT29" s="12">
        <f>IF('Données projet'!$A$140&gt;35,CT28+CS29-DB28,IF(A29&lt;'Données projet'!$A$140,$CQ$205^A29,IF(A29='Données projet'!$A$140,'Données projet'!$B$140,CT28+CS29-DB28)))</f>
        <v>97.499999999999957</v>
      </c>
      <c r="CU29" s="17">
        <f>CT29*VLOOKUP('Données projet'!$B$13,Paramètres!$A$1:$I$89,3,0)*VLOOKUP('Données projet'!$B$13,Paramètres!$A$1:$I$89,5,0)</f>
        <v>65.402999999999977</v>
      </c>
      <c r="CV29" s="13">
        <f t="shared" si="41"/>
        <v>18.527386684584453</v>
      </c>
      <c r="CW29" s="20">
        <f t="shared" si="13"/>
        <v>146.17875680898456</v>
      </c>
      <c r="CX29" s="59">
        <f t="shared" si="14"/>
        <v>439.5120901423179</v>
      </c>
      <c r="CY29" s="59">
        <f ca="1">AVERAGE(OFFSET($CX$3,0,0,'Données projet'!$E$13+1,1))-AVERAGE(OFFSET($H$3,0,0,'Données projet'!$E$13+1,1))</f>
        <v>181.32837315090507</v>
      </c>
      <c r="CZ29" s="59">
        <f t="shared" si="42"/>
        <v>175.03267817980338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5.9281107737111505</v>
      </c>
      <c r="DG29" s="21">
        <f>EXP(-LN(2)/25)*DG28+(1-EXP(-LN(2)/25))/(LN(2)/25)*Calculateur!DB29*Calculateur!DD29*VLOOKUP('Données projet'!$B$13,Paramètres!$A$1:$I$89,3,0)*0.475*44/12</f>
        <v>7.6002313581202863</v>
      </c>
      <c r="DH29" s="21">
        <f>EXP(-LN(2)/2)*DH28+(1-EXP(-LN(2)/2))/(LN(2)/2)*DB29*DE29*VLOOKUP('Données projet'!$B$13,Paramètres!$A$1:$I$89,3,0)*0.475*44/12</f>
        <v>4.2436127463721309</v>
      </c>
      <c r="DI29" s="22">
        <f t="shared" si="15"/>
        <v>17.771954878203566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16.399999999999999</v>
      </c>
      <c r="DO29" s="12">
        <f>IF('Données projet'!$A$166&gt;35,DO28+DN29-DW28,IF(A29&lt;'Données projet'!$A$166,$DL$205^A29,IF(A29='Données projet'!$A$166,'Données projet'!$B$166,DO28+DN29-DW28)))</f>
        <v>139.40000000000003</v>
      </c>
      <c r="DP29" s="17">
        <f>DO29*VLOOKUP('Données projet'!$B$14,Paramètres!$A$1:$I$89,3,0)*VLOOKUP('Données projet'!$B$14,Paramètres!$A$1:$I$89,5,0)</f>
        <v>110.90664000000004</v>
      </c>
      <c r="DQ29" s="13">
        <f t="shared" si="43"/>
        <v>29.544493872672952</v>
      </c>
      <c r="DR29" s="20">
        <f t="shared" si="16"/>
        <v>244.6190581615721</v>
      </c>
      <c r="DS29" s="59">
        <f t="shared" si="17"/>
        <v>537.95239149490544</v>
      </c>
      <c r="DT29" s="59">
        <f ca="1">AVERAGE(OFFSET($DS$3,0,0,'Données projet'!$E$14+1,1))-AVERAGE(OFFSET($H$3,0,0,'Données projet'!$E$14+1,1))</f>
        <v>325.72928944930294</v>
      </c>
      <c r="DU29" s="59">
        <f t="shared" si="44"/>
        <v>318.38876834819752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12.384215252566207</v>
      </c>
      <c r="EB29" s="21">
        <f>EXP(-LN(2)/25)*EB28+(1-EXP(-LN(2)/25))/(LN(2)/25)*Calculateur!DW29*Calculateur!DY29*VLOOKUP('Données projet'!$B$14,Paramètres!$A$1:$I$89,3,0)*0.475*44/12</f>
        <v>14.390142445129387</v>
      </c>
      <c r="EC29" s="21">
        <f>EXP(-LN(2)/2)*EC28+(1-EXP(-LN(2)/2))/(LN(2)/2)*DW29*DZ29*VLOOKUP('Données projet'!$B$14,Paramètres!$A$1:$I$89,3,0)*0.475*44/12</f>
        <v>9.4851154680298873</v>
      </c>
      <c r="ED29" s="22">
        <f t="shared" si="18"/>
        <v>36.259473165725481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9.1999999999999993</v>
      </c>
      <c r="EJ29" s="12">
        <f>IF('Données projet'!$A$192&gt;35,EJ28+EI29-ER28,IF(A29&lt;'Données projet'!$A$192,$EG$205^A29,IF(A29='Données projet'!$A$192,'Données projet'!$B$192,EJ28+EI29-ER28)))</f>
        <v>84.200000000000017</v>
      </c>
      <c r="EK29" s="17">
        <f>EJ29*VLOOKUP('Données projet'!$B$15,Paramètres!$A$1:$I$89,3,0)*VLOOKUP('Données projet'!$B$15,Paramètres!$A$1:$I$89,5,0)</f>
        <v>85.378800000000027</v>
      </c>
      <c r="EL29" s="13">
        <f t="shared" si="45"/>
        <v>23.447306793896516</v>
      </c>
      <c r="EM29" s="20">
        <f t="shared" si="19"/>
        <v>189.53880266603645</v>
      </c>
      <c r="EN29" s="59">
        <f t="shared" si="20"/>
        <v>482.87213599936979</v>
      </c>
      <c r="EO29" s="59">
        <f ca="1">AVERAGE(OFFSET($EN$3,0,0,'Données projet'!$E$15+1,1))-AVERAGE(OFFSET($H$3,0,0,'Données projet'!$E$15+1,1))</f>
        <v>384.50065773787549</v>
      </c>
      <c r="EP29" s="59">
        <f t="shared" si="46"/>
        <v>231.92898690465887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4.4830702050776967</v>
      </c>
      <c r="EW29" s="21">
        <f>EXP(-LN(2)/25)*EW28+(1-EXP(-LN(2)/25))/(LN(2)/25)*Calculateur!ER29*Calculateur!ET29*VLOOKUP('Données projet'!$B$15,Paramètres!$A$1:$I$89,3,0)*0.475*44/12</f>
        <v>5.7180206239783713</v>
      </c>
      <c r="EX29" s="21">
        <f>EXP(-LN(2)/2)*EX28+(1-EXP(-LN(2)/2))/(LN(2)/2)*ER29*EU29*VLOOKUP('Données projet'!$B$15,Paramètres!$A$1:$I$89,3,0)*0.475*44/12</f>
        <v>6.1132549746251801</v>
      </c>
      <c r="EY29" s="22">
        <f t="shared" si="21"/>
        <v>16.314345803681249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9.1999999999999993</v>
      </c>
      <c r="FE29" s="12">
        <f>IF('Données projet'!$A$218&gt;35,FE28+FD29-FM28,IF(A29&lt;'Données projet'!$A$218,$FB$205^A29,IF(A29='Données projet'!$A$218,'Données projet'!$B$218,FE28+FD29-FM28)))</f>
        <v>84.200000000000017</v>
      </c>
      <c r="FF29" s="17">
        <f>FE29*VLOOKUP('Données projet'!$B$16,Paramètres!$A$1:$I$89,3,0)*VLOOKUP('Données projet'!$B$16,Paramètres!$A$1:$I$89,5,0)</f>
        <v>76.184160000000006</v>
      </c>
      <c r="FG29" s="13">
        <f t="shared" si="47"/>
        <v>21.201554232857223</v>
      </c>
      <c r="FH29" s="20">
        <f t="shared" si="22"/>
        <v>169.613452288893</v>
      </c>
      <c r="FI29" s="59">
        <f t="shared" si="23"/>
        <v>462.94678562222634</v>
      </c>
      <c r="FJ29" s="59">
        <f ca="1">AVERAGE(OFFSET($FI$3,0,0,'Données projet'!$E$16+1,1))-AVERAGE(OFFSET($H$3,0,0,'Données projet'!$E$16+1,1))</f>
        <v>326.46362829268969</v>
      </c>
      <c r="FK29" s="59">
        <f t="shared" si="48"/>
        <v>203.5274665601915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4.0002780291462514</v>
      </c>
      <c r="FR29" s="21">
        <f>EXP(-LN(2)/25)*FR28+(1-EXP(-LN(2)/25))/(LN(2)/25)*Calculateur!FM29*Calculateur!FO29*VLOOKUP('Données projet'!$B$16,Paramètres!$A$1:$I$89,3,0)*0.475*44/12</f>
        <v>5.1022337875499311</v>
      </c>
      <c r="FS29" s="21">
        <f>EXP(-LN(2)/2)*FS28+(1-EXP(-LN(2)/2))/(LN(2)/2)*FM29*FP29*VLOOKUP('Données projet'!$B$16,Paramètres!$A$1:$I$89,3,0)*0.475*44/12</f>
        <v>5.4549044388963139</v>
      </c>
      <c r="FT29" s="22">
        <f t="shared" si="24"/>
        <v>14.557416255592496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9.1999999999999993</v>
      </c>
      <c r="FZ29" s="12">
        <f>IF('Données projet'!$A$244&gt;35,FZ28+FY29-GH28,IF(A29&lt;'Données projet'!$A$244,$FW$205^A29,IF(A29='Données projet'!$A$244,'Données projet'!$B$244,FZ28+FY29-GH28)))</f>
        <v>84.200000000000017</v>
      </c>
      <c r="GA29" s="17">
        <f>FZ29*VLOOKUP('Données projet'!$B$17,Paramètres!$A$1:$I$89,3,0)*VLOOKUP('Données projet'!$B$17,Paramètres!$A$1:$I$89,5,0)</f>
        <v>81.438240000000022</v>
      </c>
      <c r="GB29" s="13">
        <f t="shared" si="49"/>
        <v>22.488475778344696</v>
      </c>
      <c r="GC29" s="20">
        <f t="shared" si="25"/>
        <v>181.00569664728371</v>
      </c>
      <c r="GD29" s="59">
        <f t="shared" si="26"/>
        <v>474.33902998061706</v>
      </c>
      <c r="GE29" s="59">
        <f ca="1">AVERAGE(OFFSET($GD$3,0,0,'Données projet'!$E$17+1,1))-AVERAGE(OFFSET($H$3,0,0,'Données projet'!$E$17+1,1))</f>
        <v>353.24082990916918</v>
      </c>
      <c r="GF29" s="59">
        <f t="shared" si="50"/>
        <v>219.76562717496353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4.2761592725356499</v>
      </c>
      <c r="GM29" s="21">
        <f>EXP(-LN(2)/25)*GM28+(1-EXP(-LN(2)/25))/(LN(2)/25)*Calculateur!GH29*Calculateur!GJ29*VLOOKUP('Données projet'!$B$17,Paramètres!$A$1:$I$89,3,0)*0.475*44/12</f>
        <v>5.4541119797947539</v>
      </c>
      <c r="GN29" s="21">
        <f>EXP(-LN(2)/2)*GN28+(1-EXP(-LN(2)/2))/(LN(2)/2)*GH29*GK29*VLOOKUP('Données projet'!$B$17,Paramètres!$A$1:$I$89,3,0)*0.475*44/12</f>
        <v>5.831104745027095</v>
      </c>
      <c r="GO29" s="21">
        <f t="shared" si="27"/>
        <v>15.561375997357498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378.17323480030268</v>
      </c>
      <c r="T30" s="59">
        <f t="shared" si="34"/>
        <v>471.89239871617241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8.3015817153605447</v>
      </c>
      <c r="AB30" s="21">
        <f>EXP(-LN(2)/2)*AB29+(1-EXP(-LN(2)/2))/(LN(2)/2)*V30*Y30*VLOOKUP('Données projet'!$B$9,Paramètres!$A$1:$I$89,3,0)*0.475*44/12</f>
        <v>10.25326923994017</v>
      </c>
      <c r="AC30" s="22">
        <f t="shared" si="3"/>
        <v>18.554850955300715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11.25</v>
      </c>
      <c r="AI30" s="13">
        <f>IF('Données projet'!$A$62&gt;35,AI29+AH30-AQ29,IF(A30&lt;'Données projet'!$A$62,$AF$205^A30,IF(A30='Données projet'!$A$62,'Données projet'!$B$62,AI29+AH30-AQ29)))</f>
        <v>134.75</v>
      </c>
      <c r="AJ30" s="13">
        <f>AI30*VLOOKUP('Données projet'!$B$10,Paramètres!$A$1:$I$89,3,0)*VLOOKUP('Données projet'!$B$10,Paramètres!$A$1:$I$89,5,0)</f>
        <v>80.580500000000001</v>
      </c>
      <c r="AK30" s="13">
        <f t="shared" si="35"/>
        <v>22.279059616532283</v>
      </c>
      <c r="AL30" s="20">
        <f t="shared" si="4"/>
        <v>179.14706633212708</v>
      </c>
      <c r="AM30" s="59">
        <f t="shared" si="5"/>
        <v>472.48039966546037</v>
      </c>
      <c r="AN30" s="59">
        <f ca="1">AVERAGE(OFFSET($AM$3,0,0,'Données projet'!$E$10+1,1))-AVERAGE(OFFSET($H$3,0,0,'Données projet'!$E$10+1,1))</f>
        <v>141.22849894256314</v>
      </c>
      <c r="AO30" s="59">
        <f t="shared" si="36"/>
        <v>156.12101479343704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4.4556820187597017</v>
      </c>
      <c r="AV30" s="21">
        <f>EXP(-LN(2)/25)*AV29+(1-EXP(-LN(2)/25))/(LN(2)/25)*Calculateur!AQ30*Calculateur!AS30*VLOOKUP('Données projet'!$B$10,Paramètres!$A$1:$I$89,3,0)*0.475*44/12</f>
        <v>4.0224725050831669</v>
      </c>
      <c r="AW30" s="21">
        <f>EXP(-LN(2)/2)*AW29+(1-EXP(-LN(2)/2))/(LN(2)/2)*AQ30*AT30*VLOOKUP('Données projet'!$B$10,Paramètres!$A$1:$I$89,3,0)*0.475*44/12</f>
        <v>1.759458666542326</v>
      </c>
      <c r="AX30" s="21">
        <f t="shared" si="6"/>
        <v>10.237613190385193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14.166666666666666</v>
      </c>
      <c r="BD30" s="12">
        <f>IF('Données projet'!$A$88&gt;35,BD29+BC30-BL29,IF(A30&lt;'Données projet'!$A$88,$BA$205^A30,IF(A30='Données projet'!$A$88,'Données projet'!$B$88,BD29+BC30-BL29)))</f>
        <v>181.49999999999997</v>
      </c>
      <c r="BE30" s="13">
        <f>BD30*VLOOKUP('Données projet'!$B$11,Paramètres!$A$1:$I$89,3,0)*VLOOKUP('Données projet'!$B$11,Paramètres!$A$1:$I$89,5,0)</f>
        <v>80.222999999999999</v>
      </c>
      <c r="BF30" s="13">
        <f t="shared" si="37"/>
        <v>22.191699951462173</v>
      </c>
      <c r="BG30" s="20">
        <f t="shared" si="7"/>
        <v>178.37226908212995</v>
      </c>
      <c r="BH30" s="59">
        <f t="shared" si="8"/>
        <v>471.70560241546326</v>
      </c>
      <c r="BI30" s="59">
        <f ca="1">AVERAGE(OFFSET($BH$3,0,0,'Données projet'!$E$11+1,1))-AVERAGE(OFFSET($H$3,0,0,'Données projet'!$E$11+1,1))</f>
        <v>114.25511901730295</v>
      </c>
      <c r="BJ30" s="59">
        <f t="shared" si="38"/>
        <v>180.96261947642182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8.2596870881849114</v>
      </c>
      <c r="BR30" s="21">
        <f>EXP(-LN(2)/2)*BR29+(1-EXP(-LN(2)/2))/(LN(2)/2)*BL30*BO30*VLOOKUP('Données projet'!$B$11,Paramètres!$A$1:$I$89,3,0)*0.475*44/12</f>
        <v>4.3199353151383821</v>
      </c>
      <c r="BS30" s="22">
        <f t="shared" si="9"/>
        <v>12.579622403323294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11.5</v>
      </c>
      <c r="BY30" s="12">
        <f>IF('Données projet'!$A$114&gt;35,BY29+BX30-CG29,IF(A30&lt;'Données projet'!$A$114,$BV$205^A30,IF(A30='Données projet'!$A$114,'Données projet'!$B$114,BY29+BX30-CG29)))</f>
        <v>108.99999999999996</v>
      </c>
      <c r="BZ30" s="13">
        <f>BY30*VLOOKUP('Données projet'!$B$12,Paramètres!$A$1:$I$89,3,0)*VLOOKUP('Données projet'!$B$12,Paramètres!$A$1:$I$89,5,0)</f>
        <v>85.019999999999968</v>
      </c>
      <c r="CA30" s="13">
        <f t="shared" si="39"/>
        <v>23.360218970693097</v>
      </c>
      <c r="CB30" s="20">
        <f t="shared" si="10"/>
        <v>188.76221470729038</v>
      </c>
      <c r="CC30" s="59">
        <f t="shared" si="11"/>
        <v>482.09554804062373</v>
      </c>
      <c r="CD30" s="59">
        <f ca="1">AVERAGE(OFFSET($CC$3,0,0,'Données projet'!$E$12+1,1))-AVERAGE(OFFSET($H$3,0,0,'Données projet'!$E$12+1,1))</f>
        <v>216.95993967070063</v>
      </c>
      <c r="CE30" s="59">
        <f t="shared" si="40"/>
        <v>208.79744153433245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5.4828906954992638</v>
      </c>
      <c r="CL30" s="21">
        <f>EXP(-LN(2)/25)*CL29+(1-EXP(-LN(2)/25))/(LN(2)/25)*Calculateur!CG30*Calculateur!CI30*VLOOKUP('Données projet'!$B$12,Paramètres!$A$1:$I$89,3,0)*0.475*44/12</f>
        <v>6.9739647471261224</v>
      </c>
      <c r="CM30" s="21">
        <f>EXP(-LN(2)/2)*CM29+(1-EXP(-LN(2)/2))/(LN(2)/2)*CG30*CJ30*VLOOKUP('Données projet'!$B$12,Paramètres!$A$1:$I$89,3,0)*0.475*44/12</f>
        <v>3.489171336848143</v>
      </c>
      <c r="CN30" s="22">
        <f t="shared" si="12"/>
        <v>15.946026779473529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11.5</v>
      </c>
      <c r="CT30" s="12">
        <f>IF('Données projet'!$A$140&gt;35,CT29+CS30-DB29,IF(A30&lt;'Données projet'!$A$140,$CQ$205^A30,IF(A30='Données projet'!$A$140,'Données projet'!$B$140,CT29+CS30-DB29)))</f>
        <v>108.99999999999996</v>
      </c>
      <c r="CU30" s="17">
        <f>CT30*VLOOKUP('Données projet'!$B$13,Paramètres!$A$1:$I$89,3,0)*VLOOKUP('Données projet'!$B$13,Paramètres!$A$1:$I$89,5,0)</f>
        <v>73.117199999999983</v>
      </c>
      <c r="CV30" s="13">
        <f t="shared" si="41"/>
        <v>20.445594395400459</v>
      </c>
      <c r="CW30" s="20">
        <f t="shared" si="13"/>
        <v>162.95520023865575</v>
      </c>
      <c r="CX30" s="59">
        <f t="shared" si="14"/>
        <v>456.28853357198909</v>
      </c>
      <c r="CY30" s="59">
        <f ca="1">AVERAGE(OFFSET($CX$3,0,0,'Données projet'!$E$13+1,1))-AVERAGE(OFFSET($H$3,0,0,'Données projet'!$E$13+1,1))</f>
        <v>181.32837315090507</v>
      </c>
      <c r="CZ30" s="59">
        <f t="shared" si="42"/>
        <v>175.03267817980338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5.8118641372292172</v>
      </c>
      <c r="DG30" s="21">
        <f>EXP(-LN(2)/25)*DG29+(1-EXP(-LN(2)/25))/(LN(2)/25)*Calculateur!DB30*Calculateur!DD30*VLOOKUP('Données projet'!$B$13,Paramètres!$A$1:$I$89,3,0)*0.475*44/12</f>
        <v>7.3924026319536909</v>
      </c>
      <c r="DH30" s="21">
        <f>EXP(-LN(2)/2)*DH29+(1-EXP(-LN(2)/2))/(LN(2)/2)*DB30*DE30*VLOOKUP('Données projet'!$B$13,Paramètres!$A$1:$I$89,3,0)*0.475*44/12</f>
        <v>3.0006873496894024</v>
      </c>
      <c r="DI30" s="22">
        <f t="shared" si="15"/>
        <v>16.204954118872312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16.399999999999999</v>
      </c>
      <c r="DO30" s="12">
        <f>IF('Données projet'!$A$166&gt;35,DO29+DN30-DW29,IF(A30&lt;'Données projet'!$A$166,$DL$205^A30,IF(A30='Données projet'!$A$166,'Données projet'!$B$166,DO29+DN30-DW29)))</f>
        <v>155.80000000000004</v>
      </c>
      <c r="DP30" s="17">
        <f>DO30*VLOOKUP('Données projet'!$B$14,Paramètres!$A$1:$I$89,3,0)*VLOOKUP('Données projet'!$B$14,Paramètres!$A$1:$I$89,5,0)</f>
        <v>123.95448000000005</v>
      </c>
      <c r="DQ30" s="13">
        <f t="shared" si="43"/>
        <v>32.595569202682604</v>
      </c>
      <c r="DR30" s="20">
        <f t="shared" si="16"/>
        <v>272.65800236133896</v>
      </c>
      <c r="DS30" s="59">
        <f t="shared" si="17"/>
        <v>565.99133569467222</v>
      </c>
      <c r="DT30" s="59">
        <f ca="1">AVERAGE(OFFSET($DS$3,0,0,'Données projet'!$E$14+1,1))-AVERAGE(OFFSET($H$3,0,0,'Données projet'!$E$14+1,1))</f>
        <v>325.72928944930294</v>
      </c>
      <c r="DU30" s="59">
        <f t="shared" si="44"/>
        <v>318.38876834819752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12.141368345088829</v>
      </c>
      <c r="EB30" s="21">
        <f>EXP(-LN(2)/25)*EB29+(1-EXP(-LN(2)/25))/(LN(2)/25)*Calculateur!DW30*Calculateur!DY30*VLOOKUP('Données projet'!$B$14,Paramètres!$A$1:$I$89,3,0)*0.475*44/12</f>
        <v>13.996643243222621</v>
      </c>
      <c r="EC30" s="21">
        <f>EXP(-LN(2)/2)*EC29+(1-EXP(-LN(2)/2))/(LN(2)/2)*DW30*DZ30*VLOOKUP('Données projet'!$B$14,Paramètres!$A$1:$I$89,3,0)*0.475*44/12</f>
        <v>6.7069894677813471</v>
      </c>
      <c r="ED30" s="22">
        <f t="shared" si="18"/>
        <v>32.845001056092798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9.1999999999999993</v>
      </c>
      <c r="EJ30" s="12">
        <f>IF('Données projet'!$A$192&gt;35,EJ29+EI30-ER29,IF(A30&lt;'Données projet'!$A$192,$EG$205^A30,IF(A30='Données projet'!$A$192,'Données projet'!$B$192,EJ29+EI30-ER29)))</f>
        <v>93.40000000000002</v>
      </c>
      <c r="EK30" s="17">
        <f>EJ30*VLOOKUP('Données projet'!$B$15,Paramètres!$A$1:$I$89,3,0)*VLOOKUP('Données projet'!$B$15,Paramètres!$A$1:$I$89,5,0)</f>
        <v>94.707600000000028</v>
      </c>
      <c r="EL30" s="13">
        <f t="shared" si="45"/>
        <v>25.697193912523566</v>
      </c>
      <c r="EM30" s="20">
        <f t="shared" si="19"/>
        <v>209.70501606431188</v>
      </c>
      <c r="EN30" s="59">
        <f t="shared" si="20"/>
        <v>503.03834939764522</v>
      </c>
      <c r="EO30" s="59">
        <f ca="1">AVERAGE(OFFSET($EN$3,0,0,'Données projet'!$E$15+1,1))-AVERAGE(OFFSET($H$3,0,0,'Données projet'!$E$15+1,1))</f>
        <v>384.50065773787549</v>
      </c>
      <c r="EP30" s="59">
        <f t="shared" si="46"/>
        <v>231.92898690465887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4.3951599327589479</v>
      </c>
      <c r="EW30" s="21">
        <f>EXP(-LN(2)/25)*EW29+(1-EXP(-LN(2)/25))/(LN(2)/25)*Calculateur!ER30*Calculateur!ET30*VLOOKUP('Données projet'!$B$15,Paramètres!$A$1:$I$89,3,0)*0.475*44/12</f>
        <v>5.5616610493180465</v>
      </c>
      <c r="EX30" s="21">
        <f>EXP(-LN(2)/2)*EX29+(1-EXP(-LN(2)/2))/(LN(2)/2)*ER30*EU30*VLOOKUP('Données projet'!$B$15,Paramètres!$A$1:$I$89,3,0)*0.475*44/12</f>
        <v>4.322724047679861</v>
      </c>
      <c r="EY30" s="22">
        <f t="shared" si="21"/>
        <v>14.279545029756855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9.1999999999999993</v>
      </c>
      <c r="FE30" s="12">
        <f>IF('Données projet'!$A$218&gt;35,FE29+FD30-FM29,IF(A30&lt;'Données projet'!$A$218,$FB$205^A30,IF(A30='Données projet'!$A$218,'Données projet'!$B$218,FE29+FD30-FM29)))</f>
        <v>93.40000000000002</v>
      </c>
      <c r="FF30" s="17">
        <f>FE30*VLOOKUP('Données projet'!$B$16,Paramètres!$A$1:$I$89,3,0)*VLOOKUP('Données projet'!$B$16,Paramètres!$A$1:$I$89,5,0)</f>
        <v>84.508320000000026</v>
      </c>
      <c r="FG30" s="13">
        <f t="shared" si="47"/>
        <v>23.235950088324714</v>
      </c>
      <c r="FH30" s="20">
        <f t="shared" si="22"/>
        <v>187.65460373716556</v>
      </c>
      <c r="FI30" s="59">
        <f t="shared" si="23"/>
        <v>480.9879370704989</v>
      </c>
      <c r="FJ30" s="59">
        <f ca="1">AVERAGE(OFFSET($FI$3,0,0,'Données projet'!$E$16+1,1))-AVERAGE(OFFSET($H$3,0,0,'Données projet'!$E$16+1,1))</f>
        <v>326.46362829268969</v>
      </c>
      <c r="FK30" s="59">
        <f t="shared" si="48"/>
        <v>203.5274665601915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3.9218350169233682</v>
      </c>
      <c r="FR30" s="21">
        <f>EXP(-LN(2)/25)*FR29+(1-EXP(-LN(2)/25))/(LN(2)/25)*Calculateur!FM30*Calculateur!FO30*VLOOKUP('Données projet'!$B$16,Paramètres!$A$1:$I$89,3,0)*0.475*44/12</f>
        <v>4.9627129363145643</v>
      </c>
      <c r="FS30" s="21">
        <f>EXP(-LN(2)/2)*FS29+(1-EXP(-LN(2)/2))/(LN(2)/2)*FM30*FP30*VLOOKUP('Données projet'!$B$16,Paramètres!$A$1:$I$89,3,0)*0.475*44/12</f>
        <v>3.857199919468183</v>
      </c>
      <c r="FT30" s="22">
        <f t="shared" si="24"/>
        <v>12.741747872706116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9.1999999999999993</v>
      </c>
      <c r="FZ30" s="12">
        <f>IF('Données projet'!$A$244&gt;35,FZ29+FY30-GH29,IF(A30&lt;'Données projet'!$A$244,$FW$205^A30,IF(A30='Données projet'!$A$244,'Données projet'!$B$244,FZ29+FY30-GH29)))</f>
        <v>93.40000000000002</v>
      </c>
      <c r="GA30" s="17">
        <f>FZ30*VLOOKUP('Données projet'!$B$17,Paramètres!$A$1:$I$89,3,0)*VLOOKUP('Données projet'!$B$17,Paramètres!$A$1:$I$89,5,0)</f>
        <v>90.336480000000023</v>
      </c>
      <c r="GB30" s="13">
        <f t="shared" si="49"/>
        <v>24.646358234355564</v>
      </c>
      <c r="GC30" s="20">
        <f t="shared" si="25"/>
        <v>200.26177659150264</v>
      </c>
      <c r="GD30" s="59">
        <f t="shared" si="26"/>
        <v>493.59510992483592</v>
      </c>
      <c r="GE30" s="59">
        <f ca="1">AVERAGE(OFFSET($GD$3,0,0,'Données projet'!$E$17+1,1))-AVERAGE(OFFSET($H$3,0,0,'Données projet'!$E$17+1,1))</f>
        <v>353.24082990916918</v>
      </c>
      <c r="GF30" s="59">
        <f t="shared" si="50"/>
        <v>219.76562717496353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4.1923063974008441</v>
      </c>
      <c r="GM30" s="21">
        <f>EXP(-LN(2)/25)*GM29+(1-EXP(-LN(2)/25))/(LN(2)/25)*Calculateur!GH30*Calculateur!GJ30*VLOOKUP('Données projet'!$B$17,Paramètres!$A$1:$I$89,3,0)*0.475*44/12</f>
        <v>5.3049690008879828</v>
      </c>
      <c r="GN30" s="21">
        <f>EXP(-LN(2)/2)*GN29+(1-EXP(-LN(2)/2))/(LN(2)/2)*GH30*GK30*VLOOKUP('Données projet'!$B$17,Paramètres!$A$1:$I$89,3,0)*0.475*44/12</f>
        <v>4.1232137070177135</v>
      </c>
      <c r="GO30" s="21">
        <f t="shared" si="27"/>
        <v>13.620489105306541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378.17323480030268</v>
      </c>
      <c r="T31" s="59">
        <f t="shared" si="34"/>
        <v>471.89239871617241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8.0745745267928015</v>
      </c>
      <c r="AB31" s="21">
        <f>EXP(-LN(2)/2)*AB30+(1-EXP(-LN(2)/2))/(LN(2)/2)*V31*Y31*VLOOKUP('Données projet'!$B$9,Paramètres!$A$1:$I$89,3,0)*0.475*44/12</f>
        <v>7.2501562088931326</v>
      </c>
      <c r="AC31" s="22">
        <f t="shared" si="3"/>
        <v>15.324730735685934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146</v>
      </c>
      <c r="AG31" s="12">
        <f>VLOOKUP(A31,'Données projet'!$A$61:$I$81,9,0)</f>
        <v>11.25</v>
      </c>
      <c r="AH31" s="12">
        <f t="array" ref="AH31">INDEX(AG:AG,MIN(IF(ISNUMBER(AG31:AG227),ROW(AG31:AG227),"")))</f>
        <v>11.25</v>
      </c>
      <c r="AI31" s="13">
        <f>IF('Données projet'!$A$62&gt;35,AI30+AH31-AQ30,IF(A31&lt;'Données projet'!$A$62,$AF$205^A31,IF(A31='Données projet'!$A$62,'Données projet'!$B$62,AI30+AH31-AQ30)))</f>
        <v>146</v>
      </c>
      <c r="AJ31" s="13">
        <f>AI31*VLOOKUP('Données projet'!$B$10,Paramètres!$A$1:$I$89,3,0)*VLOOKUP('Données projet'!$B$10,Paramètres!$A$1:$I$89,5,0)</f>
        <v>87.307999999999993</v>
      </c>
      <c r="AK31" s="13">
        <f t="shared" si="35"/>
        <v>23.914836409796052</v>
      </c>
      <c r="AL31" s="20">
        <f t="shared" si="4"/>
        <v>193.71310674706146</v>
      </c>
      <c r="AM31" s="59">
        <f t="shared" si="5"/>
        <v>487.04644008039475</v>
      </c>
      <c r="AN31" s="59">
        <f ca="1">AVERAGE(OFFSET($AM$3,0,0,'Données projet'!$E$10+1,1))-AVERAGE(OFFSET($H$3,0,0,'Données projet'!$E$10+1,1))</f>
        <v>141.22849894256314</v>
      </c>
      <c r="AO31" s="59">
        <f t="shared" si="36"/>
        <v>156.12101479343704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23</v>
      </c>
      <c r="AR31" s="16">
        <f>IF(ISNA(VLOOKUP(A31,'Données projet'!$A$61:$I$81,5,0)),0%,VLOOKUP(A31,'Données projet'!$A$61:$I$81,5,0)*VLOOKUP('Données projet'!$B$10,Paramètres!$A$1:$I$89,7,0))</f>
        <v>0.18000000000000002</v>
      </c>
      <c r="AS31" s="16">
        <f>IF(ISNA(VLOOKUP(A31,'Données projet'!$A$61:$I$81,6,0)),0%,VLOOKUP(A31,'Données projet'!$A$61:$I$81,6,0)*VLOOKUP('Données projet'!$B$10,Paramètres!$A$1:$I$89,7,0))</f>
        <v>0.13500000000000001</v>
      </c>
      <c r="AT31" s="16">
        <f>IF(ISNA(VLOOKUP(A31,'Données projet'!$A$61:$I$81,7,0)),0%,VLOOKUP(A31,'Données projet'!$A$61:$I$81,7,0))</f>
        <v>0.3</v>
      </c>
      <c r="AU31" s="21">
        <f>EXP(-LN(2)/35)*AU30+(1-EXP(-LN(2)/35))/(LN(2)/35)*AQ31*AR31*VLOOKUP('Données projet'!$B$10,Paramètres!$A$1:$I$89,3,0)*0.475*44/12</f>
        <v>7.6525109656902837</v>
      </c>
      <c r="AV31" s="21">
        <f>EXP(-LN(2)/25)*AV30+(1-EXP(-LN(2)/25))/(LN(2)/25)*Calculateur!AQ31*Calculateur!AS31*VLOOKUP('Données projet'!$B$10,Paramètres!$A$1:$I$89,3,0)*0.475*44/12</f>
        <v>6.3659310316711668</v>
      </c>
      <c r="AW31" s="21">
        <f>EXP(-LN(2)/2)*AW30+(1-EXP(-LN(2)/2))/(LN(2)/2)*AQ31*AT31*VLOOKUP('Données projet'!$B$10,Paramètres!$A$1:$I$89,3,0)*0.475*44/12</f>
        <v>5.9159420603832231</v>
      </c>
      <c r="AX31" s="21">
        <f t="shared" si="6"/>
        <v>19.934384057744673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14.166666666666666</v>
      </c>
      <c r="BD31" s="12">
        <f>IF('Données projet'!$A$88&gt;35,BD30+BC31-BL30,IF(A31&lt;'Données projet'!$A$88,$BA$205^A31,IF(A31='Données projet'!$A$88,'Données projet'!$B$88,BD30+BC31-BL30)))</f>
        <v>195.66666666666663</v>
      </c>
      <c r="BE31" s="13">
        <f>BD31*VLOOKUP('Données projet'!$B$11,Paramètres!$A$1:$I$89,3,0)*VLOOKUP('Données projet'!$B$11,Paramètres!$A$1:$I$89,5,0)</f>
        <v>86.484666666666655</v>
      </c>
      <c r="BF31" s="13">
        <f t="shared" si="37"/>
        <v>23.715455344197053</v>
      </c>
      <c r="BG31" s="20">
        <f t="shared" si="7"/>
        <v>191.93187916892097</v>
      </c>
      <c r="BH31" s="59">
        <f t="shared" si="8"/>
        <v>485.26521250225426</v>
      </c>
      <c r="BI31" s="59">
        <f ca="1">AVERAGE(OFFSET($BH$3,0,0,'Données projet'!$E$11+1,1))-AVERAGE(OFFSET($H$3,0,0,'Données projet'!$E$11+1,1))</f>
        <v>114.25511901730295</v>
      </c>
      <c r="BJ31" s="59">
        <f t="shared" si="38"/>
        <v>180.96261947642182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8.0338255104004279</v>
      </c>
      <c r="BR31" s="21">
        <f>EXP(-LN(2)/2)*BR30+(1-EXP(-LN(2)/2))/(LN(2)/2)*BL31*BO31*VLOOKUP('Données projet'!$B$11,Paramètres!$A$1:$I$89,3,0)*0.475*44/12</f>
        <v>3.0546555556215953</v>
      </c>
      <c r="BS31" s="22">
        <f t="shared" si="9"/>
        <v>11.088481066022023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11.5</v>
      </c>
      <c r="BY31" s="12">
        <f>IF('Données projet'!$A$114&gt;35,BY30+BX31-CG30,IF(A31&lt;'Données projet'!$A$114,$BV$205^A31,IF(A31='Données projet'!$A$114,'Données projet'!$B$114,BY30+BX31-CG30)))</f>
        <v>120.49999999999996</v>
      </c>
      <c r="BZ31" s="13">
        <f>BY31*VLOOKUP('Données projet'!$B$12,Paramètres!$A$1:$I$89,3,0)*VLOOKUP('Données projet'!$B$12,Paramètres!$A$1:$I$89,5,0)</f>
        <v>93.989999999999966</v>
      </c>
      <c r="CA31" s="13">
        <f t="shared" si="39"/>
        <v>25.525074036970054</v>
      </c>
      <c r="CB31" s="20">
        <f t="shared" si="10"/>
        <v>208.15542061438944</v>
      </c>
      <c r="CC31" s="59">
        <f t="shared" si="11"/>
        <v>501.48875394772278</v>
      </c>
      <c r="CD31" s="59">
        <f ca="1">AVERAGE(OFFSET($CC$3,0,0,'Données projet'!$E$12+1,1))-AVERAGE(OFFSET($H$3,0,0,'Données projet'!$E$12+1,1))</f>
        <v>216.95993967070063</v>
      </c>
      <c r="CE31" s="59">
        <f t="shared" si="40"/>
        <v>208.79744153433245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5.3753745531936321</v>
      </c>
      <c r="CL31" s="21">
        <f>EXP(-LN(2)/25)*CL30+(1-EXP(-LN(2)/25))/(LN(2)/25)*Calculateur!CG31*Calculateur!CI31*VLOOKUP('Données projet'!$B$12,Paramètres!$A$1:$I$89,3,0)*0.475*44/12</f>
        <v>6.7832613143710914</v>
      </c>
      <c r="CM31" s="21">
        <f>EXP(-LN(2)/2)*CM30+(1-EXP(-LN(2)/2))/(LN(2)/2)*CG31*CJ31*VLOOKUP('Données projet'!$B$12,Paramètres!$A$1:$I$89,3,0)*0.475*44/12</f>
        <v>2.4672167130070535</v>
      </c>
      <c r="CN31" s="22">
        <f t="shared" si="12"/>
        <v>14.625852580571776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11.5</v>
      </c>
      <c r="CT31" s="12">
        <f>IF('Données projet'!$A$140&gt;35,CT30+CS31-DB30,IF(A31&lt;'Données projet'!$A$140,$CQ$205^A31,IF(A31='Données projet'!$A$140,'Données projet'!$B$140,CT30+CS31-DB30)))</f>
        <v>120.49999999999996</v>
      </c>
      <c r="CU31" s="17">
        <f>CT31*VLOOKUP('Données projet'!$B$13,Paramètres!$A$1:$I$89,3,0)*VLOOKUP('Données projet'!$B$13,Paramètres!$A$1:$I$89,5,0)</f>
        <v>80.831399999999974</v>
      </c>
      <c r="CV31" s="13">
        <f t="shared" si="41"/>
        <v>22.340343270205771</v>
      </c>
      <c r="CW31" s="20">
        <f t="shared" si="13"/>
        <v>179.69078619560835</v>
      </c>
      <c r="CX31" s="59">
        <f t="shared" si="14"/>
        <v>473.0241195289417</v>
      </c>
      <c r="CY31" s="59">
        <f ca="1">AVERAGE(OFFSET($CX$3,0,0,'Données projet'!$E$13+1,1))-AVERAGE(OFFSET($H$3,0,0,'Données projet'!$E$13+1,1))</f>
        <v>181.32837315090507</v>
      </c>
      <c r="CZ31" s="59">
        <f t="shared" si="42"/>
        <v>175.03267817980338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5.6978970263852471</v>
      </c>
      <c r="DG31" s="21">
        <f>EXP(-LN(2)/25)*DG30+(1-EXP(-LN(2)/25))/(LN(2)/25)*Calculateur!DB31*Calculateur!DD31*VLOOKUP('Données projet'!$B$13,Paramètres!$A$1:$I$89,3,0)*0.475*44/12</f>
        <v>7.1902569932333584</v>
      </c>
      <c r="DH31" s="21">
        <f>EXP(-LN(2)/2)*DH30+(1-EXP(-LN(2)/2))/(LN(2)/2)*DB31*DE31*VLOOKUP('Données projet'!$B$13,Paramètres!$A$1:$I$89,3,0)*0.475*44/12</f>
        <v>2.1218063731860655</v>
      </c>
      <c r="DI31" s="22">
        <f t="shared" si="15"/>
        <v>15.009960392804672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16.399999999999999</v>
      </c>
      <c r="DO31" s="12">
        <f>IF('Données projet'!$A$166&gt;35,DO30+DN31-DW30,IF(A31&lt;'Données projet'!$A$166,$DL$205^A31,IF(A31='Données projet'!$A$166,'Données projet'!$B$166,DO30+DN31-DW30)))</f>
        <v>172.20000000000005</v>
      </c>
      <c r="DP31" s="17">
        <f>DO31*VLOOKUP('Données projet'!$B$14,Paramètres!$A$1:$I$89,3,0)*VLOOKUP('Données projet'!$B$14,Paramètres!$A$1:$I$89,5,0)</f>
        <v>137.00232000000005</v>
      </c>
      <c r="DQ31" s="13">
        <f t="shared" si="43"/>
        <v>35.609416420931346</v>
      </c>
      <c r="DR31" s="20">
        <f t="shared" si="16"/>
        <v>300.63210759978887</v>
      </c>
      <c r="DS31" s="59">
        <f t="shared" si="17"/>
        <v>593.96544093312218</v>
      </c>
      <c r="DT31" s="59">
        <f ca="1">AVERAGE(OFFSET($DS$3,0,0,'Données projet'!$E$14+1,1))-AVERAGE(OFFSET($H$3,0,0,'Données projet'!$E$14+1,1))</f>
        <v>325.72928944930294</v>
      </c>
      <c r="DU31" s="59">
        <f t="shared" si="44"/>
        <v>318.38876834819752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11.903283517345095</v>
      </c>
      <c r="EB31" s="21">
        <f>EXP(-LN(2)/25)*EB30+(1-EXP(-LN(2)/25))/(LN(2)/25)*Calculateur!DW31*Calculateur!DY31*VLOOKUP('Données projet'!$B$14,Paramètres!$A$1:$I$89,3,0)*0.475*44/12</f>
        <v>13.61390429768522</v>
      </c>
      <c r="EC31" s="21">
        <f>EXP(-LN(2)/2)*EC30+(1-EXP(-LN(2)/2))/(LN(2)/2)*DW31*DZ31*VLOOKUP('Données projet'!$B$14,Paramètres!$A$1:$I$89,3,0)*0.475*44/12</f>
        <v>4.7425577340149445</v>
      </c>
      <c r="ED31" s="22">
        <f t="shared" si="18"/>
        <v>30.25974554904526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9.1999999999999993</v>
      </c>
      <c r="EJ31" s="12">
        <f>IF('Données projet'!$A$192&gt;35,EJ30+EI31-ER30,IF(A31&lt;'Données projet'!$A$192,$EG$205^A31,IF(A31='Données projet'!$A$192,'Données projet'!$B$192,EJ30+EI31-ER30)))</f>
        <v>102.60000000000002</v>
      </c>
      <c r="EK31" s="17">
        <f>EJ31*VLOOKUP('Données projet'!$B$15,Paramètres!$A$1:$I$89,3,0)*VLOOKUP('Données projet'!$B$15,Paramètres!$A$1:$I$89,5,0)</f>
        <v>104.03640000000003</v>
      </c>
      <c r="EL31" s="13">
        <f t="shared" si="45"/>
        <v>27.921388397820998</v>
      </c>
      <c r="EM31" s="20">
        <f t="shared" si="19"/>
        <v>229.82648145953826</v>
      </c>
      <c r="EN31" s="59">
        <f t="shared" si="20"/>
        <v>523.15981479287154</v>
      </c>
      <c r="EO31" s="59">
        <f ca="1">AVERAGE(OFFSET($EN$3,0,0,'Données projet'!$E$15+1,1))-AVERAGE(OFFSET($H$3,0,0,'Données projet'!$E$15+1,1))</f>
        <v>384.50065773787549</v>
      </c>
      <c r="EP31" s="59">
        <f t="shared" si="46"/>
        <v>231.92898690465887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4.3089735272603988</v>
      </c>
      <c r="EW31" s="21">
        <f>EXP(-LN(2)/25)*EW30+(1-EXP(-LN(2)/25))/(LN(2)/25)*Calculateur!ER31*Calculateur!ET31*VLOOKUP('Données projet'!$B$15,Paramètres!$A$1:$I$89,3,0)*0.475*44/12</f>
        <v>5.4095771354494016</v>
      </c>
      <c r="EX31" s="21">
        <f>EXP(-LN(2)/2)*EX30+(1-EXP(-LN(2)/2))/(LN(2)/2)*ER31*EU31*VLOOKUP('Données projet'!$B$15,Paramètres!$A$1:$I$89,3,0)*0.475*44/12</f>
        <v>3.0566274873125905</v>
      </c>
      <c r="EY31" s="22">
        <f t="shared" si="21"/>
        <v>12.775178150022391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9.1999999999999993</v>
      </c>
      <c r="FE31" s="12">
        <f>IF('Données projet'!$A$218&gt;35,FE30+FD31-FM30,IF(A31&lt;'Données projet'!$A$218,$FB$205^A31,IF(A31='Données projet'!$A$218,'Données projet'!$B$218,FE30+FD31-FM30)))</f>
        <v>102.60000000000002</v>
      </c>
      <c r="FF31" s="17">
        <f>FE31*VLOOKUP('Données projet'!$B$16,Paramètres!$A$1:$I$89,3,0)*VLOOKUP('Données projet'!$B$16,Paramètres!$A$1:$I$89,5,0)</f>
        <v>92.832480000000018</v>
      </c>
      <c r="FG31" s="13">
        <f t="shared" si="47"/>
        <v>25.247114117480137</v>
      </c>
      <c r="FH31" s="20">
        <f t="shared" si="22"/>
        <v>205.65529308794461</v>
      </c>
      <c r="FI31" s="59">
        <f t="shared" si="23"/>
        <v>498.9886264212779</v>
      </c>
      <c r="FJ31" s="59">
        <f ca="1">AVERAGE(OFFSET($FI$3,0,0,'Données projet'!$E$16+1,1))-AVERAGE(OFFSET($H$3,0,0,'Données projet'!$E$16+1,1))</f>
        <v>326.46362829268969</v>
      </c>
      <c r="FK31" s="59">
        <f t="shared" si="48"/>
        <v>203.5274665601915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3.8449302243246626</v>
      </c>
      <c r="FR31" s="21">
        <f>EXP(-LN(2)/25)*FR30+(1-EXP(-LN(2)/25))/(LN(2)/25)*Calculateur!FM31*Calculateur!FO31*VLOOKUP('Données projet'!$B$16,Paramètres!$A$1:$I$89,3,0)*0.475*44/12</f>
        <v>4.8270072900933121</v>
      </c>
      <c r="FS31" s="21">
        <f>EXP(-LN(2)/2)*FS30+(1-EXP(-LN(2)/2))/(LN(2)/2)*FM31*FP31*VLOOKUP('Données projet'!$B$16,Paramètres!$A$1:$I$89,3,0)*0.475*44/12</f>
        <v>2.7274522194481574</v>
      </c>
      <c r="FT31" s="22">
        <f t="shared" si="24"/>
        <v>11.399389733866132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9.1999999999999993</v>
      </c>
      <c r="FZ31" s="12">
        <f>IF('Données projet'!$A$244&gt;35,FZ30+FY31-GH30,IF(A31&lt;'Données projet'!$A$244,$FW$205^A31,IF(A31='Données projet'!$A$244,'Données projet'!$B$244,FZ30+FY31-GH30)))</f>
        <v>102.60000000000002</v>
      </c>
      <c r="GA31" s="17">
        <f>FZ31*VLOOKUP('Données projet'!$B$17,Paramètres!$A$1:$I$89,3,0)*VLOOKUP('Données projet'!$B$17,Paramètres!$A$1:$I$89,5,0)</f>
        <v>99.234720000000024</v>
      </c>
      <c r="GB31" s="13">
        <f t="shared" si="49"/>
        <v>26.779598706219044</v>
      </c>
      <c r="GC31" s="20">
        <f t="shared" si="25"/>
        <v>219.47493841333153</v>
      </c>
      <c r="GD31" s="59">
        <f t="shared" si="26"/>
        <v>512.80827174666479</v>
      </c>
      <c r="GE31" s="59">
        <f ca="1">AVERAGE(OFFSET($GD$3,0,0,'Données projet'!$E$17+1,1))-AVERAGE(OFFSET($H$3,0,0,'Données projet'!$E$17+1,1))</f>
        <v>353.24082990916918</v>
      </c>
      <c r="GF31" s="59">
        <f t="shared" si="50"/>
        <v>219.76562717496353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4.1100978260022281</v>
      </c>
      <c r="GM31" s="21">
        <f>EXP(-LN(2)/25)*GM30+(1-EXP(-LN(2)/25))/(LN(2)/25)*Calculateur!GH31*Calculateur!GJ31*VLOOKUP('Données projet'!$B$17,Paramètres!$A$1:$I$89,3,0)*0.475*44/12</f>
        <v>5.1599043445825057</v>
      </c>
      <c r="GN31" s="21">
        <f>EXP(-LN(2)/2)*GN30+(1-EXP(-LN(2)/2))/(LN(2)/2)*GH31*GK31*VLOOKUP('Données projet'!$B$17,Paramètres!$A$1:$I$89,3,0)*0.475*44/12</f>
        <v>2.9155523725135479</v>
      </c>
      <c r="GO31" s="21">
        <f t="shared" si="27"/>
        <v>12.185554543098281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378.17323480030268</v>
      </c>
      <c r="T32" s="59">
        <f t="shared" si="34"/>
        <v>471.89239871617241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7.8537748617342329</v>
      </c>
      <c r="AB32" s="21">
        <f>EXP(-LN(2)/2)*AB31+(1-EXP(-LN(2)/2))/(LN(2)/2)*V32*Y32*VLOOKUP('Données projet'!$B$9,Paramètres!$A$1:$I$89,3,0)*0.475*44/12</f>
        <v>5.1266346199700852</v>
      </c>
      <c r="AC32" s="22">
        <f t="shared" si="3"/>
        <v>12.980409481704317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11.666666666666666</v>
      </c>
      <c r="AI32" s="13">
        <f>IF('Données projet'!$A$62&gt;35,AI31+AH32-AQ31,IF(A32&lt;'Données projet'!$A$62,$AF$205^A32,IF(A32='Données projet'!$A$62,'Données projet'!$B$62,AI31+AH32-AQ31)))</f>
        <v>134.66666666666666</v>
      </c>
      <c r="AJ32" s="13">
        <f>AI32*VLOOKUP('Données projet'!$B$10,Paramètres!$A$1:$I$89,3,0)*VLOOKUP('Données projet'!$B$10,Paramètres!$A$1:$I$89,5,0)</f>
        <v>80.530666666666662</v>
      </c>
      <c r="AK32" s="13">
        <f t="shared" si="35"/>
        <v>22.266884919078866</v>
      </c>
      <c r="AL32" s="20">
        <f t="shared" si="4"/>
        <v>179.0390690118401</v>
      </c>
      <c r="AM32" s="59">
        <f t="shared" si="5"/>
        <v>472.37240234517344</v>
      </c>
      <c r="AN32" s="59">
        <f ca="1">AVERAGE(OFFSET($AM$3,0,0,'Données projet'!$E$10+1,1))-AVERAGE(OFFSET($H$3,0,0,'Données projet'!$E$10+1,1))</f>
        <v>141.22849894256314</v>
      </c>
      <c r="AO32" s="59">
        <f t="shared" si="36"/>
        <v>156.12101479343704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7.5024498932239023</v>
      </c>
      <c r="AV32" s="21">
        <f>EXP(-LN(2)/25)*AV31+(1-EXP(-LN(2)/25))/(LN(2)/25)*Calculateur!AQ32*Calculateur!AS32*VLOOKUP('Données projet'!$B$10,Paramètres!$A$1:$I$89,3,0)*0.475*44/12</f>
        <v>6.1918543128403556</v>
      </c>
      <c r="AW32" s="21">
        <f>EXP(-LN(2)/2)*AW31+(1-EXP(-LN(2)/2))/(LN(2)/2)*AQ32*AT32*VLOOKUP('Données projet'!$B$10,Paramètres!$A$1:$I$89,3,0)*0.475*44/12</f>
        <v>4.1832027480036933</v>
      </c>
      <c r="AX32" s="21">
        <f t="shared" si="6"/>
        <v>17.87750695406795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14.166666666666666</v>
      </c>
      <c r="BD32" s="12">
        <f>IF('Données projet'!$A$88&gt;35,BD31+BC32-BL31,IF(A32&lt;'Données projet'!$A$88,$BA$205^A32,IF(A32='Données projet'!$A$88,'Données projet'!$B$88,BD31+BC32-BL31)))</f>
        <v>209.83333333333329</v>
      </c>
      <c r="BE32" s="13">
        <f>BD32*VLOOKUP('Données projet'!$B$11,Paramètres!$A$1:$I$89,3,0)*VLOOKUP('Données projet'!$B$11,Paramètres!$A$1:$I$89,5,0)</f>
        <v>92.746333333333325</v>
      </c>
      <c r="BF32" s="13">
        <f t="shared" si="37"/>
        <v>25.22641130071824</v>
      </c>
      <c r="BG32" s="20">
        <f t="shared" si="7"/>
        <v>205.46919690430647</v>
      </c>
      <c r="BH32" s="59">
        <f t="shared" si="8"/>
        <v>498.80253023763976</v>
      </c>
      <c r="BI32" s="59">
        <f ca="1">AVERAGE(OFFSET($BH$3,0,0,'Données projet'!$E$11+1,1))-AVERAGE(OFFSET($H$3,0,0,'Données projet'!$E$11+1,1))</f>
        <v>114.25511901730295</v>
      </c>
      <c r="BJ32" s="59">
        <f t="shared" si="38"/>
        <v>180.96261947642182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7.8141401293380062</v>
      </c>
      <c r="BR32" s="21">
        <f>EXP(-LN(2)/2)*BR31+(1-EXP(-LN(2)/2))/(LN(2)/2)*BL32*BO32*VLOOKUP('Données projet'!$B$11,Paramètres!$A$1:$I$89,3,0)*0.475*44/12</f>
        <v>2.1599676575691911</v>
      </c>
      <c r="BS32" s="22">
        <f t="shared" si="9"/>
        <v>9.9741077869071972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11.5</v>
      </c>
      <c r="BY32" s="12">
        <f>IF('Données projet'!$A$114&gt;35,BY31+BX32-CG31,IF(A32&lt;'Données projet'!$A$114,$BV$205^A32,IF(A32='Données projet'!$A$114,'Données projet'!$B$114,BY31+BX32-CG31)))</f>
        <v>131.99999999999994</v>
      </c>
      <c r="BZ32" s="13">
        <f>BY32*VLOOKUP('Données projet'!$B$12,Paramètres!$A$1:$I$89,3,0)*VLOOKUP('Données projet'!$B$12,Paramètres!$A$1:$I$89,5,0)</f>
        <v>102.95999999999997</v>
      </c>
      <c r="CA32" s="13">
        <f t="shared" si="39"/>
        <v>27.665975080374633</v>
      </c>
      <c r="CB32" s="20">
        <f t="shared" si="10"/>
        <v>227.50690659831903</v>
      </c>
      <c r="CC32" s="59">
        <f t="shared" si="11"/>
        <v>520.84023993165238</v>
      </c>
      <c r="CD32" s="59">
        <f ca="1">AVERAGE(OFFSET($CC$3,0,0,'Données projet'!$E$12+1,1))-AVERAGE(OFFSET($H$3,0,0,'Données projet'!$E$12+1,1))</f>
        <v>216.95993967070063</v>
      </c>
      <c r="CE32" s="59">
        <f t="shared" si="40"/>
        <v>208.79744153433245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5.2699667368602423</v>
      </c>
      <c r="CL32" s="21">
        <f>EXP(-LN(2)/25)*CL31+(1-EXP(-LN(2)/25))/(LN(2)/25)*Calculateur!CG32*Calculateur!CI32*VLOOKUP('Données projet'!$B$12,Paramètres!$A$1:$I$89,3,0)*0.475*44/12</f>
        <v>6.5977726770134044</v>
      </c>
      <c r="CM32" s="21">
        <f>EXP(-LN(2)/2)*CM31+(1-EXP(-LN(2)/2))/(LN(2)/2)*CG32*CJ32*VLOOKUP('Données projet'!$B$12,Paramètres!$A$1:$I$89,3,0)*0.475*44/12</f>
        <v>1.7445856684240717</v>
      </c>
      <c r="CN32" s="22">
        <f t="shared" si="12"/>
        <v>13.612325082297719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11.5</v>
      </c>
      <c r="CT32" s="12">
        <f>IF('Données projet'!$A$140&gt;35,CT31+CS32-DB31,IF(A32&lt;'Données projet'!$A$140,$CQ$205^A32,IF(A32='Données projet'!$A$140,'Données projet'!$B$140,CT31+CS32-DB31)))</f>
        <v>131.99999999999994</v>
      </c>
      <c r="CU32" s="17">
        <f>CT32*VLOOKUP('Données projet'!$B$13,Paramètres!$A$1:$I$89,3,0)*VLOOKUP('Données projet'!$B$13,Paramètres!$A$1:$I$89,5,0)</f>
        <v>88.545599999999965</v>
      </c>
      <c r="CV32" s="13">
        <f t="shared" si="41"/>
        <v>24.214126834865596</v>
      </c>
      <c r="CW32" s="20">
        <f t="shared" si="13"/>
        <v>196.38985757072419</v>
      </c>
      <c r="CX32" s="59">
        <f t="shared" si="14"/>
        <v>489.7231909040575</v>
      </c>
      <c r="CY32" s="59">
        <f ca="1">AVERAGE(OFFSET($CX$3,0,0,'Données projet'!$E$13+1,1))-AVERAGE(OFFSET($H$3,0,0,'Données projet'!$E$13+1,1))</f>
        <v>181.32837315090507</v>
      </c>
      <c r="CZ32" s="59">
        <f t="shared" si="42"/>
        <v>175.03267817980338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5.5861647410718538</v>
      </c>
      <c r="DG32" s="21">
        <f>EXP(-LN(2)/25)*DG31+(1-EXP(-LN(2)/25))/(LN(2)/25)*Calculateur!DB32*Calculateur!DD32*VLOOKUP('Données projet'!$B$13,Paramètres!$A$1:$I$89,3,0)*0.475*44/12</f>
        <v>6.9936390376342104</v>
      </c>
      <c r="DH32" s="21">
        <f>EXP(-LN(2)/2)*DH31+(1-EXP(-LN(2)/2))/(LN(2)/2)*DB32*DE32*VLOOKUP('Données projet'!$B$13,Paramètres!$A$1:$I$89,3,0)*0.475*44/12</f>
        <v>1.5003436748447012</v>
      </c>
      <c r="DI32" s="22">
        <f t="shared" si="15"/>
        <v>14.080147453550767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16.399999999999999</v>
      </c>
      <c r="DO32" s="12">
        <f>IF('Données projet'!$A$166&gt;35,DO31+DN32-DW31,IF(A32&lt;'Données projet'!$A$166,$DL$205^A32,IF(A32='Données projet'!$A$166,'Données projet'!$B$166,DO31+DN32-DW31)))</f>
        <v>188.60000000000005</v>
      </c>
      <c r="DP32" s="17">
        <f>DO32*VLOOKUP('Données projet'!$B$14,Paramètres!$A$1:$I$89,3,0)*VLOOKUP('Données projet'!$B$14,Paramètres!$A$1:$I$89,5,0)</f>
        <v>150.05016000000003</v>
      </c>
      <c r="DQ32" s="13">
        <f t="shared" si="43"/>
        <v>38.589984439024605</v>
      </c>
      <c r="DR32" s="20">
        <f t="shared" si="16"/>
        <v>328.5482515646346</v>
      </c>
      <c r="DS32" s="59">
        <f t="shared" si="17"/>
        <v>621.88158489796797</v>
      </c>
      <c r="DT32" s="59">
        <f ca="1">AVERAGE(OFFSET($DS$3,0,0,'Données projet'!$E$14+1,1))-AVERAGE(OFFSET($H$3,0,0,'Données projet'!$E$14+1,1))</f>
        <v>325.72928944930294</v>
      </c>
      <c r="DU32" s="59">
        <f t="shared" si="44"/>
        <v>318.38876834819752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11.669867387856009</v>
      </c>
      <c r="EB32" s="21">
        <f>EXP(-LN(2)/25)*EB31+(1-EXP(-LN(2)/25))/(LN(2)/25)*Calculateur!DW32*Calculateur!DY32*VLOOKUP('Données projet'!$B$14,Paramètres!$A$1:$I$89,3,0)*0.475*44/12</f>
        <v>13.241631368740906</v>
      </c>
      <c r="EC32" s="21">
        <f>EXP(-LN(2)/2)*EC31+(1-EXP(-LN(2)/2))/(LN(2)/2)*DW32*DZ32*VLOOKUP('Données projet'!$B$14,Paramètres!$A$1:$I$89,3,0)*0.475*44/12</f>
        <v>3.3534947338906744</v>
      </c>
      <c r="ED32" s="22">
        <f t="shared" si="18"/>
        <v>28.264993490487587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9.1999999999999993</v>
      </c>
      <c r="EJ32" s="12">
        <f>IF('Données projet'!$A$192&gt;35,EJ31+EI32-ER31,IF(A32&lt;'Données projet'!$A$192,$EG$205^A32,IF(A32='Données projet'!$A$192,'Données projet'!$B$192,EJ31+EI32-ER31)))</f>
        <v>111.80000000000003</v>
      </c>
      <c r="EK32" s="17">
        <f>EJ32*VLOOKUP('Données projet'!$B$15,Paramètres!$A$1:$I$89,3,0)*VLOOKUP('Données projet'!$B$15,Paramètres!$A$1:$I$89,5,0)</f>
        <v>113.36520000000003</v>
      </c>
      <c r="EL32" s="13">
        <f t="shared" si="45"/>
        <v>30.122456058687614</v>
      </c>
      <c r="EM32" s="20">
        <f t="shared" si="19"/>
        <v>249.9076676355476</v>
      </c>
      <c r="EN32" s="59">
        <f t="shared" si="20"/>
        <v>543.24100096888094</v>
      </c>
      <c r="EO32" s="59">
        <f ca="1">AVERAGE(OFFSET($EN$3,0,0,'Données projet'!$E$15+1,1))-AVERAGE(OFFSET($H$3,0,0,'Données projet'!$E$15+1,1))</f>
        <v>384.50065773787549</v>
      </c>
      <c r="EP32" s="59">
        <f t="shared" si="46"/>
        <v>231.92898690465887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4.2244771846051599</v>
      </c>
      <c r="EW32" s="21">
        <f>EXP(-LN(2)/25)*EW31+(1-EXP(-LN(2)/25))/(LN(2)/25)*Calculateur!ER32*Calculateur!ET32*VLOOKUP('Données projet'!$B$15,Paramètres!$A$1:$I$89,3,0)*0.475*44/12</f>
        <v>5.2616519642032396</v>
      </c>
      <c r="EX32" s="21">
        <f>EXP(-LN(2)/2)*EX31+(1-EXP(-LN(2)/2))/(LN(2)/2)*ER32*EU32*VLOOKUP('Données projet'!$B$15,Paramètres!$A$1:$I$89,3,0)*0.475*44/12</f>
        <v>2.1613620238399305</v>
      </c>
      <c r="EY32" s="22">
        <f t="shared" si="21"/>
        <v>11.64749117264833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9.1999999999999993</v>
      </c>
      <c r="FE32" s="12">
        <f>IF('Données projet'!$A$218&gt;35,FE31+FD32-FM31,IF(A32&lt;'Données projet'!$A$218,$FB$205^A32,IF(A32='Données projet'!$A$218,'Données projet'!$B$218,FE31+FD32-FM31)))</f>
        <v>111.80000000000003</v>
      </c>
      <c r="FF32" s="17">
        <f>FE32*VLOOKUP('Données projet'!$B$16,Paramètres!$A$1:$I$89,3,0)*VLOOKUP('Données projet'!$B$16,Paramètres!$A$1:$I$89,5,0)</f>
        <v>101.15664000000001</v>
      </c>
      <c r="FG32" s="13">
        <f t="shared" si="47"/>
        <v>27.237366379381644</v>
      </c>
      <c r="FH32" s="20">
        <f t="shared" si="22"/>
        <v>223.61956111075639</v>
      </c>
      <c r="FI32" s="59">
        <f t="shared" si="23"/>
        <v>516.95289444408968</v>
      </c>
      <c r="FJ32" s="59">
        <f ca="1">AVERAGE(OFFSET($FI$3,0,0,'Données projet'!$E$16+1,1))-AVERAGE(OFFSET($H$3,0,0,'Données projet'!$E$16+1,1))</f>
        <v>326.46362829268969</v>
      </c>
      <c r="FK32" s="59">
        <f t="shared" si="48"/>
        <v>203.5274665601915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3.7695334878015259</v>
      </c>
      <c r="FR32" s="21">
        <f>EXP(-LN(2)/25)*FR31+(1-EXP(-LN(2)/25))/(LN(2)/25)*Calculateur!FM32*Calculateur!FO32*VLOOKUP('Données projet'!$B$16,Paramètres!$A$1:$I$89,3,0)*0.475*44/12</f>
        <v>4.6950125219044292</v>
      </c>
      <c r="FS32" s="21">
        <f>EXP(-LN(2)/2)*FS31+(1-EXP(-LN(2)/2))/(LN(2)/2)*FM32*FP32*VLOOKUP('Données projet'!$B$16,Paramètres!$A$1:$I$89,3,0)*0.475*44/12</f>
        <v>1.9285999597340917</v>
      </c>
      <c r="FT32" s="22">
        <f t="shared" si="24"/>
        <v>10.393145969440047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9.1999999999999993</v>
      </c>
      <c r="FZ32" s="12">
        <f>IF('Données projet'!$A$244&gt;35,FZ31+FY32-GH31,IF(A32&lt;'Données projet'!$A$244,$FW$205^A32,IF(A32='Données projet'!$A$244,'Données projet'!$B$244,FZ31+FY32-GH31)))</f>
        <v>111.80000000000003</v>
      </c>
      <c r="GA32" s="17">
        <f>FZ32*VLOOKUP('Données projet'!$B$17,Paramètres!$A$1:$I$89,3,0)*VLOOKUP('Données projet'!$B$17,Paramètres!$A$1:$I$89,5,0)</f>
        <v>108.13296000000003</v>
      </c>
      <c r="GB32" s="13">
        <f t="shared" si="49"/>
        <v>28.890658079177882</v>
      </c>
      <c r="GC32" s="20">
        <f t="shared" si="25"/>
        <v>238.64946815456821</v>
      </c>
      <c r="GD32" s="59">
        <f t="shared" si="26"/>
        <v>531.9828014879015</v>
      </c>
      <c r="GE32" s="59">
        <f ca="1">AVERAGE(OFFSET($GD$3,0,0,'Données projet'!$E$17+1,1))-AVERAGE(OFFSET($H$3,0,0,'Données projet'!$E$17+1,1))</f>
        <v>353.24082990916918</v>
      </c>
      <c r="GF32" s="59">
        <f t="shared" si="50"/>
        <v>219.76562717496353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4.0295013145464615</v>
      </c>
      <c r="GM32" s="21">
        <f>EXP(-LN(2)/25)*GM31+(1-EXP(-LN(2)/25))/(LN(2)/25)*Calculateur!GH32*Calculateur!GJ32*VLOOKUP('Données projet'!$B$17,Paramètres!$A$1:$I$89,3,0)*0.475*44/12</f>
        <v>5.018806488932321</v>
      </c>
      <c r="GN32" s="21">
        <f>EXP(-LN(2)/2)*GN31+(1-EXP(-LN(2)/2))/(LN(2)/2)*GH32*GK32*VLOOKUP('Données projet'!$B$17,Paramètres!$A$1:$I$89,3,0)*0.475*44/12</f>
        <v>2.0616068535088572</v>
      </c>
      <c r="GO32" s="21">
        <f t="shared" si="27"/>
        <v>11.109914656987639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378.17323480030268</v>
      </c>
      <c r="T33" s="59">
        <f t="shared" si="34"/>
        <v>471.89239871617241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4.4048042117087762</v>
      </c>
      <c r="AA33" s="21">
        <f>EXP(-LN(2)/25)*AA32+(1-EXP(-LN(2)/25))/(LN(2)/25)*Calculateur!V33*Calculateur!X33*VLOOKUP('Données projet'!$B$9,Paramètres!$A$1:$I$89,3,0)*0.475*44/12</f>
        <v>20.801395432623917</v>
      </c>
      <c r="AB33" s="21">
        <f>EXP(-LN(2)/2)*AB32+(1-EXP(-LN(2)/2))/(LN(2)/2)*V33*Y33*VLOOKUP('Données projet'!$B$9,Paramètres!$A$1:$I$89,3,0)*0.475*44/12</f>
        <v>10.460590931073346</v>
      </c>
      <c r="AC33" s="22">
        <f t="shared" si="3"/>
        <v>35.66679057540604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11.666666666666666</v>
      </c>
      <c r="AI33" s="13">
        <f>IF('Données projet'!$A$62&gt;35,AI32+AH33-AQ32,IF(A33&lt;'Données projet'!$A$62,$AF$205^A33,IF(A33='Données projet'!$A$62,'Données projet'!$B$62,AI32+AH33-AQ32)))</f>
        <v>146.33333333333331</v>
      </c>
      <c r="AJ33" s="13">
        <f>AI33*VLOOKUP('Données projet'!$B$10,Paramètres!$A$1:$I$89,3,0)*VLOOKUP('Données projet'!$B$10,Paramètres!$A$1:$I$89,5,0)</f>
        <v>87.507333333333335</v>
      </c>
      <c r="AK33" s="13">
        <f t="shared" si="35"/>
        <v>23.963074638099123</v>
      </c>
      <c r="AL33" s="20">
        <f t="shared" si="4"/>
        <v>194.14429388357817</v>
      </c>
      <c r="AM33" s="59">
        <f t="shared" si="5"/>
        <v>487.47762721691151</v>
      </c>
      <c r="AN33" s="59">
        <f ca="1">AVERAGE(OFFSET($AM$3,0,0,'Données projet'!$E$10+1,1))-AVERAGE(OFFSET($H$3,0,0,'Données projet'!$E$10+1,1))</f>
        <v>141.22849894256314</v>
      </c>
      <c r="AO33" s="59">
        <f t="shared" si="36"/>
        <v>156.12101479343704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7.3553314268603698</v>
      </c>
      <c r="AV33" s="21">
        <f>EXP(-LN(2)/25)*AV32+(1-EXP(-LN(2)/25))/(LN(2)/25)*Calculateur!AQ33*Calculateur!AS33*VLOOKUP('Données projet'!$B$10,Paramètres!$A$1:$I$89,3,0)*0.475*44/12</f>
        <v>6.022537731040269</v>
      </c>
      <c r="AW33" s="21">
        <f>EXP(-LN(2)/2)*AW32+(1-EXP(-LN(2)/2))/(LN(2)/2)*AQ33*AT33*VLOOKUP('Données projet'!$B$10,Paramètres!$A$1:$I$89,3,0)*0.475*44/12</f>
        <v>2.957971030191612</v>
      </c>
      <c r="AX33" s="21">
        <f t="shared" si="6"/>
        <v>16.335840188092252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224</v>
      </c>
      <c r="BB33" s="12">
        <f>VLOOKUP(A33,'Données projet'!$A$87:$I$107,9,0)</f>
        <v>14.166666666666666</v>
      </c>
      <c r="BC33" s="12">
        <f t="array" ref="BC33">INDEX(BB:BB,MIN(IF(ISNUMBER(BB33:BB229),ROW(BB33:BB229),"")))</f>
        <v>14.166666666666666</v>
      </c>
      <c r="BD33" s="12">
        <f>IF('Données projet'!$A$88&gt;35,BD32+BC33-BL32,IF(A33&lt;'Données projet'!$A$88,$BA$205^A33,IF(A33='Données projet'!$A$88,'Données projet'!$B$88,BD32+BC33-BL32)))</f>
        <v>223.99999999999994</v>
      </c>
      <c r="BE33" s="13">
        <f>BD33*VLOOKUP('Données projet'!$B$11,Paramètres!$A$1:$I$89,3,0)*VLOOKUP('Données projet'!$B$11,Paramètres!$A$1:$I$89,5,0)</f>
        <v>99.007999999999981</v>
      </c>
      <c r="BF33" s="13">
        <f t="shared" si="37"/>
        <v>26.725530277452449</v>
      </c>
      <c r="BG33" s="20">
        <f t="shared" si="7"/>
        <v>218.98589856656301</v>
      </c>
      <c r="BH33" s="59">
        <f t="shared" si="8"/>
        <v>512.31923189989629</v>
      </c>
      <c r="BI33" s="59">
        <f ca="1">AVERAGE(OFFSET($BH$3,0,0,'Données projet'!$E$11+1,1))-AVERAGE(OFFSET($H$3,0,0,'Données projet'!$E$11+1,1))</f>
        <v>114.25511901730295</v>
      </c>
      <c r="BJ33" s="59">
        <f t="shared" si="38"/>
        <v>180.96261947642182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0.33</v>
      </c>
      <c r="BO33" s="16">
        <f>IF(ISNA(VLOOKUP(A33,'Données projet'!$A$87:$I$107,7,0)),0%,VLOOKUP(A33,'Données projet'!$A$87:$I$107,7,0))</f>
        <v>0.2</v>
      </c>
      <c r="BP33" s="21">
        <f>EXP(-LN(2)/35)*BP32+(1-EXP(-LN(2)/35))/(LN(2)/35)*BL33*BM33*VLOOKUP('Données projet'!$B$11,Paramètres!$A$1:$I$89,3,0)*0.475*44/12</f>
        <v>3.4183708826439343</v>
      </c>
      <c r="BQ33" s="21">
        <f>EXP(-LN(2)/25)*BQ32+(1-EXP(-LN(2)/25))/(LN(2)/25)*Calculateur!BL33*Calculateur!BN33*VLOOKUP('Données projet'!$B$11,Paramètres!$A$1:$I$89,3,0)*0.475*44/12</f>
        <v>17.815196418506119</v>
      </c>
      <c r="BR33" s="21">
        <f>EXP(-LN(2)/2)*BR32+(1-EXP(-LN(2)/2))/(LN(2)/2)*BL33*BO33*VLOOKUP('Données projet'!$B$11,Paramètres!$A$1:$I$89,3,0)*0.475*44/12</f>
        <v>6.8320625381817965</v>
      </c>
      <c r="BS33" s="22">
        <f t="shared" si="9"/>
        <v>28.065629839331848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11.5</v>
      </c>
      <c r="BY33" s="12">
        <f>IF('Données projet'!$A$114&gt;35,BY32+BX33-CG32,IF(A33&lt;'Données projet'!$A$114,$BV$205^A33,IF(A33='Données projet'!$A$114,'Données projet'!$B$114,BY32+BX33-CG32)))</f>
        <v>143.49999999999994</v>
      </c>
      <c r="BZ33" s="13">
        <f>BY33*VLOOKUP('Données projet'!$B$12,Paramètres!$A$1:$I$89,3,0)*VLOOKUP('Données projet'!$B$12,Paramètres!$A$1:$I$89,5,0)</f>
        <v>111.92999999999996</v>
      </c>
      <c r="CA33" s="13">
        <f t="shared" si="39"/>
        <v>29.785246291563833</v>
      </c>
      <c r="CB33" s="20">
        <f t="shared" si="10"/>
        <v>246.82072062447358</v>
      </c>
      <c r="CC33" s="59">
        <f t="shared" si="11"/>
        <v>540.15405395780692</v>
      </c>
      <c r="CD33" s="59">
        <f ca="1">AVERAGE(OFFSET($CC$3,0,0,'Données projet'!$E$12+1,1))-AVERAGE(OFFSET($H$3,0,0,'Données projet'!$E$12+1,1))</f>
        <v>216.95993967070063</v>
      </c>
      <c r="CE33" s="59">
        <f t="shared" si="40"/>
        <v>208.79744153433245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5.1666259035127302</v>
      </c>
      <c r="CL33" s="21">
        <f>EXP(-LN(2)/25)*CL32+(1-EXP(-LN(2)/25))/(LN(2)/25)*Calculateur!CG33*Calculateur!CI33*VLOOKUP('Données projet'!$B$12,Paramètres!$A$1:$I$89,3,0)*0.475*44/12</f>
        <v>6.4173562361986871</v>
      </c>
      <c r="CM33" s="21">
        <f>EXP(-LN(2)/2)*CM32+(1-EXP(-LN(2)/2))/(LN(2)/2)*CG33*CJ33*VLOOKUP('Données projet'!$B$12,Paramètres!$A$1:$I$89,3,0)*0.475*44/12</f>
        <v>1.233608356503527</v>
      </c>
      <c r="CN33" s="22">
        <f t="shared" si="12"/>
        <v>12.817590496214944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11.5</v>
      </c>
      <c r="CT33" s="12">
        <f>IF('Données projet'!$A$140&gt;35,CT32+CS33-DB32,IF(A33&lt;'Données projet'!$A$140,$CQ$205^A33,IF(A33='Données projet'!$A$140,'Données projet'!$B$140,CT32+CS33-DB32)))</f>
        <v>143.49999999999994</v>
      </c>
      <c r="CU33" s="17">
        <f>CT33*VLOOKUP('Données projet'!$B$13,Paramètres!$A$1:$I$89,3,0)*VLOOKUP('Données projet'!$B$13,Paramètres!$A$1:$I$89,5,0)</f>
        <v>96.25979999999997</v>
      </c>
      <c r="CV33" s="13">
        <f t="shared" si="41"/>
        <v>26.068979293748086</v>
      </c>
      <c r="CW33" s="20">
        <f t="shared" si="13"/>
        <v>213.05595726994454</v>
      </c>
      <c r="CX33" s="59">
        <f t="shared" si="14"/>
        <v>506.38929060327786</v>
      </c>
      <c r="CY33" s="59">
        <f ca="1">AVERAGE(OFFSET($CX$3,0,0,'Données projet'!$E$13+1,1))-AVERAGE(OFFSET($H$3,0,0,'Données projet'!$E$13+1,1))</f>
        <v>181.32837315090507</v>
      </c>
      <c r="CZ33" s="59">
        <f t="shared" si="42"/>
        <v>175.03267817980338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5.4766234577234911</v>
      </c>
      <c r="DG33" s="21">
        <f>EXP(-LN(2)/25)*DG32+(1-EXP(-LN(2)/25))/(LN(2)/25)*Calculateur!DB33*Calculateur!DD33*VLOOKUP('Données projet'!$B$13,Paramètres!$A$1:$I$89,3,0)*0.475*44/12</f>
        <v>6.8023976103706101</v>
      </c>
      <c r="DH33" s="21">
        <f>EXP(-LN(2)/2)*DH32+(1-EXP(-LN(2)/2))/(LN(2)/2)*DB33*DE33*VLOOKUP('Données projet'!$B$13,Paramètres!$A$1:$I$89,3,0)*0.475*44/12</f>
        <v>1.0609031865930327</v>
      </c>
      <c r="DI33" s="22">
        <f t="shared" si="15"/>
        <v>13.339924254687133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205</v>
      </c>
      <c r="DM33" s="12">
        <f>VLOOKUP(A33,'Données projet'!$A$165:$I$185,9,0)</f>
        <v>16.399999999999999</v>
      </c>
      <c r="DN33" s="12">
        <f t="array" ref="DN33">INDEX(DM:DM,MIN(IF(ISNUMBER(DM33:DM229),ROW(DM33:DM229),"")))</f>
        <v>16.399999999999999</v>
      </c>
      <c r="DO33" s="12">
        <f>IF('Données projet'!$A$166&gt;35,DO32+DN33-DW32,IF(A33&lt;'Données projet'!$A$166,$DL$205^A33,IF(A33='Données projet'!$A$166,'Données projet'!$B$166,DO32+DN33-DW32)))</f>
        <v>205.00000000000006</v>
      </c>
      <c r="DP33" s="17">
        <f>DO33*VLOOKUP('Données projet'!$B$14,Paramètres!$A$1:$I$89,3,0)*VLOOKUP('Données projet'!$B$14,Paramètres!$A$1:$I$89,5,0)</f>
        <v>163.09800000000004</v>
      </c>
      <c r="DQ33" s="13">
        <f t="shared" si="43"/>
        <v>41.540496136845142</v>
      </c>
      <c r="DR33" s="20">
        <f t="shared" si="16"/>
        <v>356.41204743833867</v>
      </c>
      <c r="DS33" s="59">
        <f t="shared" si="17"/>
        <v>649.74538077167199</v>
      </c>
      <c r="DT33" s="59">
        <f ca="1">AVERAGE(OFFSET($DS$3,0,0,'Données projet'!$E$14+1,1))-AVERAGE(OFFSET($H$3,0,0,'Données projet'!$E$14+1,1))</f>
        <v>325.72928944930294</v>
      </c>
      <c r="DU33" s="59">
        <f t="shared" si="44"/>
        <v>318.38876834819752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0.159</v>
      </c>
      <c r="DY33" s="16">
        <f>IF(ISNA(VLOOKUP(A33,'Données projet'!$A$165:$I$185,6,0)),0%,VLOOKUP(A33,'Données projet'!$A$165:$I$185,6,0)*VLOOKUP('Données projet'!$B$14,Paramètres!$A$1:$I$89,7,0))</f>
        <v>0.21200000000000002</v>
      </c>
      <c r="DZ33" s="16">
        <f>IF(ISNA(VLOOKUP(A33,'Données projet'!$A$165:$I$185,7,0)),0%,VLOOKUP(A33,'Données projet'!$A$165:$I$185,7,0))</f>
        <v>0.3</v>
      </c>
      <c r="EA33" s="21">
        <f>EXP(-LN(2)/35)*EA32+(1-EXP(-LN(2)/35))/(LN(2)/35)*DW33*DX33*VLOOKUP('Données projet'!$B$14,Paramètres!$A$1:$I$89,3,0)*0.475*44/12</f>
        <v>17.314411104657363</v>
      </c>
      <c r="EB33" s="21">
        <f>EXP(-LN(2)/25)*EB32+(1-EXP(-LN(2)/25))/(LN(2)/25)*Calculateur!DW33*Calculateur!DY33*VLOOKUP('Données projet'!$B$14,Paramètres!$A$1:$I$89,3,0)*0.475*44/12</f>
        <v>20.679880866273201</v>
      </c>
      <c r="EC33" s="21">
        <f>EXP(-LN(2)/2)*EC32+(1-EXP(-LN(2)/2))/(LN(2)/2)*DW33*DZ33*VLOOKUP('Données projet'!$B$14,Paramètres!$A$1:$I$89,3,0)*0.475*44/12</f>
        <v>11.829721034084063</v>
      </c>
      <c r="ED33" s="22">
        <f t="shared" si="18"/>
        <v>49.824013005014621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121</v>
      </c>
      <c r="EH33" s="12">
        <f>VLOOKUP(A33,'Données projet'!$A$191:$I$211,9,0)</f>
        <v>9.1999999999999993</v>
      </c>
      <c r="EI33" s="12">
        <f t="array" ref="EI33">INDEX(EH:EH,MIN(IF(ISNUMBER(EH33:EH229),ROW(EH33:EH229),"")))</f>
        <v>9.1999999999999993</v>
      </c>
      <c r="EJ33" s="12">
        <f>IF('Données projet'!$A$192&gt;35,EJ32+EI33-ER32,IF(A33&lt;'Données projet'!$A$192,$EG$205^A33,IF(A33='Données projet'!$A$192,'Données projet'!$B$192,EJ32+EI33-ER32)))</f>
        <v>121.00000000000003</v>
      </c>
      <c r="EK33" s="17">
        <f>EJ33*VLOOKUP('Données projet'!$B$15,Paramètres!$A$1:$I$89,3,0)*VLOOKUP('Données projet'!$B$15,Paramètres!$A$1:$I$89,5,0)</f>
        <v>122.69400000000003</v>
      </c>
      <c r="EL33" s="13">
        <f t="shared" si="45"/>
        <v>32.302516360650685</v>
      </c>
      <c r="EM33" s="20">
        <f t="shared" si="19"/>
        <v>269.95226599480003</v>
      </c>
      <c r="EN33" s="59">
        <f t="shared" si="20"/>
        <v>563.28559932813334</v>
      </c>
      <c r="EO33" s="59">
        <f ca="1">AVERAGE(OFFSET($EN$3,0,0,'Données projet'!$E$15+1,1))-AVERAGE(OFFSET($H$3,0,0,'Données projet'!$E$15+1,1))</f>
        <v>384.50065773787549</v>
      </c>
      <c r="EP33" s="59">
        <f t="shared" si="46"/>
        <v>231.92898690465887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0.129</v>
      </c>
      <c r="ET33" s="16">
        <f>IF(ISNA(VLOOKUP(A33,'Données projet'!$A$191:$I$211,6,0)),0%,VLOOKUP(A33,'Données projet'!$A$191:$I$211,6,0)*VLOOKUP('Données projet'!$B$15,Paramètres!$A$1:$I$89,7,0))</f>
        <v>0.17200000000000001</v>
      </c>
      <c r="EU33" s="16">
        <f>IF(ISNA(VLOOKUP(A33,'Données projet'!$A$191:$I$211,7,0)),0%,VLOOKUP(A33,'Données projet'!$A$191:$I$211,7,0))</f>
        <v>0.3</v>
      </c>
      <c r="EV33" s="21">
        <f>EXP(-LN(2)/35)*EV32+(1-EXP(-LN(2)/35))/(LN(2)/35)*ER33*ES33*VLOOKUP('Données projet'!$B$15,Paramètres!$A$1:$I$89,3,0)*0.475*44/12</f>
        <v>8.1904982007169487</v>
      </c>
      <c r="EW33" s="21">
        <f>EXP(-LN(2)/25)*EW32+(1-EXP(-LN(2)/25))/(LN(2)/25)*Calculateur!ER33*Calculateur!ET33*VLOOKUP('Données projet'!$B$15,Paramètres!$A$1:$I$89,3,0)*0.475*44/12</f>
        <v>10.49499652220771</v>
      </c>
      <c r="EX33" s="21">
        <f>EXP(-LN(2)/2)*EX32+(1-EXP(-LN(2)/2))/(LN(2)/2)*ER33*EU33*VLOOKUP('Données projet'!$B$15,Paramètres!$A$1:$I$89,3,0)*0.475*44/12</f>
        <v>9.5648985914991496</v>
      </c>
      <c r="EY33" s="22">
        <f t="shared" si="21"/>
        <v>28.25039331442381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121</v>
      </c>
      <c r="FC33" s="12">
        <f>VLOOKUP(A33,'Données projet'!$A$217:$I$237,9,0)</f>
        <v>9.1999999999999993</v>
      </c>
      <c r="FD33" s="12">
        <f t="array" ref="FD33">INDEX(FC:FC,MIN(IF(ISNUMBER(FC33:FC229),ROW(FC33:FC229),"")))</f>
        <v>9.1999999999999993</v>
      </c>
      <c r="FE33" s="12">
        <f>IF('Données projet'!$A$218&gt;35,FE32+FD33-FM32,IF(A33&lt;'Données projet'!$A$218,$FB$205^A33,IF(A33='Données projet'!$A$218,'Données projet'!$B$218,FE32+FD33-FM32)))</f>
        <v>121.00000000000003</v>
      </c>
      <c r="FF33" s="17">
        <f>FE33*VLOOKUP('Données projet'!$B$16,Paramètres!$A$1:$I$89,3,0)*VLOOKUP('Données projet'!$B$16,Paramètres!$A$1:$I$89,5,0)</f>
        <v>109.48080000000002</v>
      </c>
      <c r="FG33" s="13">
        <f t="shared" si="47"/>
        <v>29.208623339903898</v>
      </c>
      <c r="FH33" s="20">
        <f t="shared" si="22"/>
        <v>241.55074565033269</v>
      </c>
      <c r="FI33" s="59">
        <f t="shared" si="23"/>
        <v>534.88407898366597</v>
      </c>
      <c r="FJ33" s="59">
        <f ca="1">AVERAGE(OFFSET($FI$3,0,0,'Données projet'!$E$16+1,1))-AVERAGE(OFFSET($H$3,0,0,'Données projet'!$E$16+1,1))</f>
        <v>326.46362829268969</v>
      </c>
      <c r="FK33" s="59">
        <f t="shared" si="48"/>
        <v>203.5274665601915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0.129</v>
      </c>
      <c r="FO33" s="16">
        <f>IF(ISNA(VLOOKUP(A33,'Données projet'!$A$217:$I$237,6,0)),0%,VLOOKUP(A33,'Données projet'!$A$217:$I$237,6,0)*VLOOKUP('Données projet'!$B$16,Paramètres!$A$1:$I$89,7,0))</f>
        <v>0.17200000000000001</v>
      </c>
      <c r="FP33" s="16">
        <f>IF(ISNA(VLOOKUP(A33,'Données projet'!$A$217:$I$237,7,0)),0%,VLOOKUP(A33,'Données projet'!$A$217:$I$237,7,0))</f>
        <v>0.3</v>
      </c>
      <c r="FQ33" s="21">
        <f>EXP(-LN(2)/35)*FQ32+(1-EXP(-LN(2)/35))/(LN(2)/35)*FM33*FN33*VLOOKUP('Données projet'!$B$16,Paramètres!$A$1:$I$89,3,0)*0.475*44/12</f>
        <v>7.3084445483320444</v>
      </c>
      <c r="FR33" s="21">
        <f>EXP(-LN(2)/25)*FR32+(1-EXP(-LN(2)/25))/(LN(2)/25)*Calculateur!FM33*Calculateur!FO33*VLOOKUP('Données projet'!$B$16,Paramètres!$A$1:$I$89,3,0)*0.475*44/12</f>
        <v>9.3647661275084193</v>
      </c>
      <c r="FS33" s="21">
        <f>EXP(-LN(2)/2)*FS32+(1-EXP(-LN(2)/2))/(LN(2)/2)*FM33*FP33*VLOOKUP('Données projet'!$B$16,Paramètres!$A$1:$I$89,3,0)*0.475*44/12</f>
        <v>8.5348325893377019</v>
      </c>
      <c r="FT33" s="22">
        <f t="shared" si="24"/>
        <v>25.208043265178169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121</v>
      </c>
      <c r="FX33" s="12">
        <f>VLOOKUP(A33,'Données projet'!$A$243:$I$263,9,0)</f>
        <v>9.1999999999999993</v>
      </c>
      <c r="FY33" s="12">
        <f t="array" ref="FY33">INDEX(FX:FX,MIN(IF(ISNUMBER(FX33:FX229),ROW(FX33:FX229),"")))</f>
        <v>9.1999999999999993</v>
      </c>
      <c r="FZ33" s="12">
        <f>IF('Données projet'!$A$244&gt;35,FZ32+FY33-GH32,IF(A33&lt;'Données projet'!$A$244,$FW$205^A33,IF(A33='Données projet'!$A$244,'Données projet'!$B$244,FZ32+FY33-GH32)))</f>
        <v>121.00000000000003</v>
      </c>
      <c r="GA33" s="17">
        <f>FZ33*VLOOKUP('Données projet'!$B$17,Paramètres!$A$1:$I$89,3,0)*VLOOKUP('Données projet'!$B$17,Paramètres!$A$1:$I$89,5,0)</f>
        <v>117.03120000000003</v>
      </c>
      <c r="GB33" s="13">
        <f t="shared" si="49"/>
        <v>30.981569147428555</v>
      </c>
      <c r="GC33" s="20">
        <f t="shared" si="25"/>
        <v>257.78890626510474</v>
      </c>
      <c r="GD33" s="59">
        <f t="shared" si="26"/>
        <v>551.122239598438</v>
      </c>
      <c r="GE33" s="59">
        <f ca="1">AVERAGE(OFFSET($GD$3,0,0,'Données projet'!$E$17+1,1))-AVERAGE(OFFSET($H$3,0,0,'Données projet'!$E$17+1,1))</f>
        <v>353.24082990916918</v>
      </c>
      <c r="GF33" s="59">
        <f t="shared" si="50"/>
        <v>219.76562717496353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0.129</v>
      </c>
      <c r="GJ33" s="16">
        <f>IF(ISNA(VLOOKUP(A33,'Données projet'!$A$243:$I$263,6,0)),0%,VLOOKUP(A33,'Données projet'!$A$243:$I$263,6,0)*VLOOKUP('Données projet'!$B$17,Paramètres!$A$1:$I$89,7,0))</f>
        <v>0.17200000000000001</v>
      </c>
      <c r="GK33" s="16">
        <f>IF(ISNA(VLOOKUP(A33,'Données projet'!$A$243:$I$263,7,0)),0%,VLOOKUP(A33,'Données projet'!$A$243:$I$263,7,0))</f>
        <v>0.3</v>
      </c>
      <c r="GL33" s="21">
        <f>EXP(-LN(2)/35)*GL32+(1-EXP(-LN(2)/35))/(LN(2)/35)*GH33*GI33*VLOOKUP('Données projet'!$B$17,Paramètres!$A$1:$I$89,3,0)*0.475*44/12</f>
        <v>7.8124752068377052</v>
      </c>
      <c r="GM33" s="21">
        <f>EXP(-LN(2)/25)*GM32+(1-EXP(-LN(2)/25))/(LN(2)/25)*Calculateur!GH33*Calculateur!GJ33*VLOOKUP('Données projet'!$B$17,Paramètres!$A$1:$I$89,3,0)*0.475*44/12</f>
        <v>10.010612067336588</v>
      </c>
      <c r="GN33" s="21">
        <f>EXP(-LN(2)/2)*GN32+(1-EXP(-LN(2)/2))/(LN(2)/2)*GH33*GK33*VLOOKUP('Données projet'!$B$17,Paramètres!$A$1:$I$89,3,0)*0.475*44/12</f>
        <v>9.12344173342996</v>
      </c>
      <c r="GO33" s="21">
        <f t="shared" si="27"/>
        <v>26.946529007604251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378.17323480030268</v>
      </c>
      <c r="T34" s="59">
        <f t="shared" si="34"/>
        <v>471.89239871617241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4.3184286877824505</v>
      </c>
      <c r="AA34" s="21">
        <f>EXP(-LN(2)/25)*AA33+(1-EXP(-LN(2)/25))/(LN(2)/25)*Calculateur!V34*Calculateur!X34*VLOOKUP('Données projet'!$B$9,Paramètres!$A$1:$I$89,3,0)*0.475*44/12</f>
        <v>20.232580180620971</v>
      </c>
      <c r="AB34" s="21">
        <f>EXP(-LN(2)/2)*AB33+(1-EXP(-LN(2)/2))/(LN(2)/2)*V34*Y34*VLOOKUP('Données projet'!$B$9,Paramètres!$A$1:$I$89,3,0)*0.475*44/12</f>
        <v>7.3967547825804649</v>
      </c>
      <c r="AC34" s="22">
        <f t="shared" si="3"/>
        <v>31.947763650983887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11.666666666666666</v>
      </c>
      <c r="AI34" s="13">
        <f>IF('Données projet'!$A$62&gt;35,AI33+AH34-AQ33,IF(A34&lt;'Données projet'!$A$62,$AF$205^A34,IF(A34='Données projet'!$A$62,'Données projet'!$B$62,AI33+AH34-AQ33)))</f>
        <v>157.99999999999997</v>
      </c>
      <c r="AJ34" s="13">
        <f>AI34*VLOOKUP('Données projet'!$B$10,Paramètres!$A$1:$I$89,3,0)*VLOOKUP('Données projet'!$B$10,Paramètres!$A$1:$I$89,5,0)</f>
        <v>94.483999999999995</v>
      </c>
      <c r="AK34" s="13">
        <f t="shared" si="35"/>
        <v>25.643578691511802</v>
      </c>
      <c r="AL34" s="20">
        <f t="shared" si="4"/>
        <v>209.22219955438302</v>
      </c>
      <c r="AM34" s="59">
        <f t="shared" si="5"/>
        <v>502.55553288771637</v>
      </c>
      <c r="AN34" s="59">
        <f ca="1">AVERAGE(OFFSET($AM$3,0,0,'Données projet'!$E$10+1,1))-AVERAGE(OFFSET($H$3,0,0,'Données projet'!$E$10+1,1))</f>
        <v>141.22849894256314</v>
      </c>
      <c r="AO34" s="59">
        <f t="shared" si="36"/>
        <v>156.12101479343704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7.2110978638888223</v>
      </c>
      <c r="AV34" s="21">
        <f>EXP(-LN(2)/25)*AV33+(1-EXP(-LN(2)/25))/(LN(2)/25)*Calculateur!AQ34*Calculateur!AS34*VLOOKUP('Données projet'!$B$10,Paramètres!$A$1:$I$89,3,0)*0.475*44/12</f>
        <v>5.8578511200734784</v>
      </c>
      <c r="AW34" s="21">
        <f>EXP(-LN(2)/2)*AW33+(1-EXP(-LN(2)/2))/(LN(2)/2)*AQ34*AT34*VLOOKUP('Données projet'!$B$10,Paramètres!$A$1:$I$89,3,0)*0.475*44/12</f>
        <v>2.0916013740018471</v>
      </c>
      <c r="AX34" s="21">
        <f t="shared" si="6"/>
        <v>15.160550357964148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12.833333333333334</v>
      </c>
      <c r="BD34" s="12">
        <f>IF('Données projet'!$A$88&gt;35,BD33+BC34-BL33,IF(A34&lt;'Données projet'!$A$88,$BA$205^A34,IF(A34='Données projet'!$A$88,'Données projet'!$B$88,BD33+BC34-BL33)))</f>
        <v>183.83333333333329</v>
      </c>
      <c r="BE34" s="13">
        <f>BD34*VLOOKUP('Données projet'!$B$11,Paramètres!$A$1:$I$89,3,0)*VLOOKUP('Données projet'!$B$11,Paramètres!$A$1:$I$89,5,0)</f>
        <v>81.254333333333321</v>
      </c>
      <c r="BF34" s="13">
        <f t="shared" si="37"/>
        <v>22.443596905092981</v>
      </c>
      <c r="BG34" s="20">
        <f t="shared" si="7"/>
        <v>180.60722849859246</v>
      </c>
      <c r="BH34" s="59">
        <f t="shared" si="8"/>
        <v>473.94056183192578</v>
      </c>
      <c r="BI34" s="59">
        <f ca="1">AVERAGE(OFFSET($BH$3,0,0,'Données projet'!$E$11+1,1))-AVERAGE(OFFSET($H$3,0,0,'Données projet'!$E$11+1,1))</f>
        <v>114.25511901730295</v>
      </c>
      <c r="BJ34" s="59">
        <f t="shared" si="38"/>
        <v>180.96261947642182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3.3513387146356486</v>
      </c>
      <c r="BQ34" s="21">
        <f>EXP(-LN(2)/25)*BQ33+(1-EXP(-LN(2)/25))/(LN(2)/25)*Calculateur!BL34*Calculateur!BN34*VLOOKUP('Données projet'!$B$11,Paramètres!$A$1:$I$89,3,0)*0.475*44/12</f>
        <v>17.328038935581606</v>
      </c>
      <c r="BR34" s="21">
        <f>EXP(-LN(2)/2)*BR33+(1-EXP(-LN(2)/2))/(LN(2)/2)*BL34*BO34*VLOOKUP('Données projet'!$B$11,Paramètres!$A$1:$I$89,3,0)*0.475*44/12</f>
        <v>4.8309977502389243</v>
      </c>
      <c r="BS34" s="22">
        <f t="shared" si="9"/>
        <v>25.51037540045618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155</v>
      </c>
      <c r="BW34" s="12">
        <f>VLOOKUP(A34,'Données projet'!$A$113:$I$133,9,0)</f>
        <v>11.5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154.99999999999994</v>
      </c>
      <c r="BZ34" s="13">
        <f>BY34*VLOOKUP('Données projet'!$B$12,Paramètres!$A$1:$I$89,3,0)*VLOOKUP('Données projet'!$B$12,Paramètres!$A$1:$I$89,5,0)</f>
        <v>120.89999999999996</v>
      </c>
      <c r="CA34" s="13">
        <f t="shared" si="39"/>
        <v>31.884818143351602</v>
      </c>
      <c r="CB34" s="20">
        <f t="shared" si="10"/>
        <v>266.10022493300397</v>
      </c>
      <c r="CC34" s="59">
        <f t="shared" si="11"/>
        <v>559.43355826633729</v>
      </c>
      <c r="CD34" s="59">
        <f ca="1">AVERAGE(OFFSET($CC$3,0,0,'Données projet'!$E$12+1,1))-AVERAGE(OFFSET($H$3,0,0,'Données projet'!$E$12+1,1))</f>
        <v>216.95993967070063</v>
      </c>
      <c r="CE34" s="59">
        <f t="shared" si="40"/>
        <v>208.79744153433245</v>
      </c>
      <c r="CF34" s="15">
        <f>IF(ISNA(VLOOKUP(A34,'Données projet'!$A$113:$I$133,3,0)),0,VLOOKUP(A34,'Données projet'!$A$113:$I$133,3,0))</f>
        <v>4</v>
      </c>
      <c r="CG34" s="15">
        <f>IF(ISNA(VLOOKUP(A34,'Données projet'!$A$113:$I$133,4,0)),0,VLOOKUP(A34,'Données projet'!$A$113:$I$133,4,0))</f>
        <v>36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5.0653115208754791</v>
      </c>
      <c r="CL34" s="21">
        <f>EXP(-LN(2)/25)*CL33+(1-EXP(-LN(2)/25))/(LN(2)/25)*Calculateur!CG34*Calculateur!CI34*VLOOKUP('Données projet'!$B$12,Paramètres!$A$1:$I$89,3,0)*0.475*44/12</f>
        <v>6.241873292445737</v>
      </c>
      <c r="CM34" s="21">
        <f>EXP(-LN(2)/2)*CM33+(1-EXP(-LN(2)/2))/(LN(2)/2)*CG34*CJ34*VLOOKUP('Données projet'!$B$12,Paramètres!$A$1:$I$89,3,0)*0.475*44/12</f>
        <v>0.87229283421203596</v>
      </c>
      <c r="CN34" s="22">
        <f t="shared" si="12"/>
        <v>12.179477647533252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155</v>
      </c>
      <c r="CR34" s="12">
        <f>VLOOKUP(A34,'Données projet'!$A$139:$I$159,9,0)</f>
        <v>11.5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154.99999999999994</v>
      </c>
      <c r="CU34" s="17">
        <f>CT34*VLOOKUP('Données projet'!$B$13,Paramètres!$A$1:$I$89,3,0)*VLOOKUP('Données projet'!$B$13,Paramètres!$A$1:$I$89,5,0)</f>
        <v>103.97399999999996</v>
      </c>
      <c r="CV34" s="13">
        <f t="shared" si="41"/>
        <v>27.906590257048865</v>
      </c>
      <c r="CW34" s="20">
        <f t="shared" si="13"/>
        <v>229.69202803102669</v>
      </c>
      <c r="CX34" s="59">
        <f t="shared" si="14"/>
        <v>523.02536136436004</v>
      </c>
      <c r="CY34" s="59">
        <f ca="1">AVERAGE(OFFSET($CX$3,0,0,'Données projet'!$E$13+1,1))-AVERAGE(OFFSET($H$3,0,0,'Données projet'!$E$13+1,1))</f>
        <v>181.32837315090507</v>
      </c>
      <c r="CZ34" s="59">
        <f t="shared" si="42"/>
        <v>175.03267817980338</v>
      </c>
      <c r="DA34" s="15">
        <f>IF(ISNA(VLOOKUP(A34,'Données projet'!$A$139:$I$159,3,0)),0,VLOOKUP(A34,'Données projet'!$A$139:$I$159,3,0))</f>
        <v>4</v>
      </c>
      <c r="DB34" s="15">
        <f>IF(ISNA(VLOOKUP(A34,'Données projet'!$A$139:$I$159,4,0)),0,VLOOKUP(A34,'Données projet'!$A$139:$I$159,4,0))</f>
        <v>36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5.3692302121280049</v>
      </c>
      <c r="DG34" s="21">
        <f>EXP(-LN(2)/25)*DG33+(1-EXP(-LN(2)/25))/(LN(2)/25)*Calculateur!DB34*Calculateur!DD34*VLOOKUP('Données projet'!$B$13,Paramètres!$A$1:$I$89,3,0)*0.475*44/12</f>
        <v>6.6163856899924829</v>
      </c>
      <c r="DH34" s="21">
        <f>EXP(-LN(2)/2)*DH33+(1-EXP(-LN(2)/2))/(LN(2)/2)*DB34*DE34*VLOOKUP('Données projet'!$B$13,Paramètres!$A$1:$I$89,3,0)*0.475*44/12</f>
        <v>0.75017183742235061</v>
      </c>
      <c r="DI34" s="22">
        <f t="shared" si="15"/>
        <v>12.735787739542838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15.2</v>
      </c>
      <c r="DO34" s="12">
        <f>IF('Données projet'!$A$166&gt;35,DO33+DN34-DW33,IF(A34&lt;'Données projet'!$A$166,$DL$205^A34,IF(A34='Données projet'!$A$166,'Données projet'!$B$166,DO33+DN34-DW33)))</f>
        <v>178.20000000000005</v>
      </c>
      <c r="DP34" s="17">
        <f>DO34*VLOOKUP('Données projet'!$B$14,Paramètres!$A$1:$I$89,3,0)*VLOOKUP('Données projet'!$B$14,Paramètres!$A$1:$I$89,5,0)</f>
        <v>141.77592000000004</v>
      </c>
      <c r="DQ34" s="13">
        <f t="shared" si="43"/>
        <v>36.703544878441981</v>
      </c>
      <c r="DR34" s="20">
        <f t="shared" si="16"/>
        <v>310.85173466328649</v>
      </c>
      <c r="DS34" s="59">
        <f t="shared" si="17"/>
        <v>604.18506799661986</v>
      </c>
      <c r="DT34" s="59">
        <f ca="1">AVERAGE(OFFSET($DS$3,0,0,'Données projet'!$E$14+1,1))-AVERAGE(OFFSET($H$3,0,0,'Données projet'!$E$14+1,1))</f>
        <v>325.72928944930294</v>
      </c>
      <c r="DU34" s="59">
        <f t="shared" si="44"/>
        <v>318.38876834819752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16.974886063643019</v>
      </c>
      <c r="EB34" s="21">
        <f>EXP(-LN(2)/25)*EB33+(1-EXP(-LN(2)/25))/(LN(2)/25)*Calculateur!DW34*Calculateur!DY34*VLOOKUP('Données projet'!$B$14,Paramètres!$A$1:$I$89,3,0)*0.475*44/12</f>
        <v>20.114388436477292</v>
      </c>
      <c r="EC34" s="21">
        <f>EXP(-LN(2)/2)*EC33+(1-EXP(-LN(2)/2))/(LN(2)/2)*DW34*DZ34*VLOOKUP('Données projet'!$B$14,Paramètres!$A$1:$I$89,3,0)*0.475*44/12</f>
        <v>8.3648759627459786</v>
      </c>
      <c r="ED34" s="22">
        <f t="shared" si="18"/>
        <v>45.454150462866288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10.8</v>
      </c>
      <c r="EJ34" s="12">
        <f>IF('Données projet'!$A$192&gt;35,EJ33+EI34-ER33,IF(A34&lt;'Données projet'!$A$192,$EG$205^A34,IF(A34='Données projet'!$A$192,'Données projet'!$B$192,EJ33+EI34-ER33)))</f>
        <v>103.80000000000004</v>
      </c>
      <c r="EK34" s="17">
        <f>EJ34*VLOOKUP('Données projet'!$B$15,Paramètres!$A$1:$I$89,3,0)*VLOOKUP('Données projet'!$B$15,Paramètres!$A$1:$I$89,5,0)</f>
        <v>105.25320000000005</v>
      </c>
      <c r="EL34" s="13">
        <f t="shared" si="45"/>
        <v>28.209746498519422</v>
      </c>
      <c r="EM34" s="20">
        <f t="shared" si="19"/>
        <v>232.44796515158808</v>
      </c>
      <c r="EN34" s="59">
        <f t="shared" si="20"/>
        <v>525.78129848492142</v>
      </c>
      <c r="EO34" s="59">
        <f ca="1">AVERAGE(OFFSET($EN$3,0,0,'Données projet'!$E$15+1,1))-AVERAGE(OFFSET($H$3,0,0,'Données projet'!$E$15+1,1))</f>
        <v>384.50065773787549</v>
      </c>
      <c r="EP34" s="59">
        <f t="shared" si="46"/>
        <v>231.92898690465887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8.0298875267115069</v>
      </c>
      <c r="EW34" s="21">
        <f>EXP(-LN(2)/25)*EW33+(1-EXP(-LN(2)/25))/(LN(2)/25)*Calculateur!ER34*Calculateur!ET34*VLOOKUP('Données projet'!$B$15,Paramètres!$A$1:$I$89,3,0)*0.475*44/12</f>
        <v>10.208010290400059</v>
      </c>
      <c r="EX34" s="21">
        <f>EXP(-LN(2)/2)*EX33+(1-EXP(-LN(2)/2))/(LN(2)/2)*ER34*EU34*VLOOKUP('Données projet'!$B$15,Paramètres!$A$1:$I$89,3,0)*0.475*44/12</f>
        <v>6.7634046554107066</v>
      </c>
      <c r="EY34" s="22">
        <f t="shared" si="21"/>
        <v>25.001302472522273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103.80000000000004</v>
      </c>
      <c r="FF34" s="17">
        <f>FE34*VLOOKUP('Données projet'!$B$16,Paramètres!$A$1:$I$89,3,0)*VLOOKUP('Données projet'!$B$16,Paramètres!$A$1:$I$89,5,0)</f>
        <v>93.91824000000004</v>
      </c>
      <c r="FG34" s="13">
        <f t="shared" si="47"/>
        <v>25.507853654186022</v>
      </c>
      <c r="FH34" s="20">
        <f t="shared" si="22"/>
        <v>208.00044644770739</v>
      </c>
      <c r="FI34" s="59">
        <f t="shared" si="23"/>
        <v>501.33377978104068</v>
      </c>
      <c r="FJ34" s="59">
        <f ca="1">AVERAGE(OFFSET($FI$3,0,0,'Données projet'!$E$16+1,1))-AVERAGE(OFFSET($H$3,0,0,'Données projet'!$E$16+1,1))</f>
        <v>326.46362829268969</v>
      </c>
      <c r="FK34" s="59">
        <f t="shared" si="48"/>
        <v>203.5274665601915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7.1651304084502652</v>
      </c>
      <c r="FR34" s="21">
        <f>EXP(-LN(2)/25)*FR33+(1-EXP(-LN(2)/25))/(LN(2)/25)*Calculateur!FM34*Calculateur!FO34*VLOOKUP('Données projet'!$B$16,Paramètres!$A$1:$I$89,3,0)*0.475*44/12</f>
        <v>9.1086861052800536</v>
      </c>
      <c r="FS34" s="21">
        <f>EXP(-LN(2)/2)*FS33+(1-EXP(-LN(2)/2))/(LN(2)/2)*FM34*FP34*VLOOKUP('Données projet'!$B$16,Paramètres!$A$1:$I$89,3,0)*0.475*44/12</f>
        <v>6.03503800021263</v>
      </c>
      <c r="FT34" s="22">
        <f t="shared" si="24"/>
        <v>22.308854513942947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103.80000000000004</v>
      </c>
      <c r="GA34" s="17">
        <f>FZ34*VLOOKUP('Données projet'!$B$17,Paramètres!$A$1:$I$89,3,0)*VLOOKUP('Données projet'!$B$17,Paramètres!$A$1:$I$89,5,0)</f>
        <v>100.39536000000004</v>
      </c>
      <c r="GB34" s="13">
        <f t="shared" si="49"/>
        <v>27.056164975430569</v>
      </c>
      <c r="GC34" s="20">
        <f t="shared" si="25"/>
        <v>221.97807266554162</v>
      </c>
      <c r="GD34" s="59">
        <f t="shared" si="26"/>
        <v>515.31140599887499</v>
      </c>
      <c r="GE34" s="59">
        <f ca="1">AVERAGE(OFFSET($GD$3,0,0,'Données projet'!$E$17+1,1))-AVERAGE(OFFSET($H$3,0,0,'Données projet'!$E$17+1,1))</f>
        <v>353.24082990916918</v>
      </c>
      <c r="GF34" s="59">
        <f t="shared" si="50"/>
        <v>219.76562717496353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7.6592773331709756</v>
      </c>
      <c r="GM34" s="21">
        <f>EXP(-LN(2)/25)*GM33+(1-EXP(-LN(2)/25))/(LN(2)/25)*Calculateur!GH34*Calculateur!GJ34*VLOOKUP('Données projet'!$B$17,Paramètres!$A$1:$I$89,3,0)*0.475*44/12</f>
        <v>9.7368713539200602</v>
      </c>
      <c r="GN34" s="21">
        <f>EXP(-LN(2)/2)*GN33+(1-EXP(-LN(2)/2))/(LN(2)/2)*GH34*GK34*VLOOKUP('Données projet'!$B$17,Paramètres!$A$1:$I$89,3,0)*0.475*44/12</f>
        <v>6.4512475174686754</v>
      </c>
      <c r="GO34" s="21">
        <f t="shared" si="27"/>
        <v>23.847396204559711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378.17323480030268</v>
      </c>
      <c r="T35" s="59">
        <f t="shared" si="34"/>
        <v>471.89239871617241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4.2337469351964518</v>
      </c>
      <c r="AA35" s="21">
        <f>EXP(-LN(2)/25)*AA34+(1-EXP(-LN(2)/25))/(LN(2)/25)*Calculateur!V35*Calculateur!X35*VLOOKUP('Données projet'!$B$9,Paramètres!$A$1:$I$89,3,0)*0.475*44/12</f>
        <v>19.679319211596741</v>
      </c>
      <c r="AB35" s="21">
        <f>EXP(-LN(2)/2)*AB34+(1-EXP(-LN(2)/2))/(LN(2)/2)*V35*Y35*VLOOKUP('Données projet'!$B$9,Paramètres!$A$1:$I$89,3,0)*0.475*44/12</f>
        <v>5.230295465536674</v>
      </c>
      <c r="AC35" s="22">
        <f t="shared" si="3"/>
        <v>29.143361612329866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11.666666666666666</v>
      </c>
      <c r="AI35" s="13">
        <f>IF('Données projet'!$A$62&gt;35,AI34+AH35-AQ34,IF(A35&lt;'Données projet'!$A$62,$AF$205^A35,IF(A35='Données projet'!$A$62,'Données projet'!$B$62,AI34+AH35-AQ34)))</f>
        <v>169.66666666666663</v>
      </c>
      <c r="AJ35" s="13">
        <f>AI35*VLOOKUP('Données projet'!$B$10,Paramètres!$A$1:$I$89,3,0)*VLOOKUP('Données projet'!$B$10,Paramètres!$A$1:$I$89,5,0)</f>
        <v>101.46066666666665</v>
      </c>
      <c r="AK35" s="13">
        <f t="shared" si="35"/>
        <v>27.309687011536219</v>
      </c>
      <c r="AL35" s="20">
        <f t="shared" si="4"/>
        <v>224.27503265620331</v>
      </c>
      <c r="AM35" s="59">
        <f t="shared" si="5"/>
        <v>517.60836598953665</v>
      </c>
      <c r="AN35" s="59">
        <f ca="1">AVERAGE(OFFSET($AM$3,0,0,'Données projet'!$E$10+1,1))-AVERAGE(OFFSET($H$3,0,0,'Données projet'!$E$10+1,1))</f>
        <v>141.22849894256314</v>
      </c>
      <c r="AO35" s="59">
        <f t="shared" si="36"/>
        <v>156.12101479343704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7.0696926331133598</v>
      </c>
      <c r="AV35" s="21">
        <f>EXP(-LN(2)/25)*AV34+(1-EXP(-LN(2)/25))/(LN(2)/25)*Calculateur!AQ35*Calculateur!AS35*VLOOKUP('Données projet'!$B$10,Paramètres!$A$1:$I$89,3,0)*0.475*44/12</f>
        <v>5.6976678731440673</v>
      </c>
      <c r="AW35" s="21">
        <f>EXP(-LN(2)/2)*AW34+(1-EXP(-LN(2)/2))/(LN(2)/2)*AQ35*AT35*VLOOKUP('Données projet'!$B$10,Paramètres!$A$1:$I$89,3,0)*0.475*44/12</f>
        <v>1.4789855150958064</v>
      </c>
      <c r="AX35" s="21">
        <f t="shared" si="6"/>
        <v>14.246346021353233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12.833333333333334</v>
      </c>
      <c r="BD35" s="12">
        <f>IF('Données projet'!$A$88&gt;35,BD34+BC35-BL34,IF(A35&lt;'Données projet'!$A$88,$BA$205^A35,IF(A35='Données projet'!$A$88,'Données projet'!$B$88,BD34+BC35-BL34)))</f>
        <v>196.66666666666663</v>
      </c>
      <c r="BE35" s="13">
        <f>BD35*VLOOKUP('Données projet'!$B$11,Paramètres!$A$1:$I$89,3,0)*VLOOKUP('Données projet'!$B$11,Paramètres!$A$1:$I$89,5,0)</f>
        <v>86.926666666666662</v>
      </c>
      <c r="BF35" s="13">
        <f t="shared" si="37"/>
        <v>23.822518829133312</v>
      </c>
      <c r="BG35" s="20">
        <f t="shared" si="7"/>
        <v>192.88816473851827</v>
      </c>
      <c r="BH35" s="59">
        <f t="shared" si="8"/>
        <v>486.22149807185156</v>
      </c>
      <c r="BI35" s="59">
        <f ca="1">AVERAGE(OFFSET($BH$3,0,0,'Données projet'!$E$11+1,1))-AVERAGE(OFFSET($H$3,0,0,'Données projet'!$E$11+1,1))</f>
        <v>114.25511901730295</v>
      </c>
      <c r="BJ35" s="59">
        <f t="shared" si="38"/>
        <v>180.96261947642182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3.2856210065564198</v>
      </c>
      <c r="BQ35" s="21">
        <f>EXP(-LN(2)/25)*BQ34+(1-EXP(-LN(2)/25))/(LN(2)/25)*Calculateur!BL35*Calculateur!BN35*VLOOKUP('Données projet'!$B$11,Paramètres!$A$1:$I$89,3,0)*0.475*44/12</f>
        <v>16.854202799646163</v>
      </c>
      <c r="BR35" s="21">
        <f>EXP(-LN(2)/2)*BR34+(1-EXP(-LN(2)/2))/(LN(2)/2)*BL35*BO35*VLOOKUP('Données projet'!$B$11,Paramètres!$A$1:$I$89,3,0)*0.475*44/12</f>
        <v>3.4160312690908987</v>
      </c>
      <c r="BS35" s="22">
        <f t="shared" si="9"/>
        <v>23.555855075293479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130.49999999999994</v>
      </c>
      <c r="BZ35" s="13">
        <f>BY35*VLOOKUP('Données projet'!$B$12,Paramètres!$A$1:$I$89,3,0)*VLOOKUP('Données projet'!$B$12,Paramètres!$A$1:$I$89,5,0)</f>
        <v>101.78999999999996</v>
      </c>
      <c r="CA35" s="13">
        <f t="shared" si="39"/>
        <v>27.38799903683508</v>
      </c>
      <c r="CB35" s="20">
        <f t="shared" si="10"/>
        <v>224.98501498915437</v>
      </c>
      <c r="CC35" s="59">
        <f t="shared" si="11"/>
        <v>518.31834832248774</v>
      </c>
      <c r="CD35" s="59">
        <f ca="1">AVERAGE(OFFSET($CC$3,0,0,'Données projet'!$E$12+1,1))-AVERAGE(OFFSET($H$3,0,0,'Données projet'!$E$12+1,1))</f>
        <v>216.95993967070063</v>
      </c>
      <c r="CE35" s="59">
        <f t="shared" si="40"/>
        <v>208.79744153433245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4.9659838514860724</v>
      </c>
      <c r="CL35" s="21">
        <f>EXP(-LN(2)/25)*CL34+(1-EXP(-LN(2)/25))/(LN(2)/25)*Calculateur!CG35*Calculateur!CI35*VLOOKUP('Données projet'!$B$12,Paramètres!$A$1:$I$89,3,0)*0.475*44/12</f>
        <v>6.0711889390179579</v>
      </c>
      <c r="CM35" s="21">
        <f>EXP(-LN(2)/2)*CM34+(1-EXP(-LN(2)/2))/(LN(2)/2)*CG35*CJ35*VLOOKUP('Données projet'!$B$12,Paramètres!$A$1:$I$89,3,0)*0.475*44/12</f>
        <v>0.61680417825176348</v>
      </c>
      <c r="CN35" s="22">
        <f t="shared" si="12"/>
        <v>11.653976968755794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11.5</v>
      </c>
      <c r="CT35" s="12">
        <f>IF('Données projet'!$A$140&gt;35,CT34+CS35-DB34,IF(A35&lt;'Données projet'!$A$140,$CQ$205^A35,IF(A35='Données projet'!$A$140,'Données projet'!$B$140,CT34+CS35-DB34)))</f>
        <v>130.49999999999994</v>
      </c>
      <c r="CU35" s="17">
        <f>CT35*VLOOKUP('Données projet'!$B$13,Paramètres!$A$1:$I$89,3,0)*VLOOKUP('Données projet'!$B$13,Paramètres!$A$1:$I$89,5,0)</f>
        <v>87.539399999999958</v>
      </c>
      <c r="CV35" s="13">
        <f t="shared" si="41"/>
        <v>23.970833505938423</v>
      </c>
      <c r="CW35" s="20">
        <f t="shared" si="13"/>
        <v>194.21365668950932</v>
      </c>
      <c r="CX35" s="59">
        <f t="shared" si="14"/>
        <v>487.54699002284264</v>
      </c>
      <c r="CY35" s="59">
        <f ca="1">AVERAGE(OFFSET($CX$3,0,0,'Données projet'!$E$13+1,1))-AVERAGE(OFFSET($H$3,0,0,'Données projet'!$E$13+1,1))</f>
        <v>181.32837315090507</v>
      </c>
      <c r="CZ35" s="59">
        <f t="shared" si="42"/>
        <v>175.03267817980338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5.2639428825752335</v>
      </c>
      <c r="DG35" s="21">
        <f>EXP(-LN(2)/25)*DG34+(1-EXP(-LN(2)/25))/(LN(2)/25)*Calculateur!DB35*Calculateur!DD35*VLOOKUP('Données projet'!$B$13,Paramètres!$A$1:$I$89,3,0)*0.475*44/12</f>
        <v>6.4354602753590369</v>
      </c>
      <c r="DH35" s="21">
        <f>EXP(-LN(2)/2)*DH34+(1-EXP(-LN(2)/2))/(LN(2)/2)*DB35*DE35*VLOOKUP('Données projet'!$B$13,Paramètres!$A$1:$I$89,3,0)*0.475*44/12</f>
        <v>0.53045159329651637</v>
      </c>
      <c r="DI35" s="22">
        <f t="shared" si="15"/>
        <v>12.229854751230787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15.2</v>
      </c>
      <c r="DO35" s="12">
        <f>IF('Données projet'!$A$166&gt;35,DO34+DN35-DW34,IF(A35&lt;'Données projet'!$A$166,$DL$205^A35,IF(A35='Données projet'!$A$166,'Données projet'!$B$166,DO34+DN35-DW34)))</f>
        <v>193.40000000000003</v>
      </c>
      <c r="DP35" s="17">
        <f>DO35*VLOOKUP('Données projet'!$B$14,Paramètres!$A$1:$I$89,3,0)*VLOOKUP('Données projet'!$B$14,Paramètres!$A$1:$I$89,5,0)</f>
        <v>153.86904000000004</v>
      </c>
      <c r="DQ35" s="13">
        <f t="shared" si="43"/>
        <v>39.456531419736123</v>
      </c>
      <c r="DR35" s="20">
        <f t="shared" si="16"/>
        <v>336.70870355604046</v>
      </c>
      <c r="DS35" s="59">
        <f t="shared" si="17"/>
        <v>630.04203688937378</v>
      </c>
      <c r="DT35" s="59">
        <f ca="1">AVERAGE(OFFSET($DS$3,0,0,'Données projet'!$E$14+1,1))-AVERAGE(OFFSET($H$3,0,0,'Données projet'!$E$14+1,1))</f>
        <v>325.72928944930294</v>
      </c>
      <c r="DU35" s="59">
        <f t="shared" si="44"/>
        <v>318.38876834819752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16.64201890159314</v>
      </c>
      <c r="EB35" s="21">
        <f>EXP(-LN(2)/25)*EB34+(1-EXP(-LN(2)/25))/(LN(2)/25)*Calculateur!DW35*Calculateur!DY35*VLOOKUP('Données projet'!$B$14,Paramètres!$A$1:$I$89,3,0)*0.475*44/12</f>
        <v>19.564359426912105</v>
      </c>
      <c r="EC35" s="21">
        <f>EXP(-LN(2)/2)*EC34+(1-EXP(-LN(2)/2))/(LN(2)/2)*DW35*DZ35*VLOOKUP('Données projet'!$B$14,Paramètres!$A$1:$I$89,3,0)*0.475*44/12</f>
        <v>5.9148605170420323</v>
      </c>
      <c r="ED35" s="22">
        <f t="shared" si="18"/>
        <v>42.121238845547275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10.8</v>
      </c>
      <c r="EJ35" s="12">
        <f>IF('Données projet'!$A$192&gt;35,EJ34+EI35-ER34,IF(A35&lt;'Données projet'!$A$192,$EG$205^A35,IF(A35='Données projet'!$A$192,'Données projet'!$B$192,EJ34+EI35-ER34)))</f>
        <v>114.60000000000004</v>
      </c>
      <c r="EK35" s="17">
        <f>EJ35*VLOOKUP('Données projet'!$B$15,Paramètres!$A$1:$I$89,3,0)*VLOOKUP('Données projet'!$B$15,Paramètres!$A$1:$I$89,5,0)</f>
        <v>116.20440000000004</v>
      </c>
      <c r="EL35" s="13">
        <f t="shared" si="45"/>
        <v>30.788088768016376</v>
      </c>
      <c r="EM35" s="20">
        <f t="shared" si="19"/>
        <v>256.01191793762854</v>
      </c>
      <c r="EN35" s="59">
        <f t="shared" si="20"/>
        <v>549.34525127096185</v>
      </c>
      <c r="EO35" s="59">
        <f ca="1">AVERAGE(OFFSET($EN$3,0,0,'Données projet'!$E$15+1,1))-AVERAGE(OFFSET($H$3,0,0,'Données projet'!$E$15+1,1))</f>
        <v>384.50065773787549</v>
      </c>
      <c r="EP35" s="59">
        <f t="shared" si="46"/>
        <v>231.92898690465887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7.8724263300604731</v>
      </c>
      <c r="EW35" s="21">
        <f>EXP(-LN(2)/25)*EW34+(1-EXP(-LN(2)/25))/(LN(2)/25)*Calculateur!ER35*Calculateur!ET35*VLOOKUP('Données projet'!$B$15,Paramètres!$A$1:$I$89,3,0)*0.475*44/12</f>
        <v>9.9288717121931391</v>
      </c>
      <c r="EX35" s="21">
        <f>EXP(-LN(2)/2)*EX34+(1-EXP(-LN(2)/2))/(LN(2)/2)*ER35*EU35*VLOOKUP('Données projet'!$B$15,Paramètres!$A$1:$I$89,3,0)*0.475*44/12</f>
        <v>4.7824492957495757</v>
      </c>
      <c r="EY35" s="22">
        <f t="shared" si="21"/>
        <v>22.583747338003189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114.60000000000004</v>
      </c>
      <c r="FF35" s="17">
        <f>FE35*VLOOKUP('Données projet'!$B$16,Paramètres!$A$1:$I$89,3,0)*VLOOKUP('Données projet'!$B$16,Paramètres!$A$1:$I$89,5,0)</f>
        <v>103.69008000000004</v>
      </c>
      <c r="FG35" s="13">
        <f t="shared" si="47"/>
        <v>27.83924565319537</v>
      </c>
      <c r="FH35" s="20">
        <f t="shared" si="22"/>
        <v>229.08024217931529</v>
      </c>
      <c r="FI35" s="59">
        <f t="shared" si="23"/>
        <v>522.41357551264855</v>
      </c>
      <c r="FJ35" s="59">
        <f ca="1">AVERAGE(OFFSET($FI$3,0,0,'Données projet'!$E$16+1,1))-AVERAGE(OFFSET($H$3,0,0,'Données projet'!$E$16+1,1))</f>
        <v>326.46362829268969</v>
      </c>
      <c r="FK35" s="59">
        <f t="shared" si="48"/>
        <v>203.5274665601915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7.0246265714385734</v>
      </c>
      <c r="FR35" s="21">
        <f>EXP(-LN(2)/25)*FR34+(1-EXP(-LN(2)/25))/(LN(2)/25)*Calculateur!FM35*Calculateur!FO35*VLOOKUP('Données projet'!$B$16,Paramètres!$A$1:$I$89,3,0)*0.475*44/12</f>
        <v>8.8596086047261871</v>
      </c>
      <c r="FS35" s="21">
        <f>EXP(-LN(2)/2)*FS34+(1-EXP(-LN(2)/2))/(LN(2)/2)*FM35*FP35*VLOOKUP('Données projet'!$B$16,Paramètres!$A$1:$I$89,3,0)*0.475*44/12</f>
        <v>4.2674162946688519</v>
      </c>
      <c r="FT35" s="22">
        <f t="shared" si="24"/>
        <v>20.151651470833613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114.60000000000004</v>
      </c>
      <c r="GA35" s="17">
        <f>FZ35*VLOOKUP('Données projet'!$B$17,Paramètres!$A$1:$I$89,3,0)*VLOOKUP('Données projet'!$B$17,Paramètres!$A$1:$I$89,5,0)</f>
        <v>110.84112000000003</v>
      </c>
      <c r="GB35" s="13">
        <f t="shared" si="49"/>
        <v>29.529071061640771</v>
      </c>
      <c r="GC35" s="20">
        <f t="shared" si="25"/>
        <v>244.47808276569106</v>
      </c>
      <c r="GD35" s="59">
        <f t="shared" si="26"/>
        <v>537.81141609902443</v>
      </c>
      <c r="GE35" s="59">
        <f ca="1">AVERAGE(OFFSET($GD$3,0,0,'Données projet'!$E$17+1,1))-AVERAGE(OFFSET($H$3,0,0,'Données projet'!$E$17+1,1))</f>
        <v>353.24082990916918</v>
      </c>
      <c r="GF35" s="59">
        <f t="shared" si="50"/>
        <v>219.76562717496353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7.5090835763653745</v>
      </c>
      <c r="GM35" s="21">
        <f>EXP(-LN(2)/25)*GM34+(1-EXP(-LN(2)/25))/(LN(2)/25)*Calculateur!GH35*Calculateur!GJ35*VLOOKUP('Données projet'!$B$17,Paramètres!$A$1:$I$89,3,0)*0.475*44/12</f>
        <v>9.4706160947073048</v>
      </c>
      <c r="GN35" s="21">
        <f>EXP(-LN(2)/2)*GN34+(1-EXP(-LN(2)/2))/(LN(2)/2)*GH35*GK35*VLOOKUP('Données projet'!$B$17,Paramètres!$A$1:$I$89,3,0)*0.475*44/12</f>
        <v>4.5617208667149809</v>
      </c>
      <c r="GO35" s="21">
        <f t="shared" si="27"/>
        <v>21.541420537787662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378.17323480030268</v>
      </c>
      <c r="T36" s="59">
        <f t="shared" si="34"/>
        <v>471.89239871617241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4.1507257401278963</v>
      </c>
      <c r="AA36" s="21">
        <f>EXP(-LN(2)/25)*AA35+(1-EXP(-LN(2)/25))/(LN(2)/25)*Calculateur!V36*Calculateur!X36*VLOOKUP('Données projet'!$B$9,Paramètres!$A$1:$I$89,3,0)*0.475*44/12</f>
        <v>19.14118719286521</v>
      </c>
      <c r="AB36" s="21">
        <f>EXP(-LN(2)/2)*AB35+(1-EXP(-LN(2)/2))/(LN(2)/2)*V36*Y36*VLOOKUP('Données projet'!$B$9,Paramètres!$A$1:$I$89,3,0)*0.475*44/12</f>
        <v>3.6983773912902329</v>
      </c>
      <c r="AC36" s="22">
        <f t="shared" si="3"/>
        <v>26.99029032428334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11.666666666666666</v>
      </c>
      <c r="AI36" s="13">
        <f>IF('Données projet'!$A$62&gt;35,AI35+AH36-AQ35,IF(A36&lt;'Données projet'!$A$62,$AF$205^A36,IF(A36='Données projet'!$A$62,'Données projet'!$B$62,AI35+AH36-AQ35)))</f>
        <v>181.33333333333329</v>
      </c>
      <c r="AJ36" s="13">
        <f>AI36*VLOOKUP('Données projet'!$B$10,Paramètres!$A$1:$I$89,3,0)*VLOOKUP('Données projet'!$B$10,Paramètres!$A$1:$I$89,5,0)</f>
        <v>108.43733333333331</v>
      </c>
      <c r="AK36" s="13">
        <f t="shared" si="35"/>
        <v>28.962502090468035</v>
      </c>
      <c r="AL36" s="20">
        <f t="shared" si="4"/>
        <v>239.30471336312061</v>
      </c>
      <c r="AM36" s="59">
        <f t="shared" si="5"/>
        <v>532.6380466964539</v>
      </c>
      <c r="AN36" s="59">
        <f ca="1">AVERAGE(OFFSET($AM$3,0,0,'Données projet'!$E$10+1,1))-AVERAGE(OFFSET($H$3,0,0,'Données projet'!$E$10+1,1))</f>
        <v>141.22849894256314</v>
      </c>
      <c r="AO36" s="59">
        <f t="shared" si="36"/>
        <v>156.12101479343704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6.9310602726647295</v>
      </c>
      <c r="AV36" s="21">
        <f>EXP(-LN(2)/25)*AV35+(1-EXP(-LN(2)/25))/(LN(2)/25)*Calculateur!AQ36*Calculateur!AS36*VLOOKUP('Données projet'!$B$10,Paramètres!$A$1:$I$89,3,0)*0.475*44/12</f>
        <v>5.5418648455256116</v>
      </c>
      <c r="AW36" s="21">
        <f>EXP(-LN(2)/2)*AW35+(1-EXP(-LN(2)/2))/(LN(2)/2)*AQ36*AT36*VLOOKUP('Données projet'!$B$10,Paramètres!$A$1:$I$89,3,0)*0.475*44/12</f>
        <v>1.0458006870009238</v>
      </c>
      <c r="AX36" s="21">
        <f t="shared" si="6"/>
        <v>13.518725805191265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12.833333333333334</v>
      </c>
      <c r="BD36" s="12">
        <f>IF('Données projet'!$A$88&gt;35,BD35+BC36-BL35,IF(A36&lt;'Données projet'!$A$88,$BA$205^A36,IF(A36='Données projet'!$A$88,'Données projet'!$B$88,BD35+BC36-BL35)))</f>
        <v>209.49999999999997</v>
      </c>
      <c r="BE36" s="13">
        <f>BD36*VLOOKUP('Données projet'!$B$11,Paramètres!$A$1:$I$89,3,0)*VLOOKUP('Données projet'!$B$11,Paramètres!$A$1:$I$89,5,0)</f>
        <v>92.59899999999999</v>
      </c>
      <c r="BF36" s="13">
        <f t="shared" si="37"/>
        <v>25.190998879658888</v>
      </c>
      <c r="BG36" s="20">
        <f t="shared" si="7"/>
        <v>205.15091471540586</v>
      </c>
      <c r="BH36" s="59">
        <f t="shared" si="8"/>
        <v>498.48424804873918</v>
      </c>
      <c r="BI36" s="59">
        <f ca="1">AVERAGE(OFFSET($BH$3,0,0,'Données projet'!$E$11+1,1))-AVERAGE(OFFSET($H$3,0,0,'Données projet'!$E$11+1,1))</f>
        <v>114.25511901730295</v>
      </c>
      <c r="BJ36" s="59">
        <f t="shared" si="38"/>
        <v>180.96261947642182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3.2211919826487807</v>
      </c>
      <c r="BQ36" s="21">
        <f>EXP(-LN(2)/25)*BQ35+(1-EXP(-LN(2)/25))/(LN(2)/25)*Calculateur!BL36*Calculateur!BN36*VLOOKUP('Données projet'!$B$11,Paramètres!$A$1:$I$89,3,0)*0.475*44/12</f>
        <v>16.393323737765833</v>
      </c>
      <c r="BR36" s="21">
        <f>EXP(-LN(2)/2)*BR35+(1-EXP(-LN(2)/2))/(LN(2)/2)*BL36*BO36*VLOOKUP('Données projet'!$B$11,Paramètres!$A$1:$I$89,3,0)*0.475*44/12</f>
        <v>2.4154988751194626</v>
      </c>
      <c r="BS36" s="22">
        <f t="shared" si="9"/>
        <v>22.030014595534077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141.99999999999994</v>
      </c>
      <c r="BZ36" s="13">
        <f>BY36*VLOOKUP('Données projet'!$B$12,Paramètres!$A$1:$I$89,3,0)*VLOOKUP('Données projet'!$B$12,Paramètres!$A$1:$I$89,5,0)</f>
        <v>110.75999999999996</v>
      </c>
      <c r="CA36" s="13">
        <f t="shared" si="39"/>
        <v>29.509974682362923</v>
      </c>
      <c r="CB36" s="20">
        <f t="shared" si="10"/>
        <v>244.30353923844871</v>
      </c>
      <c r="CC36" s="59">
        <f t="shared" si="11"/>
        <v>537.63687257178208</v>
      </c>
      <c r="CD36" s="59">
        <f ca="1">AVERAGE(OFFSET($CC$3,0,0,'Données projet'!$E$12+1,1))-AVERAGE(OFFSET($H$3,0,0,'Données projet'!$E$12+1,1))</f>
        <v>216.95993967070063</v>
      </c>
      <c r="CE36" s="59">
        <f t="shared" si="40"/>
        <v>208.79744153433245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4.868603937109496</v>
      </c>
      <c r="CL36" s="21">
        <f>EXP(-LN(2)/25)*CL35+(1-EXP(-LN(2)/25))/(LN(2)/25)*Calculateur!CG36*Calculateur!CI36*VLOOKUP('Données projet'!$B$12,Paramètres!$A$1:$I$89,3,0)*0.475*44/12</f>
        <v>5.9051719582105617</v>
      </c>
      <c r="CM36" s="21">
        <f>EXP(-LN(2)/2)*CM35+(1-EXP(-LN(2)/2))/(LN(2)/2)*CG36*CJ36*VLOOKUP('Données projet'!$B$12,Paramètres!$A$1:$I$89,3,0)*0.475*44/12</f>
        <v>0.43614641710601798</v>
      </c>
      <c r="CN36" s="22">
        <f t="shared" si="12"/>
        <v>11.209922312426075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11.5</v>
      </c>
      <c r="CT36" s="12">
        <f>IF('Données projet'!$A$140&gt;35,CT35+CS36-DB35,IF(A36&lt;'Données projet'!$A$140,$CQ$205^A36,IF(A36='Données projet'!$A$140,'Données projet'!$B$140,CT35+CS36-DB35)))</f>
        <v>141.99999999999994</v>
      </c>
      <c r="CU36" s="17">
        <f>CT36*VLOOKUP('Données projet'!$B$13,Paramètres!$A$1:$I$89,3,0)*VLOOKUP('Données projet'!$B$13,Paramètres!$A$1:$I$89,5,0)</f>
        <v>95.253599999999963</v>
      </c>
      <c r="CV36" s="13">
        <f t="shared" si="41"/>
        <v>25.828052970353951</v>
      </c>
      <c r="CW36" s="20">
        <f t="shared" si="13"/>
        <v>210.88387892336638</v>
      </c>
      <c r="CX36" s="59">
        <f t="shared" si="14"/>
        <v>504.21721225669967</v>
      </c>
      <c r="CY36" s="59">
        <f ca="1">AVERAGE(OFFSET($CX$3,0,0,'Données projet'!$E$13+1,1))-AVERAGE(OFFSET($H$3,0,0,'Données projet'!$E$13+1,1))</f>
        <v>181.32837315090507</v>
      </c>
      <c r="CZ36" s="59">
        <f t="shared" si="42"/>
        <v>175.03267817980338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5.1607201733360624</v>
      </c>
      <c r="DG36" s="21">
        <f>EXP(-LN(2)/25)*DG35+(1-EXP(-LN(2)/25))/(LN(2)/25)*Calculateur!DB36*Calculateur!DD36*VLOOKUP('Données projet'!$B$13,Paramètres!$A$1:$I$89,3,0)*0.475*44/12</f>
        <v>6.2594822757031965</v>
      </c>
      <c r="DH36" s="21">
        <f>EXP(-LN(2)/2)*DH35+(1-EXP(-LN(2)/2))/(LN(2)/2)*DB36*DE36*VLOOKUP('Données projet'!$B$13,Paramètres!$A$1:$I$89,3,0)*0.475*44/12</f>
        <v>0.3750859187111753</v>
      </c>
      <c r="DI36" s="22">
        <f t="shared" si="15"/>
        <v>11.795288367750434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15.2</v>
      </c>
      <c r="DO36" s="12">
        <f>IF('Données projet'!$A$166&gt;35,DO35+DN36-DW35,IF(A36&lt;'Données projet'!$A$166,$DL$205^A36,IF(A36='Données projet'!$A$166,'Données projet'!$B$166,DO35+DN36-DW35)))</f>
        <v>208.60000000000002</v>
      </c>
      <c r="DP36" s="17">
        <f>DO36*VLOOKUP('Données projet'!$B$14,Paramètres!$A$1:$I$89,3,0)*VLOOKUP('Données projet'!$B$14,Paramètres!$A$1:$I$89,5,0)</f>
        <v>165.96216000000001</v>
      </c>
      <c r="DQ36" s="13">
        <f t="shared" si="43"/>
        <v>42.184420424142857</v>
      </c>
      <c r="DR36" s="20">
        <f t="shared" si="16"/>
        <v>362.52196090538217</v>
      </c>
      <c r="DS36" s="59">
        <f t="shared" si="17"/>
        <v>655.85529423871549</v>
      </c>
      <c r="DT36" s="59">
        <f ca="1">AVERAGE(OFFSET($DS$3,0,0,'Données projet'!$E$14+1,1))-AVERAGE(OFFSET($H$3,0,0,'Données projet'!$E$14+1,1))</f>
        <v>325.72928944930294</v>
      </c>
      <c r="DU36" s="59">
        <f t="shared" si="44"/>
        <v>318.38876834819752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16.315679061562136</v>
      </c>
      <c r="EB36" s="21">
        <f>EXP(-LN(2)/25)*EB35+(1-EXP(-LN(2)/25))/(LN(2)/25)*Calculateur!DW36*Calculateur!DY36*VLOOKUP('Données projet'!$B$14,Paramètres!$A$1:$I$89,3,0)*0.475*44/12</f>
        <v>19.029370989538247</v>
      </c>
      <c r="EC36" s="21">
        <f>EXP(-LN(2)/2)*EC35+(1-EXP(-LN(2)/2))/(LN(2)/2)*DW36*DZ36*VLOOKUP('Données projet'!$B$14,Paramètres!$A$1:$I$89,3,0)*0.475*44/12</f>
        <v>4.1824379813729902</v>
      </c>
      <c r="ED36" s="22">
        <f t="shared" si="18"/>
        <v>39.527488032473379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10.8</v>
      </c>
      <c r="EJ36" s="12">
        <f>IF('Données projet'!$A$192&gt;35,EJ35+EI36-ER35,IF(A36&lt;'Données projet'!$A$192,$EG$205^A36,IF(A36='Données projet'!$A$192,'Données projet'!$B$192,EJ35+EI36-ER35)))</f>
        <v>125.40000000000003</v>
      </c>
      <c r="EK36" s="17">
        <f>EJ36*VLOOKUP('Données projet'!$B$15,Paramètres!$A$1:$I$89,3,0)*VLOOKUP('Données projet'!$B$15,Paramètres!$A$1:$I$89,5,0)</f>
        <v>127.15560000000004</v>
      </c>
      <c r="EL36" s="13">
        <f t="shared" si="45"/>
        <v>33.338258149231912</v>
      </c>
      <c r="EM36" s="20">
        <f t="shared" si="19"/>
        <v>279.52680294324563</v>
      </c>
      <c r="EN36" s="59">
        <f t="shared" si="20"/>
        <v>572.86013627657894</v>
      </c>
      <c r="EO36" s="59">
        <f ca="1">AVERAGE(OFFSET($EN$3,0,0,'Données projet'!$E$15+1,1))-AVERAGE(OFFSET($H$3,0,0,'Données projet'!$E$15+1,1))</f>
        <v>384.50065773787549</v>
      </c>
      <c r="EP36" s="59">
        <f t="shared" si="46"/>
        <v>231.92898690465887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7.7180528514339191</v>
      </c>
      <c r="EW36" s="21">
        <f>EXP(-LN(2)/25)*EW35+(1-EXP(-LN(2)/25))/(LN(2)/25)*Calculateur!ER36*Calculateur!ET36*VLOOKUP('Données projet'!$B$15,Paramètres!$A$1:$I$89,3,0)*0.475*44/12</f>
        <v>9.6573661930865473</v>
      </c>
      <c r="EX36" s="21">
        <f>EXP(-LN(2)/2)*EX35+(1-EXP(-LN(2)/2))/(LN(2)/2)*ER36*EU36*VLOOKUP('Données projet'!$B$15,Paramètres!$A$1:$I$89,3,0)*0.475*44/12</f>
        <v>3.3817023277053537</v>
      </c>
      <c r="EY36" s="22">
        <f t="shared" si="21"/>
        <v>20.757121372225821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125.40000000000003</v>
      </c>
      <c r="FF36" s="17">
        <f>FE36*VLOOKUP('Données projet'!$B$16,Paramètres!$A$1:$I$89,3,0)*VLOOKUP('Données projet'!$B$16,Paramètres!$A$1:$I$89,5,0)</f>
        <v>113.46192000000002</v>
      </c>
      <c r="FG36" s="13">
        <f t="shared" si="47"/>
        <v>30.145163126535493</v>
      </c>
      <c r="FH36" s="20">
        <f t="shared" si="22"/>
        <v>250.11566977871598</v>
      </c>
      <c r="FI36" s="59">
        <f t="shared" si="23"/>
        <v>543.44900311204924</v>
      </c>
      <c r="FJ36" s="59">
        <f ca="1">AVERAGE(OFFSET($FI$3,0,0,'Données projet'!$E$16+1,1))-AVERAGE(OFFSET($H$3,0,0,'Données projet'!$E$16+1,1))</f>
        <v>326.46362829268969</v>
      </c>
      <c r="FK36" s="59">
        <f t="shared" si="48"/>
        <v>203.5274665601915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6.8868779289718027</v>
      </c>
      <c r="FR36" s="21">
        <f>EXP(-LN(2)/25)*FR35+(1-EXP(-LN(2)/25))/(LN(2)/25)*Calculateur!FM36*Calculateur!FO36*VLOOKUP('Données projet'!$B$16,Paramètres!$A$1:$I$89,3,0)*0.475*44/12</f>
        <v>8.6173421415233822</v>
      </c>
      <c r="FS36" s="21">
        <f>EXP(-LN(2)/2)*FS35+(1-EXP(-LN(2)/2))/(LN(2)/2)*FM36*FP36*VLOOKUP('Données projet'!$B$16,Paramètres!$A$1:$I$89,3,0)*0.475*44/12</f>
        <v>3.0175190001063155</v>
      </c>
      <c r="FT36" s="22">
        <f t="shared" si="24"/>
        <v>18.521739070601502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125.40000000000003</v>
      </c>
      <c r="GA36" s="17">
        <f>FZ36*VLOOKUP('Données projet'!$B$17,Paramètres!$A$1:$I$89,3,0)*VLOOKUP('Données projet'!$B$17,Paramètres!$A$1:$I$89,5,0)</f>
        <v>121.28688000000004</v>
      </c>
      <c r="GB36" s="13">
        <f t="shared" si="49"/>
        <v>31.974956333849104</v>
      </c>
      <c r="GC36" s="20">
        <f t="shared" si="25"/>
        <v>266.93103161478729</v>
      </c>
      <c r="GD36" s="59">
        <f t="shared" si="26"/>
        <v>560.2643649481206</v>
      </c>
      <c r="GE36" s="59">
        <f ca="1">AVERAGE(OFFSET($GD$3,0,0,'Données projet'!$E$17+1,1))-AVERAGE(OFFSET($H$3,0,0,'Données projet'!$E$17+1,1))</f>
        <v>353.24082990916918</v>
      </c>
      <c r="GF36" s="59">
        <f t="shared" si="50"/>
        <v>219.76562717496353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7.3618350275215851</v>
      </c>
      <c r="GM36" s="21">
        <f>EXP(-LN(2)/25)*GM35+(1-EXP(-LN(2)/25))/(LN(2)/25)*Calculateur!GH36*Calculateur!GJ36*VLOOKUP('Données projet'!$B$17,Paramètres!$A$1:$I$89,3,0)*0.475*44/12</f>
        <v>9.2116415995594778</v>
      </c>
      <c r="GN36" s="21">
        <f>EXP(-LN(2)/2)*GN35+(1-EXP(-LN(2)/2))/(LN(2)/2)*GH36*GK36*VLOOKUP('Données projet'!$B$17,Paramètres!$A$1:$I$89,3,0)*0.475*44/12</f>
        <v>3.2256237587343382</v>
      </c>
      <c r="GO36" s="21">
        <f t="shared" si="27"/>
        <v>19.7991003858154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378.17323480030268</v>
      </c>
      <c r="T37" s="59">
        <f t="shared" si="34"/>
        <v>471.89239871617241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4.0693325400567062</v>
      </c>
      <c r="AA37" s="21">
        <f>EXP(-LN(2)/25)*AA36+(1-EXP(-LN(2)/25))/(LN(2)/25)*Calculateur!V37*Calculateur!X37*VLOOKUP('Données projet'!$B$9,Paramètres!$A$1:$I$89,3,0)*0.475*44/12</f>
        <v>18.617770422485023</v>
      </c>
      <c r="AB37" s="21">
        <f>EXP(-LN(2)/2)*AB36+(1-EXP(-LN(2)/2))/(LN(2)/2)*V37*Y37*VLOOKUP('Données projet'!$B$9,Paramètres!$A$1:$I$89,3,0)*0.475*44/12</f>
        <v>2.6151477327683375</v>
      </c>
      <c r="AC37" s="22">
        <f t="shared" si="3"/>
        <v>25.302250695310068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193</v>
      </c>
      <c r="AG37" s="12">
        <f>VLOOKUP(A37,'Données projet'!$A$61:$I$81,9,0)</f>
        <v>11.666666666666666</v>
      </c>
      <c r="AH37" s="12">
        <f t="array" ref="AH37">INDEX(AG:AG,MIN(IF(ISNUMBER(AG37:AG233),ROW(AG37:AG233),"")))</f>
        <v>11.666666666666666</v>
      </c>
      <c r="AI37" s="13">
        <f>IF('Données projet'!$A$62&gt;35,AI36+AH37-AQ36,IF(A37&lt;'Données projet'!$A$62,$AF$205^A37,IF(A37='Données projet'!$A$62,'Données projet'!$B$62,AI36+AH37-AQ36)))</f>
        <v>192.99999999999994</v>
      </c>
      <c r="AJ37" s="13">
        <f>AI37*VLOOKUP('Données projet'!$B$10,Paramètres!$A$1:$I$89,3,0)*VLOOKUP('Données projet'!$B$10,Paramètres!$A$1:$I$89,5,0)</f>
        <v>115.41399999999997</v>
      </c>
      <c r="AK37" s="13">
        <f t="shared" si="35"/>
        <v>30.602976534547519</v>
      </c>
      <c r="AL37" s="20">
        <f t="shared" si="4"/>
        <v>254.31290079767018</v>
      </c>
      <c r="AM37" s="59">
        <f t="shared" si="5"/>
        <v>547.64623413100344</v>
      </c>
      <c r="AN37" s="59">
        <f ca="1">AVERAGE(OFFSET($AM$3,0,0,'Données projet'!$E$10+1,1))-AVERAGE(OFFSET($H$3,0,0,'Données projet'!$E$10+1,1))</f>
        <v>141.22849894256314</v>
      </c>
      <c r="AO37" s="59">
        <f t="shared" si="36"/>
        <v>156.12101479343704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38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6.7951464082471063</v>
      </c>
      <c r="AV37" s="21">
        <f>EXP(-LN(2)/25)*AV36+(1-EXP(-LN(2)/25))/(LN(2)/25)*Calculateur!AQ37*Calculateur!AS37*VLOOKUP('Données projet'!$B$10,Paramètres!$A$1:$I$89,3,0)*0.475*44/12</f>
        <v>5.3903222598907075</v>
      </c>
      <c r="AW37" s="21">
        <f>EXP(-LN(2)/2)*AW36+(1-EXP(-LN(2)/2))/(LN(2)/2)*AQ37*AT37*VLOOKUP('Données projet'!$B$10,Paramètres!$A$1:$I$89,3,0)*0.475*44/12</f>
        <v>0.73949275754790333</v>
      </c>
      <c r="AX37" s="21">
        <f t="shared" si="6"/>
        <v>12.924961425685717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12.833333333333334</v>
      </c>
      <c r="BD37" s="12">
        <f>IF('Données projet'!$A$88&gt;35,BD36+BC37-BL36,IF(A37&lt;'Données projet'!$A$88,$BA$205^A37,IF(A37='Données projet'!$A$88,'Données projet'!$B$88,BD36+BC37-BL36)))</f>
        <v>222.33333333333331</v>
      </c>
      <c r="BE37" s="13">
        <f>BD37*VLOOKUP('Données projet'!$B$11,Paramètres!$A$1:$I$89,3,0)*VLOOKUP('Données projet'!$B$11,Paramètres!$A$1:$I$89,5,0)</f>
        <v>98.271333333333331</v>
      </c>
      <c r="BF37" s="13">
        <f t="shared" si="37"/>
        <v>26.549749526123687</v>
      </c>
      <c r="BG37" s="20">
        <f t="shared" si="7"/>
        <v>217.39671931355429</v>
      </c>
      <c r="BH37" s="59">
        <f t="shared" si="8"/>
        <v>510.7300526468876</v>
      </c>
      <c r="BI37" s="59">
        <f ca="1">AVERAGE(OFFSET($BH$3,0,0,'Données projet'!$E$11+1,1))-AVERAGE(OFFSET($H$3,0,0,'Données projet'!$E$11+1,1))</f>
        <v>114.25511901730295</v>
      </c>
      <c r="BJ37" s="59">
        <f t="shared" si="38"/>
        <v>180.96261947642182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3.1580263726021465</v>
      </c>
      <c r="BQ37" s="21">
        <f>EXP(-LN(2)/25)*BQ36+(1-EXP(-LN(2)/25))/(LN(2)/25)*Calculateur!BL37*Calculateur!BN37*VLOOKUP('Données projet'!$B$11,Paramètres!$A$1:$I$89,3,0)*0.475*44/12</f>
        <v>15.945047438069198</v>
      </c>
      <c r="BR37" s="21">
        <f>EXP(-LN(2)/2)*BR36+(1-EXP(-LN(2)/2))/(LN(2)/2)*BL37*BO37*VLOOKUP('Données projet'!$B$11,Paramètres!$A$1:$I$89,3,0)*0.475*44/12</f>
        <v>1.7080156345454496</v>
      </c>
      <c r="BS37" s="22">
        <f t="shared" si="9"/>
        <v>20.811089445216794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153.49999999999994</v>
      </c>
      <c r="BZ37" s="13">
        <f>BY37*VLOOKUP('Données projet'!$B$12,Paramètres!$A$1:$I$89,3,0)*VLOOKUP('Données projet'!$B$12,Paramètres!$A$1:$I$89,5,0)</f>
        <v>119.72999999999996</v>
      </c>
      <c r="CA37" s="13">
        <f t="shared" si="39"/>
        <v>31.612017974790529</v>
      </c>
      <c r="CB37" s="20">
        <f t="shared" si="10"/>
        <v>263.58734797276003</v>
      </c>
      <c r="CC37" s="59">
        <f t="shared" si="11"/>
        <v>556.92068130609334</v>
      </c>
      <c r="CD37" s="59">
        <f ca="1">AVERAGE(OFFSET($CC$3,0,0,'Données projet'!$E$12+1,1))-AVERAGE(OFFSET($H$3,0,0,'Données projet'!$E$12+1,1))</f>
        <v>216.95993967070063</v>
      </c>
      <c r="CE37" s="59">
        <f t="shared" si="40"/>
        <v>208.79744153433245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4.7731335834579616</v>
      </c>
      <c r="CL37" s="21">
        <f>EXP(-LN(2)/25)*CL36+(1-EXP(-LN(2)/25))/(LN(2)/25)*Calculateur!CG37*Calculateur!CI37*VLOOKUP('Données projet'!$B$12,Paramètres!$A$1:$I$89,3,0)*0.475*44/12</f>
        <v>5.7436947204737967</v>
      </c>
      <c r="CM37" s="21">
        <f>EXP(-LN(2)/2)*CM36+(1-EXP(-LN(2)/2))/(LN(2)/2)*CG37*CJ37*VLOOKUP('Données projet'!$B$12,Paramètres!$A$1:$I$89,3,0)*0.475*44/12</f>
        <v>0.30840208912588174</v>
      </c>
      <c r="CN37" s="22">
        <f t="shared" si="12"/>
        <v>10.825230393057639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11.5</v>
      </c>
      <c r="CT37" s="12">
        <f>IF('Données projet'!$A$140&gt;35,CT36+CS37-DB36,IF(A37&lt;'Données projet'!$A$140,$CQ$205^A37,IF(A37='Données projet'!$A$140,'Données projet'!$B$140,CT36+CS37-DB36)))</f>
        <v>153.49999999999994</v>
      </c>
      <c r="CU37" s="17">
        <f>CT37*VLOOKUP('Données projet'!$B$13,Paramètres!$A$1:$I$89,3,0)*VLOOKUP('Données projet'!$B$13,Paramètres!$A$1:$I$89,5,0)</f>
        <v>102.96779999999997</v>
      </c>
      <c r="CV37" s="13">
        <f t="shared" si="41"/>
        <v>27.667827015814101</v>
      </c>
      <c r="CW37" s="20">
        <f t="shared" si="13"/>
        <v>227.52371705254282</v>
      </c>
      <c r="CX37" s="59">
        <f t="shared" si="14"/>
        <v>520.85705038587616</v>
      </c>
      <c r="CY37" s="59">
        <f ca="1">AVERAGE(OFFSET($CX$3,0,0,'Données projet'!$E$13+1,1))-AVERAGE(OFFSET($H$3,0,0,'Données projet'!$E$13+1,1))</f>
        <v>181.32837315090507</v>
      </c>
      <c r="CZ37" s="59">
        <f t="shared" si="42"/>
        <v>175.03267817980338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5.0595215984654356</v>
      </c>
      <c r="DG37" s="21">
        <f>EXP(-LN(2)/25)*DG36+(1-EXP(-LN(2)/25))/(LN(2)/25)*Calculateur!DB37*Calculateur!DD37*VLOOKUP('Données projet'!$B$13,Paramètres!$A$1:$I$89,3,0)*0.475*44/12</f>
        <v>6.0883164037022262</v>
      </c>
      <c r="DH37" s="21">
        <f>EXP(-LN(2)/2)*DH36+(1-EXP(-LN(2)/2))/(LN(2)/2)*DB37*DE37*VLOOKUP('Données projet'!$B$13,Paramètres!$A$1:$I$89,3,0)*0.475*44/12</f>
        <v>0.26522579664825818</v>
      </c>
      <c r="DI37" s="22">
        <f t="shared" si="15"/>
        <v>11.413063798815919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15.2</v>
      </c>
      <c r="DO37" s="12">
        <f>IF('Données projet'!$A$166&gt;35,DO36+DN37-DW36,IF(A37&lt;'Données projet'!$A$166,$DL$205^A37,IF(A37='Données projet'!$A$166,'Données projet'!$B$166,DO36+DN37-DW36)))</f>
        <v>223.8</v>
      </c>
      <c r="DP37" s="17">
        <f>DO37*VLOOKUP('Données projet'!$B$14,Paramètres!$A$1:$I$89,3,0)*VLOOKUP('Données projet'!$B$14,Paramètres!$A$1:$I$89,5,0)</f>
        <v>178.05528000000001</v>
      </c>
      <c r="DQ37" s="13">
        <f t="shared" si="43"/>
        <v>44.889248639558041</v>
      </c>
      <c r="DR37" s="20">
        <f t="shared" si="16"/>
        <v>388.29505404723028</v>
      </c>
      <c r="DS37" s="59">
        <f t="shared" si="17"/>
        <v>681.62838738056359</v>
      </c>
      <c r="DT37" s="59">
        <f ca="1">AVERAGE(OFFSET($DS$3,0,0,'Données projet'!$E$14+1,1))-AVERAGE(OFFSET($H$3,0,0,'Données projet'!$E$14+1,1))</f>
        <v>325.72928944930294</v>
      </c>
      <c r="DU37" s="59">
        <f t="shared" si="44"/>
        <v>318.38876834819752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15.995738546746493</v>
      </c>
      <c r="EB37" s="21">
        <f>EXP(-LN(2)/25)*EB36+(1-EXP(-LN(2)/25))/(LN(2)/25)*Calculateur!DW37*Calculateur!DY37*VLOOKUP('Données projet'!$B$14,Paramètres!$A$1:$I$89,3,0)*0.475*44/12</f>
        <v>18.509011839118195</v>
      </c>
      <c r="EC37" s="21">
        <f>EXP(-LN(2)/2)*EC36+(1-EXP(-LN(2)/2))/(LN(2)/2)*DW37*DZ37*VLOOKUP('Données projet'!$B$14,Paramètres!$A$1:$I$89,3,0)*0.475*44/12</f>
        <v>2.9574302585210166</v>
      </c>
      <c r="ED37" s="22">
        <f t="shared" si="18"/>
        <v>37.462180644385704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10.8</v>
      </c>
      <c r="EJ37" s="12">
        <f>IF('Données projet'!$A$192&gt;35,EJ36+EI37-ER36,IF(A37&lt;'Données projet'!$A$192,$EG$205^A37,IF(A37='Données projet'!$A$192,'Données projet'!$B$192,EJ36+EI37-ER36)))</f>
        <v>136.20000000000005</v>
      </c>
      <c r="EK37" s="17">
        <f>EJ37*VLOOKUP('Données projet'!$B$15,Paramètres!$A$1:$I$89,3,0)*VLOOKUP('Données projet'!$B$15,Paramètres!$A$1:$I$89,5,0)</f>
        <v>138.10680000000005</v>
      </c>
      <c r="EL37" s="13">
        <f t="shared" si="45"/>
        <v>35.862956890686135</v>
      </c>
      <c r="EM37" s="20">
        <f t="shared" si="19"/>
        <v>302.99732658461176</v>
      </c>
      <c r="EN37" s="59">
        <f t="shared" si="20"/>
        <v>596.33065991794501</v>
      </c>
      <c r="EO37" s="59">
        <f ca="1">AVERAGE(OFFSET($EN$3,0,0,'Données projet'!$E$15+1,1))-AVERAGE(OFFSET($H$3,0,0,'Données projet'!$E$15+1,1))</f>
        <v>384.50065773787549</v>
      </c>
      <c r="EP37" s="59">
        <f t="shared" si="46"/>
        <v>231.92898690465887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7.5667065425647078</v>
      </c>
      <c r="EW37" s="21">
        <f>EXP(-LN(2)/25)*EW36+(1-EXP(-LN(2)/25))/(LN(2)/25)*Calculateur!ER37*Calculateur!ET37*VLOOKUP('Données projet'!$B$15,Paramètres!$A$1:$I$89,3,0)*0.475*44/12</f>
        <v>9.3932850066777807</v>
      </c>
      <c r="EX37" s="21">
        <f>EXP(-LN(2)/2)*EX36+(1-EXP(-LN(2)/2))/(LN(2)/2)*ER37*EU37*VLOOKUP('Données projet'!$B$15,Paramètres!$A$1:$I$89,3,0)*0.475*44/12</f>
        <v>2.3912246478747883</v>
      </c>
      <c r="EY37" s="22">
        <f t="shared" si="21"/>
        <v>19.351216197117278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136.20000000000005</v>
      </c>
      <c r="FF37" s="17">
        <f>FE37*VLOOKUP('Données projet'!$B$16,Paramètres!$A$1:$I$89,3,0)*VLOOKUP('Données projet'!$B$16,Paramètres!$A$1:$I$89,5,0)</f>
        <v>123.23376000000005</v>
      </c>
      <c r="FG37" s="13">
        <f t="shared" si="47"/>
        <v>32.428049504876491</v>
      </c>
      <c r="FH37" s="20">
        <f t="shared" si="22"/>
        <v>271.11098488765998</v>
      </c>
      <c r="FI37" s="59">
        <f t="shared" si="23"/>
        <v>564.4443182209933</v>
      </c>
      <c r="FJ37" s="59">
        <f ca="1">AVERAGE(OFFSET($FI$3,0,0,'Données projet'!$E$16+1,1))-AVERAGE(OFFSET($H$3,0,0,'Données projet'!$E$16+1,1))</f>
        <v>326.46362829268969</v>
      </c>
      <c r="FK37" s="59">
        <f t="shared" si="48"/>
        <v>203.5274665601915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6.7518304533654296</v>
      </c>
      <c r="FR37" s="21">
        <f>EXP(-LN(2)/25)*FR36+(1-EXP(-LN(2)/25))/(LN(2)/25)*Calculateur!FM37*Calculateur!FO37*VLOOKUP('Données projet'!$B$16,Paramètres!$A$1:$I$89,3,0)*0.475*44/12</f>
        <v>8.3817004674970974</v>
      </c>
      <c r="FS37" s="21">
        <f>EXP(-LN(2)/2)*FS36+(1-EXP(-LN(2)/2))/(LN(2)/2)*FM37*FP37*VLOOKUP('Données projet'!$B$16,Paramètres!$A$1:$I$89,3,0)*0.475*44/12</f>
        <v>2.1337081473344264</v>
      </c>
      <c r="FT37" s="22">
        <f t="shared" si="24"/>
        <v>17.267239068196954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136.20000000000005</v>
      </c>
      <c r="GA37" s="17">
        <f>FZ37*VLOOKUP('Données projet'!$B$17,Paramètres!$A$1:$I$89,3,0)*VLOOKUP('Données projet'!$B$17,Paramètres!$A$1:$I$89,5,0)</f>
        <v>131.73264000000006</v>
      </c>
      <c r="GB37" s="13">
        <f t="shared" si="49"/>
        <v>34.396412537492502</v>
      </c>
      <c r="GC37" s="20">
        <f t="shared" si="25"/>
        <v>289.3414331694662</v>
      </c>
      <c r="GD37" s="59">
        <f t="shared" si="26"/>
        <v>582.67476650279946</v>
      </c>
      <c r="GE37" s="59">
        <f ca="1">AVERAGE(OFFSET($GD$3,0,0,'Données projet'!$E$17+1,1))-AVERAGE(OFFSET($H$3,0,0,'Données projet'!$E$17+1,1))</f>
        <v>353.24082990916918</v>
      </c>
      <c r="GF37" s="59">
        <f t="shared" si="50"/>
        <v>219.76562717496353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7.2174739329078754</v>
      </c>
      <c r="GM37" s="21">
        <f>EXP(-LN(2)/25)*GM36+(1-EXP(-LN(2)/25))/(LN(2)/25)*Calculateur!GH37*Calculateur!GJ37*VLOOKUP('Données projet'!$B$17,Paramètres!$A$1:$I$89,3,0)*0.475*44/12</f>
        <v>8.959748775600346</v>
      </c>
      <c r="GN37" s="21">
        <f>EXP(-LN(2)/2)*GN36+(1-EXP(-LN(2)/2))/(LN(2)/2)*GH37*GK37*VLOOKUP('Données projet'!$B$17,Paramètres!$A$1:$I$89,3,0)*0.475*44/12</f>
        <v>2.2808604333574909</v>
      </c>
      <c r="GO37" s="21">
        <f t="shared" si="27"/>
        <v>18.458083141865714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378.17323480030268</v>
      </c>
      <c r="T38" s="59">
        <f t="shared" si="34"/>
        <v>471.89239871617241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3.9895354109939616</v>
      </c>
      <c r="AA38" s="21">
        <f>EXP(-LN(2)/25)*AA37+(1-EXP(-LN(2)/25))/(LN(2)/25)*Calculateur!V38*Calculateur!X38*VLOOKUP('Données projet'!$B$9,Paramètres!$A$1:$I$89,3,0)*0.475*44/12</f>
        <v>18.108666511216175</v>
      </c>
      <c r="AB38" s="21">
        <f>EXP(-LN(2)/2)*AB37+(1-EXP(-LN(2)/2))/(LN(2)/2)*V38*Y38*VLOOKUP('Données projet'!$B$9,Paramètres!$A$1:$I$89,3,0)*0.475*44/12</f>
        <v>1.8491886956451167</v>
      </c>
      <c r="AC38" s="22">
        <f t="shared" si="3"/>
        <v>23.947390617855255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</v>
      </c>
      <c r="AI38" s="13">
        <f>IF('Données projet'!$A$62&gt;35,AI37+AH38-AQ37,IF(A38&lt;'Données projet'!$A$62,$AF$205^A38,IF(A38='Données projet'!$A$62,'Données projet'!$B$62,AI37+AH38-AQ37)))</f>
        <v>164.99999999999994</v>
      </c>
      <c r="AJ38" s="13">
        <f>AI38*VLOOKUP('Données projet'!$B$10,Paramètres!$A$1:$I$89,3,0)*VLOOKUP('Données projet'!$B$10,Paramètres!$A$1:$I$89,5,0)</f>
        <v>98.669999999999973</v>
      </c>
      <c r="AK38" s="13">
        <f t="shared" si="35"/>
        <v>26.644896901954066</v>
      </c>
      <c r="AL38" s="20">
        <f t="shared" si="4"/>
        <v>218.25677877090325</v>
      </c>
      <c r="AM38" s="59">
        <f t="shared" si="5"/>
        <v>511.5901121042366</v>
      </c>
      <c r="AN38" s="59">
        <f ca="1">AVERAGE(OFFSET($AM$3,0,0,'Données projet'!$E$10+1,1))-AVERAGE(OFFSET($H$3,0,0,'Données projet'!$E$10+1,1))</f>
        <v>141.22849894256314</v>
      </c>
      <c r="AO38" s="59">
        <f t="shared" si="36"/>
        <v>156.12101479343704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6.6618977318114414</v>
      </c>
      <c r="AV38" s="21">
        <f>EXP(-LN(2)/25)*AV37+(1-EXP(-LN(2)/25))/(LN(2)/25)*Calculateur!AQ38*Calculateur!AS38*VLOOKUP('Données projet'!$B$10,Paramètres!$A$1:$I$89,3,0)*0.475*44/12</f>
        <v>5.2429236142292686</v>
      </c>
      <c r="AW38" s="21">
        <f>EXP(-LN(2)/2)*AW37+(1-EXP(-LN(2)/2))/(LN(2)/2)*AQ38*AT38*VLOOKUP('Données projet'!$B$10,Paramètres!$A$1:$I$89,3,0)*0.475*44/12</f>
        <v>0.52290034350046199</v>
      </c>
      <c r="AX38" s="21">
        <f t="shared" si="6"/>
        <v>12.427721689541171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235.16666666666666</v>
      </c>
      <c r="BE38" s="13">
        <f>BD38*VLOOKUP('Données projet'!$B$11,Paramètres!$A$1:$I$89,3,0)*VLOOKUP('Données projet'!$B$11,Paramètres!$A$1:$I$89,5,0)</f>
        <v>103.94366666666667</v>
      </c>
      <c r="BF38" s="13">
        <f t="shared" si="37"/>
        <v>27.899396343023412</v>
      </c>
      <c r="BG38" s="20">
        <f t="shared" si="7"/>
        <v>229.6266680752102</v>
      </c>
      <c r="BH38" s="59">
        <f t="shared" si="8"/>
        <v>522.96000140854358</v>
      </c>
      <c r="BI38" s="59">
        <f ca="1">AVERAGE(OFFSET($BH$3,0,0,'Données projet'!$E$11+1,1))-AVERAGE(OFFSET($H$3,0,0,'Données projet'!$E$11+1,1))</f>
        <v>114.25511901730295</v>
      </c>
      <c r="BJ38" s="59">
        <f t="shared" si="38"/>
        <v>180.96261947642182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3.0960994016413088</v>
      </c>
      <c r="BQ38" s="21">
        <f>EXP(-LN(2)/25)*BQ37+(1-EXP(-LN(2)/25))/(LN(2)/25)*Calculateur!BL38*Calculateur!BN38*VLOOKUP('Données projet'!$B$11,Paramètres!$A$1:$I$89,3,0)*0.475*44/12</f>
        <v>15.509029277361593</v>
      </c>
      <c r="BR38" s="21">
        <f>EXP(-LN(2)/2)*BR37+(1-EXP(-LN(2)/2))/(LN(2)/2)*BL38*BO38*VLOOKUP('Données projet'!$B$11,Paramètres!$A$1:$I$89,3,0)*0.475*44/12</f>
        <v>1.2077494375597315</v>
      </c>
      <c r="BS38" s="22">
        <f t="shared" si="9"/>
        <v>19.812878116562633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164.99999999999994</v>
      </c>
      <c r="BZ38" s="13">
        <f>BY38*VLOOKUP('Données projet'!$B$12,Paramètres!$A$1:$I$89,3,0)*VLOOKUP('Données projet'!$B$12,Paramètres!$A$1:$I$89,5,0)</f>
        <v>128.69999999999996</v>
      </c>
      <c r="CA38" s="13">
        <f t="shared" si="39"/>
        <v>33.695792019186115</v>
      </c>
      <c r="CB38" s="20">
        <f t="shared" si="10"/>
        <v>282.83933776674911</v>
      </c>
      <c r="CC38" s="59">
        <f t="shared" si="11"/>
        <v>576.17267110008243</v>
      </c>
      <c r="CD38" s="59">
        <f ca="1">AVERAGE(OFFSET($CC$3,0,0,'Données projet'!$E$12+1,1))-AVERAGE(OFFSET($H$3,0,0,'Données projet'!$E$12+1,1))</f>
        <v>216.95993967070063</v>
      </c>
      <c r="CE38" s="59">
        <f t="shared" si="40"/>
        <v>208.79744153433245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4.6795353452103674</v>
      </c>
      <c r="CL38" s="21">
        <f>EXP(-LN(2)/25)*CL37+(1-EXP(-LN(2)/25))/(LN(2)/25)*Calculateur!CG38*Calculateur!CI38*VLOOKUP('Données projet'!$B$12,Paramètres!$A$1:$I$89,3,0)*0.475*44/12</f>
        <v>5.5866330862946629</v>
      </c>
      <c r="CM38" s="21">
        <f>EXP(-LN(2)/2)*CM37+(1-EXP(-LN(2)/2))/(LN(2)/2)*CG38*CJ38*VLOOKUP('Données projet'!$B$12,Paramètres!$A$1:$I$89,3,0)*0.475*44/12</f>
        <v>0.21807320855300899</v>
      </c>
      <c r="CN38" s="22">
        <f t="shared" si="12"/>
        <v>10.484241640058038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11.5</v>
      </c>
      <c r="CT38" s="12">
        <f>IF('Données projet'!$A$140&gt;35,CT37+CS38-DB37,IF(A38&lt;'Données projet'!$A$140,$CQ$205^A38,IF(A38='Données projet'!$A$140,'Données projet'!$B$140,CT37+CS38-DB37)))</f>
        <v>164.99999999999994</v>
      </c>
      <c r="CU38" s="17">
        <f>CT38*VLOOKUP('Données projet'!$B$13,Paramètres!$A$1:$I$89,3,0)*VLOOKUP('Données projet'!$B$13,Paramètres!$A$1:$I$89,5,0)</f>
        <v>110.68199999999996</v>
      </c>
      <c r="CV38" s="13">
        <f t="shared" si="41"/>
        <v>29.491611243899666</v>
      </c>
      <c r="CW38" s="20">
        <f t="shared" si="13"/>
        <v>244.13570624979181</v>
      </c>
      <c r="CX38" s="59">
        <f t="shared" si="14"/>
        <v>537.4690395831251</v>
      </c>
      <c r="CY38" s="59">
        <f ca="1">AVERAGE(OFFSET($CX$3,0,0,'Données projet'!$E$13+1,1))-AVERAGE(OFFSET($H$3,0,0,'Données projet'!$E$13+1,1))</f>
        <v>181.32837315090507</v>
      </c>
      <c r="CZ38" s="59">
        <f t="shared" si="42"/>
        <v>175.03267817980338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4.9603074659229858</v>
      </c>
      <c r="DG38" s="21">
        <f>EXP(-LN(2)/25)*DG37+(1-EXP(-LN(2)/25))/(LN(2)/25)*Calculateur!DB38*Calculateur!DD38*VLOOKUP('Données projet'!$B$13,Paramètres!$A$1:$I$89,3,0)*0.475*44/12</f>
        <v>5.9218310714723446</v>
      </c>
      <c r="DH38" s="21">
        <f>EXP(-LN(2)/2)*DH37+(1-EXP(-LN(2)/2))/(LN(2)/2)*DB38*DE38*VLOOKUP('Données projet'!$B$13,Paramètres!$A$1:$I$89,3,0)*0.475*44/12</f>
        <v>0.18754295935558765</v>
      </c>
      <c r="DI38" s="22">
        <f t="shared" si="15"/>
        <v>11.069681496750919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239</v>
      </c>
      <c r="DM38" s="12">
        <f>VLOOKUP(A38,'Données projet'!$A$165:$I$185,9,0)</f>
        <v>15.2</v>
      </c>
      <c r="DN38" s="12">
        <f t="array" ref="DN38">INDEX(DM:DM,MIN(IF(ISNUMBER(DM38:DM234),ROW(DM38:DM234),"")))</f>
        <v>15.2</v>
      </c>
      <c r="DO38" s="12">
        <f>IF('Données projet'!$A$166&gt;35,DO37+DN38-DW37,IF(A38&lt;'Données projet'!$A$166,$DL$205^A38,IF(A38='Données projet'!$A$166,'Données projet'!$B$166,DO37+DN38-DW37)))</f>
        <v>239</v>
      </c>
      <c r="DP38" s="17">
        <f>DO38*VLOOKUP('Données projet'!$B$14,Paramètres!$A$1:$I$89,3,0)*VLOOKUP('Données projet'!$B$14,Paramètres!$A$1:$I$89,5,0)</f>
        <v>190.14840000000001</v>
      </c>
      <c r="DQ38" s="13">
        <f t="shared" si="43"/>
        <v>47.572760493232991</v>
      </c>
      <c r="DR38" s="20">
        <f t="shared" si="16"/>
        <v>414.03102119238082</v>
      </c>
      <c r="DS38" s="59">
        <f t="shared" si="17"/>
        <v>707.36435452571413</v>
      </c>
      <c r="DT38" s="59">
        <f ca="1">AVERAGE(OFFSET($DS$3,0,0,'Données projet'!$E$14+1,1))-AVERAGE(OFFSET($H$3,0,0,'Données projet'!$E$14+1,1))</f>
        <v>325.72928944930294</v>
      </c>
      <c r="DU38" s="59">
        <f t="shared" si="44"/>
        <v>318.38876834819752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15.682071870281939</v>
      </c>
      <c r="EB38" s="21">
        <f>EXP(-LN(2)/25)*EB37+(1-EXP(-LN(2)/25))/(LN(2)/25)*Calculateur!DW38*Calculateur!DY38*VLOOKUP('Données projet'!$B$14,Paramètres!$A$1:$I$89,3,0)*0.475*44/12</f>
        <v>18.002881937030878</v>
      </c>
      <c r="EC38" s="21">
        <f>EXP(-LN(2)/2)*EC37+(1-EXP(-LN(2)/2))/(LN(2)/2)*DW38*DZ38*VLOOKUP('Données projet'!$B$14,Paramètres!$A$1:$I$89,3,0)*0.475*44/12</f>
        <v>2.0912189906864951</v>
      </c>
      <c r="ED38" s="22">
        <f t="shared" si="18"/>
        <v>35.776172797999308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147</v>
      </c>
      <c r="EH38" s="12">
        <f>VLOOKUP(A38,'Données projet'!$A$191:$I$211,9,0)</f>
        <v>10.8</v>
      </c>
      <c r="EI38" s="12">
        <f t="array" ref="EI38">INDEX(EH:EH,MIN(IF(ISNUMBER(EH38:EH234),ROW(EH38:EH234),"")))</f>
        <v>10.8</v>
      </c>
      <c r="EJ38" s="12">
        <f>IF('Données projet'!$A$192&gt;35,EJ37+EI38-ER37,IF(A38&lt;'Données projet'!$A$192,$EG$205^A38,IF(A38='Données projet'!$A$192,'Données projet'!$B$192,EJ37+EI38-ER37)))</f>
        <v>147.00000000000006</v>
      </c>
      <c r="EK38" s="17">
        <f>EJ38*VLOOKUP('Données projet'!$B$15,Paramètres!$A$1:$I$89,3,0)*VLOOKUP('Données projet'!$B$15,Paramètres!$A$1:$I$89,5,0)</f>
        <v>149.05800000000008</v>
      </c>
      <c r="EL38" s="13">
        <f t="shared" si="45"/>
        <v>38.364434314370335</v>
      </c>
      <c r="EM38" s="20">
        <f t="shared" si="19"/>
        <v>326.42740643086182</v>
      </c>
      <c r="EN38" s="59">
        <f t="shared" si="20"/>
        <v>619.76073976419514</v>
      </c>
      <c r="EO38" s="59">
        <f ca="1">AVERAGE(OFFSET($EN$3,0,0,'Données projet'!$E$15+1,1))-AVERAGE(OFFSET($H$3,0,0,'Données projet'!$E$15+1,1))</f>
        <v>384.50065773787549</v>
      </c>
      <c r="EP38" s="59">
        <f t="shared" si="46"/>
        <v>231.92898690465887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7.4183280425002884</v>
      </c>
      <c r="EW38" s="21">
        <f>EXP(-LN(2)/25)*EW37+(1-EXP(-LN(2)/25))/(LN(2)/25)*Calculateur!ER38*Calculateur!ET38*VLOOKUP('Données projet'!$B$15,Paramètres!$A$1:$I$89,3,0)*0.475*44/12</f>
        <v>9.1364251341987863</v>
      </c>
      <c r="EX38" s="21">
        <f>EXP(-LN(2)/2)*EX37+(1-EXP(-LN(2)/2))/(LN(2)/2)*ER38*EU38*VLOOKUP('Données projet'!$B$15,Paramètres!$A$1:$I$89,3,0)*0.475*44/12</f>
        <v>1.6908511638526771</v>
      </c>
      <c r="EY38" s="22">
        <f t="shared" si="21"/>
        <v>18.245604340551751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147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147.00000000000006</v>
      </c>
      <c r="FF38" s="17">
        <f>FE38*VLOOKUP('Données projet'!$B$16,Paramètres!$A$1:$I$89,3,0)*VLOOKUP('Données projet'!$B$16,Paramètres!$A$1:$I$89,5,0)</f>
        <v>133.00560000000004</v>
      </c>
      <c r="FG38" s="13">
        <f t="shared" si="47"/>
        <v>34.689938673073549</v>
      </c>
      <c r="FH38" s="20">
        <f t="shared" si="22"/>
        <v>292.06972985560316</v>
      </c>
      <c r="FI38" s="59">
        <f t="shared" si="23"/>
        <v>585.40306318893647</v>
      </c>
      <c r="FJ38" s="59">
        <f ca="1">AVERAGE(OFFSET($FI$3,0,0,'Données projet'!$E$16+1,1))-AVERAGE(OFFSET($H$3,0,0,'Données projet'!$E$16+1,1))</f>
        <v>326.46362829268969</v>
      </c>
      <c r="FK38" s="59">
        <f t="shared" si="48"/>
        <v>203.5274665601915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6.6194311763848708</v>
      </c>
      <c r="FR38" s="21">
        <f>EXP(-LN(2)/25)*FR37+(1-EXP(-LN(2)/25))/(LN(2)/25)*Calculateur!FM38*Calculateur!FO38*VLOOKUP('Données projet'!$B$16,Paramètres!$A$1:$I$89,3,0)*0.475*44/12</f>
        <v>8.1525024274389182</v>
      </c>
      <c r="FS38" s="21">
        <f>EXP(-LN(2)/2)*FS37+(1-EXP(-LN(2)/2))/(LN(2)/2)*FM38*FP38*VLOOKUP('Données projet'!$B$16,Paramètres!$A$1:$I$89,3,0)*0.475*44/12</f>
        <v>1.508759500053158</v>
      </c>
      <c r="FT38" s="22">
        <f t="shared" si="24"/>
        <v>16.280693103876949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147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147.00000000000006</v>
      </c>
      <c r="GA38" s="17">
        <f>FZ38*VLOOKUP('Données projet'!$B$17,Paramètres!$A$1:$I$89,3,0)*VLOOKUP('Données projet'!$B$17,Paramètres!$A$1:$I$89,5,0)</f>
        <v>142.17840000000004</v>
      </c>
      <c r="GB38" s="13">
        <f t="shared" si="49"/>
        <v>36.795597013009356</v>
      </c>
      <c r="GC38" s="20">
        <f t="shared" si="25"/>
        <v>311.71304479765803</v>
      </c>
      <c r="GD38" s="59">
        <f t="shared" si="26"/>
        <v>605.04637813099134</v>
      </c>
      <c r="GE38" s="59">
        <f ca="1">AVERAGE(OFFSET($GD$3,0,0,'Données projet'!$E$17+1,1))-AVERAGE(OFFSET($H$3,0,0,'Données projet'!$E$17+1,1))</f>
        <v>353.24082990916918</v>
      </c>
      <c r="GF38" s="59">
        <f t="shared" si="50"/>
        <v>219.76562717496353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7.0759436713079671</v>
      </c>
      <c r="GM38" s="21">
        <f>EXP(-LN(2)/25)*GM37+(1-EXP(-LN(2)/25))/(LN(2)/25)*Calculateur!GH38*Calculateur!GJ38*VLOOKUP('Données projet'!$B$17,Paramètres!$A$1:$I$89,3,0)*0.475*44/12</f>
        <v>8.7147439741588446</v>
      </c>
      <c r="GN38" s="21">
        <f>EXP(-LN(2)/2)*GN37+(1-EXP(-LN(2)/2))/(LN(2)/2)*GH38*GK38*VLOOKUP('Données projet'!$B$17,Paramètres!$A$1:$I$89,3,0)*0.475*44/12</f>
        <v>1.6128118793671693</v>
      </c>
      <c r="GO38" s="21">
        <f t="shared" si="27"/>
        <v>17.403499524833979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378.17323480030268</v>
      </c>
      <c r="T39" s="59">
        <f t="shared" si="34"/>
        <v>471.89239871617241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3.9113030549606949</v>
      </c>
      <c r="AA39" s="21">
        <f>EXP(-LN(2)/25)*AA38+(1-EXP(-LN(2)/25))/(LN(2)/25)*Calculateur!V39*Calculateur!X39*VLOOKUP('Données projet'!$B$9,Paramètres!$A$1:$I$89,3,0)*0.475*44/12</f>
        <v>17.613484073173584</v>
      </c>
      <c r="AB39" s="21">
        <f>EXP(-LN(2)/2)*AB38+(1-EXP(-LN(2)/2))/(LN(2)/2)*V39*Y39*VLOOKUP('Données projet'!$B$9,Paramètres!$A$1:$I$89,3,0)*0.475*44/12</f>
        <v>1.3075738663841687</v>
      </c>
      <c r="AC39" s="22">
        <f t="shared" si="3"/>
        <v>22.832360994518446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</v>
      </c>
      <c r="AI39" s="13">
        <f>IF('Données projet'!$A$62&gt;35,AI38+AH39-AQ38,IF(A39&lt;'Données projet'!$A$62,$AF$205^A39,IF(A39='Données projet'!$A$62,'Données projet'!$B$62,AI38+AH39-AQ38)))</f>
        <v>174.99999999999994</v>
      </c>
      <c r="AJ39" s="13">
        <f>AI39*VLOOKUP('Données projet'!$B$10,Paramètres!$A$1:$I$89,3,0)*VLOOKUP('Données projet'!$B$10,Paramètres!$A$1:$I$89,5,0)</f>
        <v>104.64999999999996</v>
      </c>
      <c r="AK39" s="13">
        <f t="shared" si="35"/>
        <v>28.066848529735861</v>
      </c>
      <c r="AL39" s="20">
        <f t="shared" si="4"/>
        <v>231.14851118928985</v>
      </c>
      <c r="AM39" s="59">
        <f t="shared" si="5"/>
        <v>524.48184452262319</v>
      </c>
      <c r="AN39" s="59">
        <f ca="1">AVERAGE(OFFSET($AM$3,0,0,'Données projet'!$E$10+1,1))-AVERAGE(OFFSET($H$3,0,0,'Données projet'!$E$10+1,1))</f>
        <v>141.22849894256314</v>
      </c>
      <c r="AO39" s="59">
        <f t="shared" si="36"/>
        <v>156.12101479343704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6.5312619806470122</v>
      </c>
      <c r="AV39" s="21">
        <f>EXP(-LN(2)/25)*AV38+(1-EXP(-LN(2)/25))/(LN(2)/25)*Calculateur!AQ39*Calculateur!AS39*VLOOKUP('Données projet'!$B$10,Paramètres!$A$1:$I$89,3,0)*0.475*44/12</f>
        <v>5.0995555922847995</v>
      </c>
      <c r="AW39" s="21">
        <f>EXP(-LN(2)/2)*AW38+(1-EXP(-LN(2)/2))/(LN(2)/2)*AQ39*AT39*VLOOKUP('Données projet'!$B$10,Paramètres!$A$1:$I$89,3,0)*0.475*44/12</f>
        <v>0.36974637877395172</v>
      </c>
      <c r="AX39" s="21">
        <f t="shared" si="6"/>
        <v>12.000563951705763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12.833333333333334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248</v>
      </c>
      <c r="BE39" s="13">
        <f>BD39*VLOOKUP('Données projet'!$B$11,Paramètres!$A$1:$I$89,3,0)*VLOOKUP('Données projet'!$B$11,Paramètres!$A$1:$I$89,5,0)</f>
        <v>109.61600000000001</v>
      </c>
      <c r="BF39" s="13">
        <f t="shared" si="37"/>
        <v>29.24049277198435</v>
      </c>
      <c r="BG39" s="20">
        <f t="shared" si="7"/>
        <v>241.84172491120606</v>
      </c>
      <c r="BH39" s="59">
        <f t="shared" si="8"/>
        <v>535.1750582445394</v>
      </c>
      <c r="BI39" s="59">
        <f ca="1">AVERAGE(OFFSET($BH$3,0,0,'Données projet'!$E$11+1,1))-AVERAGE(OFFSET($H$3,0,0,'Données projet'!$E$11+1,1))</f>
        <v>114.25511901730295</v>
      </c>
      <c r="BJ39" s="59">
        <f t="shared" si="38"/>
        <v>180.96261947642182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3.0353867808092905</v>
      </c>
      <c r="BQ39" s="21">
        <f>EXP(-LN(2)/25)*BQ38+(1-EXP(-LN(2)/25))/(LN(2)/25)*Calculateur!BL39*Calculateur!BN39*VLOOKUP('Données projet'!$B$11,Paramètres!$A$1:$I$89,3,0)*0.475*44/12</f>
        <v>15.084934056187738</v>
      </c>
      <c r="BR39" s="21">
        <f>EXP(-LN(2)/2)*BR38+(1-EXP(-LN(2)/2))/(LN(2)/2)*BL39*BO39*VLOOKUP('Données projet'!$B$11,Paramètres!$A$1:$I$89,3,0)*0.475*44/12</f>
        <v>0.85400781727272501</v>
      </c>
      <c r="BS39" s="22">
        <f t="shared" si="9"/>
        <v>18.974328654269751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176.49999999999994</v>
      </c>
      <c r="BZ39" s="13">
        <f>BY39*VLOOKUP('Données projet'!$B$12,Paramètres!$A$1:$I$89,3,0)*VLOOKUP('Données projet'!$B$12,Paramètres!$A$1:$I$89,5,0)</f>
        <v>137.66999999999996</v>
      </c>
      <c r="CA39" s="13">
        <f t="shared" si="39"/>
        <v>35.762714965854656</v>
      </c>
      <c r="CB39" s="20">
        <f t="shared" si="10"/>
        <v>302.06197856553007</v>
      </c>
      <c r="CC39" s="59">
        <f t="shared" si="11"/>
        <v>595.39531189886338</v>
      </c>
      <c r="CD39" s="59">
        <f ca="1">AVERAGE(OFFSET($CC$3,0,0,'Données projet'!$E$12+1,1))-AVERAGE(OFFSET($H$3,0,0,'Données projet'!$E$12+1,1))</f>
        <v>216.95993967070063</v>
      </c>
      <c r="CE39" s="59">
        <f t="shared" si="40"/>
        <v>208.79744153433245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4.5877725113255208</v>
      </c>
      <c r="CL39" s="21">
        <f>EXP(-LN(2)/25)*CL38+(1-EXP(-LN(2)/25))/(LN(2)/25)*Calculateur!CG39*Calculateur!CI39*VLOOKUP('Données projet'!$B$12,Paramètres!$A$1:$I$89,3,0)*0.475*44/12</f>
        <v>5.4338663107616698</v>
      </c>
      <c r="CM39" s="21">
        <f>EXP(-LN(2)/2)*CM38+(1-EXP(-LN(2)/2))/(LN(2)/2)*CG39*CJ39*VLOOKUP('Données projet'!$B$12,Paramètres!$A$1:$I$89,3,0)*0.475*44/12</f>
        <v>0.15420104456294087</v>
      </c>
      <c r="CN39" s="22">
        <f t="shared" si="12"/>
        <v>10.175839866650131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11.5</v>
      </c>
      <c r="CT39" s="12">
        <f>IF('Données projet'!$A$140&gt;35,CT38+CS39-DB38,IF(A39&lt;'Données projet'!$A$140,$CQ$205^A39,IF(A39='Données projet'!$A$140,'Données projet'!$B$140,CT38+CS39-DB38)))</f>
        <v>176.49999999999994</v>
      </c>
      <c r="CU39" s="17">
        <f>CT39*VLOOKUP('Données projet'!$B$13,Paramètres!$A$1:$I$89,3,0)*VLOOKUP('Données projet'!$B$13,Paramètres!$A$1:$I$89,5,0)</f>
        <v>118.39619999999995</v>
      </c>
      <c r="CV39" s="13">
        <f t="shared" si="41"/>
        <v>31.300646864120012</v>
      </c>
      <c r="CW39" s="20">
        <f t="shared" si="13"/>
        <v>260.72200828834224</v>
      </c>
      <c r="CX39" s="59">
        <f t="shared" si="14"/>
        <v>554.05534162167555</v>
      </c>
      <c r="CY39" s="59">
        <f ca="1">AVERAGE(OFFSET($CX$3,0,0,'Données projet'!$E$13+1,1))-AVERAGE(OFFSET($H$3,0,0,'Données projet'!$E$13+1,1))</f>
        <v>181.32837315090507</v>
      </c>
      <c r="CZ39" s="59">
        <f t="shared" si="42"/>
        <v>175.03267817980338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4.8630388620050482</v>
      </c>
      <c r="DG39" s="21">
        <f>EXP(-LN(2)/25)*DG38+(1-EXP(-LN(2)/25))/(LN(2)/25)*Calculateur!DB39*Calculateur!DD39*VLOOKUP('Données projet'!$B$13,Paramètres!$A$1:$I$89,3,0)*0.475*44/12</f>
        <v>5.7598982894073716</v>
      </c>
      <c r="DH39" s="21">
        <f>EXP(-LN(2)/2)*DH38+(1-EXP(-LN(2)/2))/(LN(2)/2)*DB39*DE39*VLOOKUP('Données projet'!$B$13,Paramètres!$A$1:$I$89,3,0)*0.475*44/12</f>
        <v>0.13261289832412909</v>
      </c>
      <c r="DI39" s="22">
        <f t="shared" si="15"/>
        <v>10.755550049736549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13.2</v>
      </c>
      <c r="DO39" s="12">
        <f>IF('Données projet'!$A$166&gt;35,DO38+DN39-DW38,IF(A39&lt;'Données projet'!$A$166,$DL$205^A39,IF(A39='Données projet'!$A$166,'Données projet'!$B$166,DO38+DN39-DW38)))</f>
        <v>210.2</v>
      </c>
      <c r="DP39" s="17">
        <f>DO39*VLOOKUP('Données projet'!$B$14,Paramètres!$A$1:$I$89,3,0)*VLOOKUP('Données projet'!$B$14,Paramètres!$A$1:$I$89,5,0)</f>
        <v>167.23511999999999</v>
      </c>
      <c r="DQ39" s="13">
        <f t="shared" si="43"/>
        <v>42.470192710511604</v>
      </c>
      <c r="DR39" s="20">
        <f t="shared" si="16"/>
        <v>365.23675297080769</v>
      </c>
      <c r="DS39" s="59">
        <f t="shared" si="17"/>
        <v>658.570086304141</v>
      </c>
      <c r="DT39" s="59">
        <f ca="1">AVERAGE(OFFSET($DS$3,0,0,'Données projet'!$E$14+1,1))-AVERAGE(OFFSET($H$3,0,0,'Données projet'!$E$14+1,1))</f>
        <v>325.72928944930294</v>
      </c>
      <c r="DU39" s="59">
        <f t="shared" si="44"/>
        <v>318.38876834819752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15.374556006025074</v>
      </c>
      <c r="EB39" s="21">
        <f>EXP(-LN(2)/25)*EB38+(1-EXP(-LN(2)/25))/(LN(2)/25)*Calculateur!DW39*Calculateur!DY39*VLOOKUP('Données projet'!$B$14,Paramètres!$A$1:$I$89,3,0)*0.475*44/12</f>
        <v>17.510592183732353</v>
      </c>
      <c r="EC39" s="21">
        <f>EXP(-LN(2)/2)*EC38+(1-EXP(-LN(2)/2))/(LN(2)/2)*DW39*DZ39*VLOOKUP('Données projet'!$B$14,Paramètres!$A$1:$I$89,3,0)*0.475*44/12</f>
        <v>1.4787151292605083</v>
      </c>
      <c r="ED39" s="22">
        <f t="shared" si="18"/>
        <v>34.363863319017938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11.2</v>
      </c>
      <c r="EJ39" s="12">
        <f>IF('Données projet'!$A$192&gt;35,EJ38+EI39-ER38,IF(A39&lt;'Données projet'!$A$192,$EG$205^A39,IF(A39='Données projet'!$A$192,'Données projet'!$B$192,EJ38+EI39-ER38)))</f>
        <v>130.20000000000005</v>
      </c>
      <c r="EK39" s="17">
        <f>EJ39*VLOOKUP('Données projet'!$B$15,Paramètres!$A$1:$I$89,3,0)*VLOOKUP('Données projet'!$B$15,Paramètres!$A$1:$I$89,5,0)</f>
        <v>132.02280000000007</v>
      </c>
      <c r="EL39" s="13">
        <f t="shared" si="45"/>
        <v>34.463348169992798</v>
      </c>
      <c r="EM39" s="20">
        <f t="shared" si="19"/>
        <v>289.96337472940422</v>
      </c>
      <c r="EN39" s="59">
        <f t="shared" si="20"/>
        <v>583.29670806273748</v>
      </c>
      <c r="EO39" s="59">
        <f ca="1">AVERAGE(OFFSET($EN$3,0,0,'Données projet'!$E$15+1,1))-AVERAGE(OFFSET($H$3,0,0,'Données projet'!$E$15+1,1))</f>
        <v>384.50065773787549</v>
      </c>
      <c r="EP39" s="59">
        <f t="shared" si="46"/>
        <v>231.92898690465887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7.2728591543201837</v>
      </c>
      <c r="EW39" s="21">
        <f>EXP(-LN(2)/25)*EW38+(1-EXP(-LN(2)/25))/(LN(2)/25)*Calculateur!ER39*Calculateur!ET39*VLOOKUP('Données projet'!$B$15,Paramètres!$A$1:$I$89,3,0)*0.475*44/12</f>
        <v>8.8865891084404041</v>
      </c>
      <c r="EX39" s="21">
        <f>EXP(-LN(2)/2)*EX38+(1-EXP(-LN(2)/2))/(LN(2)/2)*ER39*EU39*VLOOKUP('Données projet'!$B$15,Paramètres!$A$1:$I$89,3,0)*0.475*44/12</f>
        <v>1.1956123239373941</v>
      </c>
      <c r="EY39" s="22">
        <f t="shared" si="21"/>
        <v>17.355060586697981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11.2</v>
      </c>
      <c r="FE39" s="12">
        <f>IF('Données projet'!$A$218&gt;35,FE38+FD39-FM38,IF(A39&lt;'Données projet'!$A$218,$FB$205^A39,IF(A39='Données projet'!$A$218,'Données projet'!$B$218,FE38+FD39-FM38)))</f>
        <v>130.20000000000005</v>
      </c>
      <c r="FF39" s="17">
        <f>FE39*VLOOKUP('Données projet'!$B$16,Paramètres!$A$1:$I$89,3,0)*VLOOKUP('Données projet'!$B$16,Paramètres!$A$1:$I$89,5,0)</f>
        <v>117.80496000000004</v>
      </c>
      <c r="FG39" s="13">
        <f t="shared" si="47"/>
        <v>31.162493487829593</v>
      </c>
      <c r="FH39" s="20">
        <f t="shared" si="22"/>
        <v>259.45164815796994</v>
      </c>
      <c r="FI39" s="59">
        <f t="shared" si="23"/>
        <v>552.78498149130326</v>
      </c>
      <c r="FJ39" s="59">
        <f ca="1">AVERAGE(OFFSET($FI$3,0,0,'Données projet'!$E$16+1,1))-AVERAGE(OFFSET($H$3,0,0,'Données projet'!$E$16+1,1))</f>
        <v>326.46362829268969</v>
      </c>
      <c r="FK39" s="59">
        <f t="shared" si="48"/>
        <v>203.5274665601915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6.4896281684703157</v>
      </c>
      <c r="FR39" s="21">
        <f>EXP(-LN(2)/25)*FR38+(1-EXP(-LN(2)/25))/(LN(2)/25)*Calculateur!FM39*Calculateur!FO39*VLOOKUP('Données projet'!$B$16,Paramètres!$A$1:$I$89,3,0)*0.475*44/12</f>
        <v>7.929571819839131</v>
      </c>
      <c r="FS39" s="21">
        <f>EXP(-LN(2)/2)*FS38+(1-EXP(-LN(2)/2))/(LN(2)/2)*FM39*FP39*VLOOKUP('Données projet'!$B$16,Paramètres!$A$1:$I$89,3,0)*0.475*44/12</f>
        <v>1.0668540736672132</v>
      </c>
      <c r="FT39" s="22">
        <f t="shared" si="24"/>
        <v>15.486054061976661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11.2</v>
      </c>
      <c r="FZ39" s="12">
        <f>IF('Données projet'!$A$244&gt;35,FZ38+FY39-GH38,IF(A39&lt;'Données projet'!$A$244,$FW$205^A39,IF(A39='Données projet'!$A$244,'Données projet'!$B$244,FZ38+FY39-GH38)))</f>
        <v>130.20000000000005</v>
      </c>
      <c r="GA39" s="17">
        <f>FZ39*VLOOKUP('Données projet'!$B$17,Paramètres!$A$1:$I$89,3,0)*VLOOKUP('Données projet'!$B$17,Paramètres!$A$1:$I$89,5,0)</f>
        <v>125.92944000000006</v>
      </c>
      <c r="GB39" s="13">
        <f t="shared" si="49"/>
        <v>33.054038034052077</v>
      </c>
      <c r="GC39" s="20">
        <f t="shared" si="25"/>
        <v>276.89622424264081</v>
      </c>
      <c r="GD39" s="59">
        <f t="shared" si="26"/>
        <v>570.22955757597413</v>
      </c>
      <c r="GE39" s="59">
        <f ca="1">AVERAGE(OFFSET($GD$3,0,0,'Données projet'!$E$17+1,1))-AVERAGE(OFFSET($H$3,0,0,'Données projet'!$E$17+1,1))</f>
        <v>353.24082990916918</v>
      </c>
      <c r="GF39" s="59">
        <f t="shared" si="50"/>
        <v>219.76562717496353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6.937188731813098</v>
      </c>
      <c r="GM39" s="21">
        <f>EXP(-LN(2)/25)*GM38+(1-EXP(-LN(2)/25))/(LN(2)/25)*Calculateur!GH39*Calculateur!GJ39*VLOOKUP('Données projet'!$B$17,Paramètres!$A$1:$I$89,3,0)*0.475*44/12</f>
        <v>8.4764388418970036</v>
      </c>
      <c r="GN39" s="21">
        <f>EXP(-LN(2)/2)*GN38+(1-EXP(-LN(2)/2))/(LN(2)/2)*GH39*GK39*VLOOKUP('Données projet'!$B$17,Paramètres!$A$1:$I$89,3,0)*0.475*44/12</f>
        <v>1.1404302166787454</v>
      </c>
      <c r="GO39" s="21">
        <f t="shared" si="27"/>
        <v>16.554057790388846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378.17323480030268</v>
      </c>
      <c r="T40" s="59">
        <f t="shared" si="34"/>
        <v>471.89239871617241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3.8346047877122147</v>
      </c>
      <c r="AA40" s="21">
        <f>EXP(-LN(2)/25)*AA39+(1-EXP(-LN(2)/25))/(LN(2)/25)*Calculateur!V40*Calculateur!X40*VLOOKUP('Données projet'!$B$9,Paramètres!$A$1:$I$89,3,0)*0.475*44/12</f>
        <v>17.13184242493978</v>
      </c>
      <c r="AB40" s="21">
        <f>EXP(-LN(2)/2)*AB39+(1-EXP(-LN(2)/2))/(LN(2)/2)*V40*Y40*VLOOKUP('Données projet'!$B$9,Paramètres!$A$1:$I$89,3,0)*0.475*44/12</f>
        <v>0.92459434782255834</v>
      </c>
      <c r="AC40" s="22">
        <f t="shared" si="3"/>
        <v>21.891041560474555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</v>
      </c>
      <c r="AI40" s="13">
        <f>IF('Données projet'!$A$62&gt;35,AI39+AH40-AQ39,IF(A40&lt;'Données projet'!$A$62,$AF$205^A40,IF(A40='Données projet'!$A$62,'Données projet'!$B$62,AI39+AH40-AQ39)))</f>
        <v>184.99999999999994</v>
      </c>
      <c r="AJ40" s="13">
        <f>AI40*VLOOKUP('Données projet'!$B$10,Paramètres!$A$1:$I$89,3,0)*VLOOKUP('Données projet'!$B$10,Paramètres!$A$1:$I$89,5,0)</f>
        <v>110.62999999999998</v>
      </c>
      <c r="AK40" s="13">
        <f t="shared" si="35"/>
        <v>29.479368114771006</v>
      </c>
      <c r="AL40" s="20">
        <f t="shared" si="4"/>
        <v>244.02381613322609</v>
      </c>
      <c r="AM40" s="59">
        <f t="shared" si="5"/>
        <v>537.35714946655935</v>
      </c>
      <c r="AN40" s="59">
        <f ca="1">AVERAGE(OFFSET($AM$3,0,0,'Données projet'!$E$10+1,1))-AVERAGE(OFFSET($H$3,0,0,'Données projet'!$E$10+1,1))</f>
        <v>141.22849894256314</v>
      </c>
      <c r="AO40" s="59">
        <f t="shared" si="36"/>
        <v>156.12101479343704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6.4031879168829775</v>
      </c>
      <c r="AV40" s="21">
        <f>EXP(-LN(2)/25)*AV39+(1-EXP(-LN(2)/25))/(LN(2)/25)*Calculateur!AQ40*Calculateur!AS40*VLOOKUP('Données projet'!$B$10,Paramètres!$A$1:$I$89,3,0)*0.475*44/12</f>
        <v>4.9601079764397982</v>
      </c>
      <c r="AW40" s="21">
        <f>EXP(-LN(2)/2)*AW39+(1-EXP(-LN(2)/2))/(LN(2)/2)*AQ40*AT40*VLOOKUP('Données projet'!$B$10,Paramètres!$A$1:$I$89,3,0)*0.475*44/12</f>
        <v>0.261450171750231</v>
      </c>
      <c r="AX40" s="21">
        <f t="shared" si="6"/>
        <v>11.624746065073007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197.5</v>
      </c>
      <c r="BE40" s="13">
        <f>BD40*VLOOKUP('Données projet'!$B$11,Paramètres!$A$1:$I$89,3,0)*VLOOKUP('Données projet'!$B$11,Paramètres!$A$1:$I$89,5,0)</f>
        <v>87.295000000000016</v>
      </c>
      <c r="BF40" s="13">
        <f t="shared" si="37"/>
        <v>23.911689993390215</v>
      </c>
      <c r="BG40" s="20">
        <f t="shared" si="7"/>
        <v>193.6849850718213</v>
      </c>
      <c r="BH40" s="59">
        <f t="shared" si="8"/>
        <v>487.01831840515462</v>
      </c>
      <c r="BI40" s="59">
        <f ca="1">AVERAGE(OFFSET($BH$3,0,0,'Données projet'!$E$11+1,1))-AVERAGE(OFFSET($H$3,0,0,'Données projet'!$E$11+1,1))</f>
        <v>114.25511901730295</v>
      </c>
      <c r="BJ40" s="59">
        <f t="shared" si="38"/>
        <v>180.96261947642182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2.9758646974407457</v>
      </c>
      <c r="BQ40" s="21">
        <f>EXP(-LN(2)/25)*BQ39+(1-EXP(-LN(2)/25))/(LN(2)/25)*Calculateur!BL40*Calculateur!BN40*VLOOKUP('Données projet'!$B$11,Paramètres!$A$1:$I$89,3,0)*0.475*44/12</f>
        <v>14.672435741139079</v>
      </c>
      <c r="BR40" s="21">
        <f>EXP(-LN(2)/2)*BR39+(1-EXP(-LN(2)/2))/(LN(2)/2)*BL40*BO40*VLOOKUP('Données projet'!$B$11,Paramètres!$A$1:$I$89,3,0)*0.475*44/12</f>
        <v>0.60387471877986587</v>
      </c>
      <c r="BS40" s="22">
        <f t="shared" si="9"/>
        <v>18.252175157359691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188</v>
      </c>
      <c r="BW40" s="12">
        <f>VLOOKUP(A40,'Données projet'!$A$113:$I$133,9,0)</f>
        <v>11.5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187.99999999999994</v>
      </c>
      <c r="BZ40" s="13">
        <f>BY40*VLOOKUP('Données projet'!$B$12,Paramètres!$A$1:$I$89,3,0)*VLOOKUP('Données projet'!$B$12,Paramètres!$A$1:$I$89,5,0)</f>
        <v>146.63999999999996</v>
      </c>
      <c r="CA40" s="13">
        <f t="shared" si="39"/>
        <v>37.814009712703026</v>
      </c>
      <c r="CB40" s="20">
        <f t="shared" si="10"/>
        <v>321.25740024962437</v>
      </c>
      <c r="CC40" s="59">
        <f t="shared" si="11"/>
        <v>614.59073358295768</v>
      </c>
      <c r="CD40" s="59">
        <f ca="1">AVERAGE(OFFSET($CC$3,0,0,'Données projet'!$E$12+1,1))-AVERAGE(OFFSET($H$3,0,0,'Données projet'!$E$12+1,1))</f>
        <v>216.95993967070063</v>
      </c>
      <c r="CE40" s="59">
        <f t="shared" si="40"/>
        <v>208.79744153433245</v>
      </c>
      <c r="CF40" s="15">
        <f>IF(ISNA(VLOOKUP(A40,'Données projet'!$A$113:$I$133,3,0)),0,VLOOKUP(A40,'Données projet'!$A$113:$I$133,3,0))</f>
        <v>5</v>
      </c>
      <c r="CG40" s="15">
        <f>IF(ISNA(VLOOKUP(A40,'Données projet'!$A$113:$I$133,4,0)),0,VLOOKUP(A40,'Données projet'!$A$113:$I$133,4,0))</f>
        <v>36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4.4978090906433534</v>
      </c>
      <c r="CL40" s="21">
        <f>EXP(-LN(2)/25)*CL39+(1-EXP(-LN(2)/25))/(LN(2)/25)*Calculateur!CG40*Calculateur!CI40*VLOOKUP('Données projet'!$B$12,Paramètres!$A$1:$I$89,3,0)*0.475*44/12</f>
        <v>5.2852769507392816</v>
      </c>
      <c r="CM40" s="21">
        <f>EXP(-LN(2)/2)*CM39+(1-EXP(-LN(2)/2))/(LN(2)/2)*CG40*CJ40*VLOOKUP('Données projet'!$B$12,Paramètres!$A$1:$I$89,3,0)*0.475*44/12</f>
        <v>0.1090366042765045</v>
      </c>
      <c r="CN40" s="22">
        <f t="shared" si="12"/>
        <v>9.8921226456591391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188</v>
      </c>
      <c r="CR40" s="12">
        <f>VLOOKUP(A40,'Données projet'!$A$139:$I$159,9,0)</f>
        <v>11.5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187.99999999999994</v>
      </c>
      <c r="CU40" s="17">
        <f>CT40*VLOOKUP('Données projet'!$B$13,Paramètres!$A$1:$I$89,3,0)*VLOOKUP('Données projet'!$B$13,Paramètres!$A$1:$I$89,5,0)</f>
        <v>126.11039999999997</v>
      </c>
      <c r="CV40" s="13">
        <f t="shared" si="41"/>
        <v>33.096004194977844</v>
      </c>
      <c r="CW40" s="20">
        <f t="shared" si="13"/>
        <v>277.28448730625303</v>
      </c>
      <c r="CX40" s="59">
        <f t="shared" si="14"/>
        <v>570.6178206395864</v>
      </c>
      <c r="CY40" s="59">
        <f ca="1">AVERAGE(OFFSET($CX$3,0,0,'Données projet'!$E$13+1,1))-AVERAGE(OFFSET($H$3,0,0,'Données projet'!$E$13+1,1))</f>
        <v>181.32837315090507</v>
      </c>
      <c r="CZ40" s="59">
        <f t="shared" si="42"/>
        <v>175.03267817980338</v>
      </c>
      <c r="DA40" s="15">
        <f>IF(ISNA(VLOOKUP(A40,'Données projet'!$A$139:$I$159,3,0)),0,VLOOKUP(A40,'Données projet'!$A$139:$I$159,3,0))</f>
        <v>5</v>
      </c>
      <c r="DB40" s="15">
        <f>IF(ISNA(VLOOKUP(A40,'Données projet'!$A$139:$I$159,4,0)),0,VLOOKUP(A40,'Données projet'!$A$139:$I$159,4,0))</f>
        <v>36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4.7676776360819506</v>
      </c>
      <c r="DG40" s="21">
        <f>EXP(-LN(2)/25)*DG39+(1-EXP(-LN(2)/25))/(LN(2)/25)*Calculateur!DB40*Calculateur!DD40*VLOOKUP('Données projet'!$B$13,Paramètres!$A$1:$I$89,3,0)*0.475*44/12</f>
        <v>5.6023935677836407</v>
      </c>
      <c r="DH40" s="21">
        <f>EXP(-LN(2)/2)*DH39+(1-EXP(-LN(2)/2))/(LN(2)/2)*DB40*DE40*VLOOKUP('Données projet'!$B$13,Paramètres!$A$1:$I$89,3,0)*0.475*44/12</f>
        <v>9.3771479677793826E-2</v>
      </c>
      <c r="DI40" s="22">
        <f t="shared" si="15"/>
        <v>10.463842683543387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13.2</v>
      </c>
      <c r="DO40" s="12">
        <f>IF('Données projet'!$A$166&gt;35,DO39+DN40-DW39,IF(A40&lt;'Données projet'!$A$166,$DL$205^A40,IF(A40='Données projet'!$A$166,'Données projet'!$B$166,DO39+DN40-DW39)))</f>
        <v>223.39999999999998</v>
      </c>
      <c r="DP40" s="17">
        <f>DO40*VLOOKUP('Données projet'!$B$14,Paramètres!$A$1:$I$89,3,0)*VLOOKUP('Données projet'!$B$14,Paramètres!$A$1:$I$89,5,0)</f>
        <v>177.73703999999998</v>
      </c>
      <c r="DQ40" s="13">
        <f t="shared" si="43"/>
        <v>44.818349142210366</v>
      </c>
      <c r="DR40" s="20">
        <f t="shared" si="16"/>
        <v>387.61730275601627</v>
      </c>
      <c r="DS40" s="59">
        <f t="shared" si="17"/>
        <v>680.95063608934959</v>
      </c>
      <c r="DT40" s="59">
        <f ca="1">AVERAGE(OFFSET($DS$3,0,0,'Données projet'!$E$14+1,1))-AVERAGE(OFFSET($H$3,0,0,'Données projet'!$E$14+1,1))</f>
        <v>325.72928944930294</v>
      </c>
      <c r="DU40" s="59">
        <f t="shared" si="44"/>
        <v>318.38876834819752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15.073070340300129</v>
      </c>
      <c r="EB40" s="21">
        <f>EXP(-LN(2)/25)*EB39+(1-EXP(-LN(2)/25))/(LN(2)/25)*Calculateur!DW40*Calculateur!DY40*VLOOKUP('Données projet'!$B$14,Paramètres!$A$1:$I$89,3,0)*0.475*44/12</f>
        <v>17.031764119626171</v>
      </c>
      <c r="EC40" s="21">
        <f>EXP(-LN(2)/2)*EC39+(1-EXP(-LN(2)/2))/(LN(2)/2)*DW40*DZ40*VLOOKUP('Données projet'!$B$14,Paramètres!$A$1:$I$89,3,0)*0.475*44/12</f>
        <v>1.0456094953432475</v>
      </c>
      <c r="ED40" s="22">
        <f t="shared" si="18"/>
        <v>33.150443955269552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11.2</v>
      </c>
      <c r="EJ40" s="12">
        <f>IF('Données projet'!$A$192&gt;35,EJ39+EI40-ER39,IF(A40&lt;'Données projet'!$A$192,$EG$205^A40,IF(A40='Données projet'!$A$192,'Données projet'!$B$192,EJ39+EI40-ER39)))</f>
        <v>141.40000000000003</v>
      </c>
      <c r="EK40" s="17">
        <f>EJ40*VLOOKUP('Données projet'!$B$15,Paramètres!$A$1:$I$89,3,0)*VLOOKUP('Données projet'!$B$15,Paramètres!$A$1:$I$89,5,0)</f>
        <v>143.37960000000004</v>
      </c>
      <c r="EL40" s="13">
        <f t="shared" si="45"/>
        <v>37.070146308317469</v>
      </c>
      <c r="EM40" s="20">
        <f t="shared" si="19"/>
        <v>314.28330815365302</v>
      </c>
      <c r="EN40" s="59">
        <f t="shared" si="20"/>
        <v>607.61664148698628</v>
      </c>
      <c r="EO40" s="59">
        <f ca="1">AVERAGE(OFFSET($EN$3,0,0,'Données projet'!$E$15+1,1))-AVERAGE(OFFSET($H$3,0,0,'Données projet'!$E$15+1,1))</f>
        <v>384.50065773787549</v>
      </c>
      <c r="EP40" s="59">
        <f t="shared" si="46"/>
        <v>231.92898690465887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7.1302428223100298</v>
      </c>
      <c r="EW40" s="21">
        <f>EXP(-LN(2)/25)*EW39+(1-EXP(-LN(2)/25))/(LN(2)/25)*Calculateur!ER40*Calculateur!ET40*VLOOKUP('Données projet'!$B$15,Paramètres!$A$1:$I$89,3,0)*0.475*44/12</f>
        <v>8.6435848619446904</v>
      </c>
      <c r="EX40" s="21">
        <f>EXP(-LN(2)/2)*EX39+(1-EXP(-LN(2)/2))/(LN(2)/2)*ER40*EU40*VLOOKUP('Données projet'!$B$15,Paramètres!$A$1:$I$89,3,0)*0.475*44/12</f>
        <v>0.84542558192633854</v>
      </c>
      <c r="EY40" s="22">
        <f t="shared" si="21"/>
        <v>16.619253266181058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11.2</v>
      </c>
      <c r="FE40" s="12">
        <f>IF('Données projet'!$A$218&gt;35,FE39+FD40-FM39,IF(A40&lt;'Données projet'!$A$218,$FB$205^A40,IF(A40='Données projet'!$A$218,'Données projet'!$B$218,FE39+FD40-FM39)))</f>
        <v>141.40000000000003</v>
      </c>
      <c r="FF40" s="17">
        <f>FE40*VLOOKUP('Données projet'!$B$16,Paramètres!$A$1:$I$89,3,0)*VLOOKUP('Données projet'!$B$16,Paramètres!$A$1:$I$89,5,0)</f>
        <v>127.93872000000003</v>
      </c>
      <c r="FG40" s="13">
        <f t="shared" si="47"/>
        <v>33.519615889545641</v>
      </c>
      <c r="FH40" s="20">
        <f t="shared" si="22"/>
        <v>281.20660167429202</v>
      </c>
      <c r="FI40" s="59">
        <f t="shared" si="23"/>
        <v>574.53993500762533</v>
      </c>
      <c r="FJ40" s="59">
        <f ca="1">AVERAGE(OFFSET($FI$3,0,0,'Données projet'!$E$16+1,1))-AVERAGE(OFFSET($H$3,0,0,'Données projet'!$E$16+1,1))</f>
        <v>326.46362829268969</v>
      </c>
      <c r="FK40" s="59">
        <f t="shared" si="48"/>
        <v>203.5274665601915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6.3623705183689472</v>
      </c>
      <c r="FR40" s="21">
        <f>EXP(-LN(2)/25)*FR39+(1-EXP(-LN(2)/25))/(LN(2)/25)*Calculateur!FM40*Calculateur!FO40*VLOOKUP('Données projet'!$B$16,Paramètres!$A$1:$I$89,3,0)*0.475*44/12</f>
        <v>7.7127372614275709</v>
      </c>
      <c r="FS40" s="21">
        <f>EXP(-LN(2)/2)*FS39+(1-EXP(-LN(2)/2))/(LN(2)/2)*FM40*FP40*VLOOKUP('Données projet'!$B$16,Paramètres!$A$1:$I$89,3,0)*0.475*44/12</f>
        <v>0.75437975002657898</v>
      </c>
      <c r="FT40" s="22">
        <f t="shared" si="24"/>
        <v>14.829487529823098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11.2</v>
      </c>
      <c r="FZ40" s="12">
        <f>IF('Données projet'!$A$244&gt;35,FZ39+FY40-GH39,IF(A40&lt;'Données projet'!$A$244,$FW$205^A40,IF(A40='Données projet'!$A$244,'Données projet'!$B$244,FZ39+FY40-GH39)))</f>
        <v>141.40000000000003</v>
      </c>
      <c r="GA40" s="17">
        <f>FZ40*VLOOKUP('Données projet'!$B$17,Paramètres!$A$1:$I$89,3,0)*VLOOKUP('Données projet'!$B$17,Paramètres!$A$1:$I$89,5,0)</f>
        <v>136.76208000000003</v>
      </c>
      <c r="GB40" s="13">
        <f t="shared" si="49"/>
        <v>35.554236342883392</v>
      </c>
      <c r="GC40" s="20">
        <f t="shared" si="25"/>
        <v>300.11758429718861</v>
      </c>
      <c r="GD40" s="59">
        <f t="shared" si="26"/>
        <v>593.45091763052187</v>
      </c>
      <c r="GE40" s="59">
        <f ca="1">AVERAGE(OFFSET($GD$3,0,0,'Données projet'!$E$17+1,1))-AVERAGE(OFFSET($H$3,0,0,'Données projet'!$E$17+1,1))</f>
        <v>353.24082990916918</v>
      </c>
      <c r="GF40" s="59">
        <f t="shared" si="50"/>
        <v>219.76562717496353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6.8011546920495665</v>
      </c>
      <c r="GM40" s="21">
        <f>EXP(-LN(2)/25)*GM39+(1-EXP(-LN(2)/25))/(LN(2)/25)*Calculateur!GH40*Calculateur!GJ40*VLOOKUP('Données projet'!$B$17,Paramètres!$A$1:$I$89,3,0)*0.475*44/12</f>
        <v>8.2446501760087845</v>
      </c>
      <c r="GN40" s="21">
        <f>EXP(-LN(2)/2)*GN39+(1-EXP(-LN(2)/2))/(LN(2)/2)*GH40*GK40*VLOOKUP('Données projet'!$B$17,Paramètres!$A$1:$I$89,3,0)*0.475*44/12</f>
        <v>0.80640593968358465</v>
      </c>
      <c r="GO40" s="21">
        <f t="shared" si="27"/>
        <v>15.852210807741935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378.17323480030268</v>
      </c>
      <c r="T41" s="59">
        <f t="shared" si="34"/>
        <v>471.89239871617241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3.7594105267031535</v>
      </c>
      <c r="AA41" s="21">
        <f>EXP(-LN(2)/25)*AA40+(1-EXP(-LN(2)/25))/(LN(2)/25)*Calculateur!V41*Calculateur!X41*VLOOKUP('Données projet'!$B$9,Paramètres!$A$1:$I$89,3,0)*0.475*44/12</f>
        <v>16.663371292905364</v>
      </c>
      <c r="AB41" s="21">
        <f>EXP(-LN(2)/2)*AB40+(1-EXP(-LN(2)/2))/(LN(2)/2)*V41*Y41*VLOOKUP('Données projet'!$B$9,Paramètres!$A$1:$I$89,3,0)*0.475*44/12</f>
        <v>0.65378693319208436</v>
      </c>
      <c r="AC41" s="22">
        <f t="shared" si="3"/>
        <v>21.0765687528006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</v>
      </c>
      <c r="AI41" s="13">
        <f>IF('Données projet'!$A$62&gt;35,AI40+AH41-AQ40,IF(A41&lt;'Données projet'!$A$62,$AF$205^A41,IF(A41='Données projet'!$A$62,'Données projet'!$B$62,AI40+AH41-AQ40)))</f>
        <v>194.99999999999994</v>
      </c>
      <c r="AJ41" s="13">
        <f>AI41*VLOOKUP('Données projet'!$B$10,Paramètres!$A$1:$I$89,3,0)*VLOOKUP('Données projet'!$B$10,Paramètres!$A$1:$I$89,5,0)</f>
        <v>116.60999999999997</v>
      </c>
      <c r="AK41" s="13">
        <f t="shared" si="35"/>
        <v>30.883023623410974</v>
      </c>
      <c r="AL41" s="20">
        <f t="shared" si="4"/>
        <v>256.88368281077408</v>
      </c>
      <c r="AM41" s="59">
        <f t="shared" si="5"/>
        <v>550.21701614410745</v>
      </c>
      <c r="AN41" s="59">
        <f ca="1">AVERAGE(OFFSET($AM$3,0,0,'Données projet'!$E$10+1,1))-AVERAGE(OFFSET($H$3,0,0,'Données projet'!$E$10+1,1))</f>
        <v>141.22849894256314</v>
      </c>
      <c r="AO41" s="59">
        <f t="shared" si="36"/>
        <v>156.12101479343704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6.2776253073918893</v>
      </c>
      <c r="AV41" s="21">
        <f>EXP(-LN(2)/25)*AV40+(1-EXP(-LN(2)/25))/(LN(2)/25)*Calculateur!AQ41*Calculateur!AS41*VLOOKUP('Données projet'!$B$10,Paramètres!$A$1:$I$89,3,0)*0.475*44/12</f>
        <v>4.82447356298331</v>
      </c>
      <c r="AW41" s="21">
        <f>EXP(-LN(2)/2)*AW40+(1-EXP(-LN(2)/2))/(LN(2)/2)*AQ41*AT41*VLOOKUP('Données projet'!$B$10,Paramètres!$A$1:$I$89,3,0)*0.475*44/12</f>
        <v>0.18487318938697586</v>
      </c>
      <c r="AX41" s="21">
        <f t="shared" si="6"/>
        <v>11.286972059762174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92.378</v>
      </c>
      <c r="BF41" s="13">
        <f t="shared" si="37"/>
        <v>25.137867946126693</v>
      </c>
      <c r="BG41" s="20">
        <f t="shared" si="7"/>
        <v>204.67347000617065</v>
      </c>
      <c r="BH41" s="59">
        <f t="shared" si="8"/>
        <v>498.00680333950396</v>
      </c>
      <c r="BI41" s="59">
        <f ca="1">AVERAGE(OFFSET($BH$3,0,0,'Données projet'!$E$11+1,1))-AVERAGE(OFFSET($H$3,0,0,'Données projet'!$E$11+1,1))</f>
        <v>114.25511901730295</v>
      </c>
      <c r="BJ41" s="59">
        <f t="shared" si="38"/>
        <v>180.96261947642182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2.917509805822172</v>
      </c>
      <c r="BQ41" s="21">
        <f>EXP(-LN(2)/25)*BQ40+(1-EXP(-LN(2)/25))/(LN(2)/25)*Calculateur!BL41*Calculateur!BN41*VLOOKUP('Données projet'!$B$11,Paramètres!$A$1:$I$89,3,0)*0.475*44/12</f>
        <v>14.27121721420777</v>
      </c>
      <c r="BR41" s="21">
        <f>EXP(-LN(2)/2)*BR40+(1-EXP(-LN(2)/2))/(LN(2)/2)*BL41*BO41*VLOOKUP('Données projet'!$B$11,Paramètres!$A$1:$I$89,3,0)*0.475*44/12</f>
        <v>0.42700390863636256</v>
      </c>
      <c r="BS41" s="22">
        <f t="shared" si="9"/>
        <v>17.615730928666302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11.142857142857142</v>
      </c>
      <c r="BY41" s="12">
        <f>IF('Données projet'!$A$114&gt;35,BY40+BX41-CG40,IF(A41&lt;'Données projet'!$A$114,$BV$205^A41,IF(A41='Données projet'!$A$114,'Données projet'!$B$114,BY40+BX41-CG40)))</f>
        <v>163.14285714285708</v>
      </c>
      <c r="BZ41" s="13">
        <f>BY41*VLOOKUP('Données projet'!$B$12,Paramètres!$A$1:$I$89,3,0)*VLOOKUP('Données projet'!$B$12,Paramètres!$A$1:$I$89,5,0)</f>
        <v>127.25142857142853</v>
      </c>
      <c r="CA41" s="13">
        <f t="shared" si="39"/>
        <v>33.360457439554281</v>
      </c>
      <c r="CB41" s="20">
        <f t="shared" si="10"/>
        <v>279.73236813579501</v>
      </c>
      <c r="CC41" s="59">
        <f t="shared" si="11"/>
        <v>573.06570146912827</v>
      </c>
      <c r="CD41" s="59">
        <f ca="1">AVERAGE(OFFSET($CC$3,0,0,'Données projet'!$E$12+1,1))-AVERAGE(OFFSET($H$3,0,0,'Données projet'!$E$12+1,1))</f>
        <v>216.95993967070063</v>
      </c>
      <c r="CE41" s="59">
        <f t="shared" si="40"/>
        <v>208.79744153433245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4.4096097977684954</v>
      </c>
      <c r="CL41" s="21">
        <f>EXP(-LN(2)/25)*CL40+(1-EXP(-LN(2)/25))/(LN(2)/25)*Calculateur!CG41*Calculateur!CI41*VLOOKUP('Données projet'!$B$12,Paramètres!$A$1:$I$89,3,0)*0.475*44/12</f>
        <v>5.1407507745806811</v>
      </c>
      <c r="CM41" s="21">
        <f>EXP(-LN(2)/2)*CM40+(1-EXP(-LN(2)/2))/(LN(2)/2)*CG41*CJ41*VLOOKUP('Données projet'!$B$12,Paramètres!$A$1:$I$89,3,0)*0.475*44/12</f>
        <v>7.7100522281470435E-2</v>
      </c>
      <c r="CN41" s="22">
        <f t="shared" si="12"/>
        <v>9.6274610946306485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11.142857142857142</v>
      </c>
      <c r="CT41" s="12">
        <f>IF('Données projet'!$A$140&gt;35,CT40+CS41-DB40,IF(A41&lt;'Données projet'!$A$140,$CQ$205^A41,IF(A41='Données projet'!$A$140,'Données projet'!$B$140,CT40+CS41-DB40)))</f>
        <v>163.14285714285708</v>
      </c>
      <c r="CU41" s="17">
        <f>CT41*VLOOKUP('Données projet'!$B$13,Paramètres!$A$1:$I$89,3,0)*VLOOKUP('Données projet'!$B$13,Paramètres!$A$1:$I$89,5,0)</f>
        <v>109.43622857142853</v>
      </c>
      <c r="CV41" s="13">
        <f t="shared" si="41"/>
        <v>29.198115929899995</v>
      </c>
      <c r="CW41" s="20">
        <f t="shared" si="13"/>
        <v>241.45481667314718</v>
      </c>
      <c r="CX41" s="59">
        <f t="shared" si="14"/>
        <v>534.78815000648046</v>
      </c>
      <c r="CY41" s="59">
        <f ca="1">AVERAGE(OFFSET($CX$3,0,0,'Données projet'!$E$13+1,1))-AVERAGE(OFFSET($H$3,0,0,'Données projet'!$E$13+1,1))</f>
        <v>181.32837315090507</v>
      </c>
      <c r="CZ41" s="59">
        <f t="shared" si="42"/>
        <v>175.03267817980338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4.6741863856346004</v>
      </c>
      <c r="DG41" s="21">
        <f>EXP(-LN(2)/25)*DG40+(1-EXP(-LN(2)/25))/(LN(2)/25)*Calculateur!DB41*Calculateur!DD41*VLOOKUP('Données projet'!$B$13,Paramètres!$A$1:$I$89,3,0)*0.475*44/12</f>
        <v>5.4491958210555236</v>
      </c>
      <c r="DH41" s="21">
        <f>EXP(-LN(2)/2)*DH40+(1-EXP(-LN(2)/2))/(LN(2)/2)*DB41*DE41*VLOOKUP('Données projet'!$B$13,Paramètres!$A$1:$I$89,3,0)*0.475*44/12</f>
        <v>6.6306449162064546E-2</v>
      </c>
      <c r="DI41" s="22">
        <f t="shared" si="15"/>
        <v>10.189688655852189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13.2</v>
      </c>
      <c r="DO41" s="12">
        <f>IF('Données projet'!$A$166&gt;35,DO40+DN41-DW40,IF(A41&lt;'Données projet'!$A$166,$DL$205^A41,IF(A41='Données projet'!$A$166,'Données projet'!$B$166,DO40+DN41-DW40)))</f>
        <v>236.59999999999997</v>
      </c>
      <c r="DP41" s="17">
        <f>DO41*VLOOKUP('Données projet'!$B$14,Paramètres!$A$1:$I$89,3,0)*VLOOKUP('Données projet'!$B$14,Paramètres!$A$1:$I$89,5,0)</f>
        <v>188.23895999999999</v>
      </c>
      <c r="DQ41" s="13">
        <f t="shared" si="43"/>
        <v>47.150401158990007</v>
      </c>
      <c r="DR41" s="20">
        <f t="shared" si="16"/>
        <v>409.96980401857422</v>
      </c>
      <c r="DS41" s="59">
        <f t="shared" si="17"/>
        <v>703.30313735190748</v>
      </c>
      <c r="DT41" s="59">
        <f ca="1">AVERAGE(OFFSET($DS$3,0,0,'Données projet'!$E$14+1,1))-AVERAGE(OFFSET($H$3,0,0,'Données projet'!$E$14+1,1))</f>
        <v>325.72928944930294</v>
      </c>
      <c r="DU41" s="59">
        <f t="shared" si="44"/>
        <v>318.38876834819752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14.777496624591953</v>
      </c>
      <c r="EB41" s="21">
        <f>EXP(-LN(2)/25)*EB40+(1-EXP(-LN(2)/25))/(LN(2)/25)*Calculateur!DW41*Calculateur!DY41*VLOOKUP('Données projet'!$B$14,Paramètres!$A$1:$I$89,3,0)*0.475*44/12</f>
        <v>16.566029634113445</v>
      </c>
      <c r="EC41" s="21">
        <f>EXP(-LN(2)/2)*EC40+(1-EXP(-LN(2)/2))/(LN(2)/2)*DW41*DZ41*VLOOKUP('Données projet'!$B$14,Paramètres!$A$1:$I$89,3,0)*0.475*44/12</f>
        <v>0.73935756463025415</v>
      </c>
      <c r="ED41" s="22">
        <f t="shared" si="18"/>
        <v>32.082883823335649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11.2</v>
      </c>
      <c r="EJ41" s="12">
        <f>IF('Données projet'!$A$192&gt;35,EJ40+EI41-ER40,IF(A41&lt;'Données projet'!$A$192,$EG$205^A41,IF(A41='Données projet'!$A$192,'Données projet'!$B$192,EJ40+EI41-ER40)))</f>
        <v>152.60000000000002</v>
      </c>
      <c r="EK41" s="17">
        <f>EJ41*VLOOKUP('Données projet'!$B$15,Paramètres!$A$1:$I$89,3,0)*VLOOKUP('Données projet'!$B$15,Paramètres!$A$1:$I$89,5,0)</f>
        <v>154.73640000000003</v>
      </c>
      <c r="EL41" s="13">
        <f t="shared" si="45"/>
        <v>39.652994320183701</v>
      </c>
      <c r="EM41" s="20">
        <f t="shared" si="19"/>
        <v>338.56152844098665</v>
      </c>
      <c r="EN41" s="59">
        <f t="shared" si="20"/>
        <v>631.89486177431991</v>
      </c>
      <c r="EO41" s="59">
        <f ca="1">AVERAGE(OFFSET($EN$3,0,0,'Données projet'!$E$15+1,1))-AVERAGE(OFFSET($H$3,0,0,'Données projet'!$E$15+1,1))</f>
        <v>384.50065773787549</v>
      </c>
      <c r="EP41" s="59">
        <f t="shared" si="46"/>
        <v>231.92898690465887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6.9904231095832214</v>
      </c>
      <c r="EW41" s="21">
        <f>EXP(-LN(2)/25)*EW40+(1-EXP(-LN(2)/25))/(LN(2)/25)*Calculateur!ER41*Calculateur!ET41*VLOOKUP('Données projet'!$B$15,Paramètres!$A$1:$I$89,3,0)*0.475*44/12</f>
        <v>8.4072255793484398</v>
      </c>
      <c r="EX41" s="21">
        <f>EXP(-LN(2)/2)*EX40+(1-EXP(-LN(2)/2))/(LN(2)/2)*ER41*EU41*VLOOKUP('Données projet'!$B$15,Paramètres!$A$1:$I$89,3,0)*0.475*44/12</f>
        <v>0.59780616196869707</v>
      </c>
      <c r="EY41" s="22">
        <f t="shared" si="21"/>
        <v>15.995454850900357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11.2</v>
      </c>
      <c r="FE41" s="12">
        <f>IF('Données projet'!$A$218&gt;35,FE40+FD41-FM40,IF(A41&lt;'Données projet'!$A$218,$FB$205^A41,IF(A41='Données projet'!$A$218,'Données projet'!$B$218,FE40+FD41-FM40)))</f>
        <v>152.60000000000002</v>
      </c>
      <c r="FF41" s="17">
        <f>FE41*VLOOKUP('Données projet'!$B$16,Paramètres!$A$1:$I$89,3,0)*VLOOKUP('Données projet'!$B$16,Paramètres!$A$1:$I$89,5,0)</f>
        <v>138.07248000000001</v>
      </c>
      <c r="FG41" s="13">
        <f t="shared" si="47"/>
        <v>35.85508207677799</v>
      </c>
      <c r="FH41" s="20">
        <f t="shared" si="22"/>
        <v>302.9238372837217</v>
      </c>
      <c r="FI41" s="59">
        <f t="shared" si="23"/>
        <v>596.25717061705495</v>
      </c>
      <c r="FJ41" s="59">
        <f ca="1">AVERAGE(OFFSET($FI$3,0,0,'Données projet'!$E$16+1,1))-AVERAGE(OFFSET($H$3,0,0,'Données projet'!$E$16+1,1))</f>
        <v>326.46362829268969</v>
      </c>
      <c r="FK41" s="59">
        <f t="shared" si="48"/>
        <v>203.5274665601915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6.2376083131665645</v>
      </c>
      <c r="FR41" s="21">
        <f>EXP(-LN(2)/25)*FR40+(1-EXP(-LN(2)/25))/(LN(2)/25)*Calculateur!FM41*Calculateur!FO41*VLOOKUP('Données projet'!$B$16,Paramètres!$A$1:$I$89,3,0)*0.475*44/12</f>
        <v>7.5018320554186086</v>
      </c>
      <c r="FS41" s="21">
        <f>EXP(-LN(2)/2)*FS40+(1-EXP(-LN(2)/2))/(LN(2)/2)*FM41*FP41*VLOOKUP('Données projet'!$B$16,Paramètres!$A$1:$I$89,3,0)*0.475*44/12</f>
        <v>0.53342703683360659</v>
      </c>
      <c r="FT41" s="22">
        <f t="shared" si="24"/>
        <v>14.272867405418779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11.2</v>
      </c>
      <c r="FZ41" s="12">
        <f>IF('Données projet'!$A$244&gt;35,FZ40+FY41-GH40,IF(A41&lt;'Données projet'!$A$244,$FW$205^A41,IF(A41='Données projet'!$A$244,'Données projet'!$B$244,FZ40+FY41-GH40)))</f>
        <v>152.60000000000002</v>
      </c>
      <c r="GA41" s="17">
        <f>FZ41*VLOOKUP('Données projet'!$B$17,Paramètres!$A$1:$I$89,3,0)*VLOOKUP('Données projet'!$B$17,Paramètres!$A$1:$I$89,5,0)</f>
        <v>147.59472000000002</v>
      </c>
      <c r="GB41" s="13">
        <f t="shared" si="49"/>
        <v>38.031463918082679</v>
      </c>
      <c r="GC41" s="20">
        <f t="shared" si="25"/>
        <v>323.29893699066071</v>
      </c>
      <c r="GD41" s="59">
        <f t="shared" si="26"/>
        <v>616.63227032399402</v>
      </c>
      <c r="GE41" s="59">
        <f ca="1">AVERAGE(OFFSET($GD$3,0,0,'Données projet'!$E$17+1,1))-AVERAGE(OFFSET($H$3,0,0,'Données projet'!$E$17+1,1))</f>
        <v>353.24082990916918</v>
      </c>
      <c r="GF41" s="59">
        <f t="shared" si="50"/>
        <v>219.76562717496353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6.6677881968332269</v>
      </c>
      <c r="GM41" s="21">
        <f>EXP(-LN(2)/25)*GM40+(1-EXP(-LN(2)/25))/(LN(2)/25)*Calculateur!GH41*Calculateur!GJ41*VLOOKUP('Données projet'!$B$17,Paramètres!$A$1:$I$89,3,0)*0.475*44/12</f>
        <v>8.0191997833785145</v>
      </c>
      <c r="GN41" s="21">
        <f>EXP(-LN(2)/2)*GN40+(1-EXP(-LN(2)/2))/(LN(2)/2)*GH41*GK41*VLOOKUP('Données projet'!$B$17,Paramètres!$A$1:$I$89,3,0)*0.475*44/12</f>
        <v>0.57021510833937272</v>
      </c>
      <c r="GO41" s="21">
        <f t="shared" si="27"/>
        <v>15.257203088551114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378.17323480030268</v>
      </c>
      <c r="T42" s="59">
        <f t="shared" si="34"/>
        <v>471.89239871617241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3.6856907792885094</v>
      </c>
      <c r="AA42" s="21">
        <f>EXP(-LN(2)/25)*AA41+(1-EXP(-LN(2)/25))/(LN(2)/25)*Calculateur!V42*Calculateur!X42*VLOOKUP('Données projet'!$B$9,Paramètres!$A$1:$I$89,3,0)*0.475*44/12</f>
        <v>16.207710528612253</v>
      </c>
      <c r="AB42" s="21">
        <f>EXP(-LN(2)/2)*AB41+(1-EXP(-LN(2)/2))/(LN(2)/2)*V42*Y42*VLOOKUP('Données projet'!$B$9,Paramètres!$A$1:$I$89,3,0)*0.475*44/12</f>
        <v>0.46229717391127917</v>
      </c>
      <c r="AC42" s="22">
        <f t="shared" si="3"/>
        <v>20.355698481812041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</v>
      </c>
      <c r="AI42" s="13">
        <f>IF('Données projet'!$A$62&gt;35,AI41+AH42-AQ41,IF(A42&lt;'Données projet'!$A$62,$AF$205^A42,IF(A42='Données projet'!$A$62,'Données projet'!$B$62,AI41+AH42-AQ41)))</f>
        <v>204.99999999999994</v>
      </c>
      <c r="AJ42" s="13">
        <f>AI42*VLOOKUP('Données projet'!$B$10,Paramètres!$A$1:$I$89,3,0)*VLOOKUP('Données projet'!$B$10,Paramètres!$A$1:$I$89,5,0)</f>
        <v>122.58999999999997</v>
      </c>
      <c r="AK42" s="13">
        <f t="shared" si="35"/>
        <v>32.278321478706822</v>
      </c>
      <c r="AL42" s="20">
        <f t="shared" si="4"/>
        <v>269.728993242081</v>
      </c>
      <c r="AM42" s="59">
        <f t="shared" si="5"/>
        <v>563.06232657541432</v>
      </c>
      <c r="AN42" s="59">
        <f ca="1">AVERAGE(OFFSET($AM$3,0,0,'Données projet'!$E$10+1,1))-AVERAGE(OFFSET($H$3,0,0,'Données projet'!$E$10+1,1))</f>
        <v>141.22849894256314</v>
      </c>
      <c r="AO42" s="59">
        <f t="shared" si="36"/>
        <v>156.12101479343704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6.1545249040872925</v>
      </c>
      <c r="AV42" s="21">
        <f>EXP(-LN(2)/25)*AV41+(1-EXP(-LN(2)/25))/(LN(2)/25)*Calculateur!AQ42*Calculateur!AS42*VLOOKUP('Données projet'!$B$10,Paramètres!$A$1:$I$89,3,0)*0.475*44/12</f>
        <v>4.6925480796954933</v>
      </c>
      <c r="AW42" s="21">
        <f>EXP(-LN(2)/2)*AW41+(1-EXP(-LN(2)/2))/(LN(2)/2)*AQ42*AT42*VLOOKUP('Données projet'!$B$10,Paramètres!$A$1:$I$89,3,0)*0.475*44/12</f>
        <v>0.1307250858751155</v>
      </c>
      <c r="AX42" s="21">
        <f t="shared" si="6"/>
        <v>10.977798069657901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220.5</v>
      </c>
      <c r="BE42" s="13">
        <f>BD42*VLOOKUP('Données projet'!$B$11,Paramètres!$A$1:$I$89,3,0)*VLOOKUP('Données projet'!$B$11,Paramètres!$A$1:$I$89,5,0)</f>
        <v>97.460999999999999</v>
      </c>
      <c r="BF42" s="13">
        <f t="shared" si="37"/>
        <v>26.356213417143714</v>
      </c>
      <c r="BG42" s="20">
        <f t="shared" si="7"/>
        <v>215.64831336819194</v>
      </c>
      <c r="BH42" s="59">
        <f t="shared" si="8"/>
        <v>508.98164670152528</v>
      </c>
      <c r="BI42" s="59">
        <f ca="1">AVERAGE(OFFSET($BH$3,0,0,'Données projet'!$E$11+1,1))-AVERAGE(OFFSET($H$3,0,0,'Données projet'!$E$11+1,1))</f>
        <v>114.25511901730295</v>
      </c>
      <c r="BJ42" s="59">
        <f t="shared" si="38"/>
        <v>180.96261947642182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2.8602992180352693</v>
      </c>
      <c r="BQ42" s="21">
        <f>EXP(-LN(2)/25)*BQ41+(1-EXP(-LN(2)/25))/(LN(2)/25)*Calculateur!BL42*Calculateur!BN42*VLOOKUP('Données projet'!$B$11,Paramètres!$A$1:$I$89,3,0)*0.475*44/12</f>
        <v>13.880970028994563</v>
      </c>
      <c r="BR42" s="21">
        <f>EXP(-LN(2)/2)*BR41+(1-EXP(-LN(2)/2))/(LN(2)/2)*BL42*BO42*VLOOKUP('Données projet'!$B$11,Paramètres!$A$1:$I$89,3,0)*0.475*44/12</f>
        <v>0.30193735938993299</v>
      </c>
      <c r="BS42" s="22">
        <f t="shared" si="9"/>
        <v>17.043206606419766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11.142857142857142</v>
      </c>
      <c r="BY42" s="12">
        <f>IF('Données projet'!$A$114&gt;35,BY41+BX42-CG41,IF(A42&lt;'Données projet'!$A$114,$BV$205^A42,IF(A42='Données projet'!$A$114,'Données projet'!$B$114,BY41+BX42-CG41)))</f>
        <v>174.28571428571422</v>
      </c>
      <c r="BZ42" s="13">
        <f>BY42*VLOOKUP('Données projet'!$B$12,Paramètres!$A$1:$I$89,3,0)*VLOOKUP('Données projet'!$B$12,Paramètres!$A$1:$I$89,5,0)</f>
        <v>135.94285714285709</v>
      </c>
      <c r="CA42" s="13">
        <f t="shared" si="39"/>
        <v>35.365986273808367</v>
      </c>
      <c r="CB42" s="20">
        <f t="shared" si="10"/>
        <v>298.36290228402567</v>
      </c>
      <c r="CC42" s="59">
        <f t="shared" si="11"/>
        <v>591.69623561735898</v>
      </c>
      <c r="CD42" s="59">
        <f ca="1">AVERAGE(OFFSET($CC$3,0,0,'Données projet'!$E$12+1,1))-AVERAGE(OFFSET($H$3,0,0,'Données projet'!$E$12+1,1))</f>
        <v>216.95993967070063</v>
      </c>
      <c r="CE42" s="59">
        <f t="shared" si="40"/>
        <v>208.79744153433245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4.3231400392306565</v>
      </c>
      <c r="CL42" s="21">
        <f>EXP(-LN(2)/25)*CL41+(1-EXP(-LN(2)/25))/(LN(2)/25)*Calculateur!CG42*Calculateur!CI42*VLOOKUP('Données projet'!$B$12,Paramètres!$A$1:$I$89,3,0)*0.475*44/12</f>
        <v>5.0001766743094382</v>
      </c>
      <c r="CM42" s="21">
        <f>EXP(-LN(2)/2)*CM41+(1-EXP(-LN(2)/2))/(LN(2)/2)*CG42*CJ42*VLOOKUP('Données projet'!$B$12,Paramètres!$A$1:$I$89,3,0)*0.475*44/12</f>
        <v>5.4518302138252248E-2</v>
      </c>
      <c r="CN42" s="22">
        <f t="shared" si="12"/>
        <v>9.3778350156783468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11.142857142857142</v>
      </c>
      <c r="CT42" s="12">
        <f>IF('Données projet'!$A$140&gt;35,CT41+CS42-DB41,IF(A42&lt;'Données projet'!$A$140,$CQ$205^A42,IF(A42='Données projet'!$A$140,'Données projet'!$B$140,CT41+CS42-DB41)))</f>
        <v>174.28571428571422</v>
      </c>
      <c r="CU42" s="17">
        <f>CT42*VLOOKUP('Données projet'!$B$13,Paramètres!$A$1:$I$89,3,0)*VLOOKUP('Données projet'!$B$13,Paramètres!$A$1:$I$89,5,0)</f>
        <v>116.9108571428571</v>
      </c>
      <c r="CV42" s="13">
        <f t="shared" si="41"/>
        <v>30.95341750241019</v>
      </c>
      <c r="CW42" s="20">
        <f t="shared" si="13"/>
        <v>257.53027834050721</v>
      </c>
      <c r="CX42" s="59">
        <f t="shared" si="14"/>
        <v>550.86361167384052</v>
      </c>
      <c r="CY42" s="59">
        <f ca="1">AVERAGE(OFFSET($CX$3,0,0,'Données projet'!$E$13+1,1))-AVERAGE(OFFSET($H$3,0,0,'Données projet'!$E$13+1,1))</f>
        <v>181.32837315090507</v>
      </c>
      <c r="CZ42" s="59">
        <f t="shared" si="42"/>
        <v>175.03267817980338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4.5825284415844907</v>
      </c>
      <c r="DG42" s="21">
        <f>EXP(-LN(2)/25)*DG41+(1-EXP(-LN(2)/25))/(LN(2)/25)*Calculateur!DB42*Calculateur!DD42*VLOOKUP('Données projet'!$B$13,Paramètres!$A$1:$I$89,3,0)*0.475*44/12</f>
        <v>5.3001872747680068</v>
      </c>
      <c r="DH42" s="21">
        <f>EXP(-LN(2)/2)*DH41+(1-EXP(-LN(2)/2))/(LN(2)/2)*DB42*DE42*VLOOKUP('Données projet'!$B$13,Paramètres!$A$1:$I$89,3,0)*0.475*44/12</f>
        <v>4.6885739838896913E-2</v>
      </c>
      <c r="DI42" s="22">
        <f t="shared" si="15"/>
        <v>9.9296014561913939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13.2</v>
      </c>
      <c r="DO42" s="12">
        <f>IF('Données projet'!$A$166&gt;35,DO41+DN42-DW41,IF(A42&lt;'Données projet'!$A$166,$DL$205^A42,IF(A42='Données projet'!$A$166,'Données projet'!$B$166,DO41+DN42-DW41)))</f>
        <v>249.79999999999995</v>
      </c>
      <c r="DP42" s="17">
        <f>DO42*VLOOKUP('Données projet'!$B$14,Paramètres!$A$1:$I$89,3,0)*VLOOKUP('Données projet'!$B$14,Paramètres!$A$1:$I$89,5,0)</f>
        <v>198.74087999999998</v>
      </c>
      <c r="DQ42" s="13">
        <f t="shared" si="43"/>
        <v>49.467349630825638</v>
      </c>
      <c r="DR42" s="20">
        <f t="shared" si="16"/>
        <v>432.29599994035453</v>
      </c>
      <c r="DS42" s="59">
        <f t="shared" si="17"/>
        <v>725.62933327368785</v>
      </c>
      <c r="DT42" s="59">
        <f ca="1">AVERAGE(OFFSET($DS$3,0,0,'Données projet'!$E$14+1,1))-AVERAGE(OFFSET($H$3,0,0,'Données projet'!$E$14+1,1))</f>
        <v>325.72928944930294</v>
      </c>
      <c r="DU42" s="59">
        <f t="shared" si="44"/>
        <v>318.38876834819752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14.487718929166649</v>
      </c>
      <c r="EB42" s="21">
        <f>EXP(-LN(2)/25)*EB41+(1-EXP(-LN(2)/25))/(LN(2)/25)*Calculateur!DW42*Calculateur!DY42*VLOOKUP('Données projet'!$B$14,Paramètres!$A$1:$I$89,3,0)*0.475*44/12</f>
        <v>16.113030682598975</v>
      </c>
      <c r="EC42" s="21">
        <f>EXP(-LN(2)/2)*EC41+(1-EXP(-LN(2)/2))/(LN(2)/2)*DW42*DZ42*VLOOKUP('Données projet'!$B$14,Paramètres!$A$1:$I$89,3,0)*0.475*44/12</f>
        <v>0.52280474767162377</v>
      </c>
      <c r="ED42" s="22">
        <f t="shared" si="18"/>
        <v>31.123554359437247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11.2</v>
      </c>
      <c r="EJ42" s="12">
        <f>IF('Données projet'!$A$192&gt;35,EJ41+EI42-ER41,IF(A42&lt;'Données projet'!$A$192,$EG$205^A42,IF(A42='Données projet'!$A$192,'Données projet'!$B$192,EJ41+EI42-ER41)))</f>
        <v>163.80000000000001</v>
      </c>
      <c r="EK42" s="17">
        <f>EJ42*VLOOKUP('Données projet'!$B$15,Paramètres!$A$1:$I$89,3,0)*VLOOKUP('Données projet'!$B$15,Paramètres!$A$1:$I$89,5,0)</f>
        <v>166.09320000000002</v>
      </c>
      <c r="EL42" s="13">
        <f t="shared" si="45"/>
        <v>42.213849908165905</v>
      </c>
      <c r="EM42" s="20">
        <f t="shared" si="19"/>
        <v>362.80144525672227</v>
      </c>
      <c r="EN42" s="59">
        <f t="shared" si="20"/>
        <v>656.13477859005559</v>
      </c>
      <c r="EO42" s="59">
        <f ca="1">AVERAGE(OFFSET($EN$3,0,0,'Données projet'!$E$15+1,1))-AVERAGE(OFFSET($H$3,0,0,'Données projet'!$E$15+1,1))</f>
        <v>384.50065773787549</v>
      </c>
      <c r="EP42" s="59">
        <f t="shared" si="46"/>
        <v>231.92898690465887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6.8533451761413824</v>
      </c>
      <c r="EW42" s="21">
        <f>EXP(-LN(2)/25)*EW41+(1-EXP(-LN(2)/25))/(LN(2)/25)*Calculateur!ER42*Calculateur!ET42*VLOOKUP('Données projet'!$B$15,Paramètres!$A$1:$I$89,3,0)*0.475*44/12</f>
        <v>8.1773295537643786</v>
      </c>
      <c r="EX42" s="21">
        <f>EXP(-LN(2)/2)*EX41+(1-EXP(-LN(2)/2))/(LN(2)/2)*ER42*EU42*VLOOKUP('Données projet'!$B$15,Paramètres!$A$1:$I$89,3,0)*0.475*44/12</f>
        <v>0.42271279096316927</v>
      </c>
      <c r="EY42" s="22">
        <f t="shared" si="21"/>
        <v>15.453387520868931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11.2</v>
      </c>
      <c r="FE42" s="12">
        <f>IF('Données projet'!$A$218&gt;35,FE41+FD42-FM41,IF(A42&lt;'Données projet'!$A$218,$FB$205^A42,IF(A42='Données projet'!$A$218,'Données projet'!$B$218,FE41+FD42-FM41)))</f>
        <v>163.80000000000001</v>
      </c>
      <c r="FF42" s="17">
        <f>FE42*VLOOKUP('Données projet'!$B$16,Paramètres!$A$1:$I$89,3,0)*VLOOKUP('Données projet'!$B$16,Paramètres!$A$1:$I$89,5,0)</f>
        <v>148.20624000000001</v>
      </c>
      <c r="FG42" s="13">
        <f t="shared" si="47"/>
        <v>38.170662245893794</v>
      </c>
      <c r="FH42" s="20">
        <f t="shared" si="22"/>
        <v>324.60643807826506</v>
      </c>
      <c r="FI42" s="59">
        <f t="shared" si="23"/>
        <v>617.93977141159837</v>
      </c>
      <c r="FJ42" s="59">
        <f ca="1">AVERAGE(OFFSET($FI$3,0,0,'Données projet'!$E$16+1,1))-AVERAGE(OFFSET($H$3,0,0,'Données projet'!$E$16+1,1))</f>
        <v>326.46362829268969</v>
      </c>
      <c r="FK42" s="59">
        <f t="shared" si="48"/>
        <v>203.5274665601915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6.1152926187107699</v>
      </c>
      <c r="FR42" s="21">
        <f>EXP(-LN(2)/25)*FR41+(1-EXP(-LN(2)/25))/(LN(2)/25)*Calculateur!FM42*Calculateur!FO42*VLOOKUP('Données projet'!$B$16,Paramètres!$A$1:$I$89,3,0)*0.475*44/12</f>
        <v>7.2966940633589843</v>
      </c>
      <c r="FS42" s="21">
        <f>EXP(-LN(2)/2)*FS41+(1-EXP(-LN(2)/2))/(LN(2)/2)*FM42*FP42*VLOOKUP('Données projet'!$B$16,Paramètres!$A$1:$I$89,3,0)*0.475*44/12</f>
        <v>0.37718987501328949</v>
      </c>
      <c r="FT42" s="22">
        <f t="shared" si="24"/>
        <v>13.789176557083044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11.2</v>
      </c>
      <c r="FZ42" s="12">
        <f>IF('Données projet'!$A$244&gt;35,FZ41+FY42-GH41,IF(A42&lt;'Données projet'!$A$244,$FW$205^A42,IF(A42='Données projet'!$A$244,'Données projet'!$B$244,FZ41+FY42-GH41)))</f>
        <v>163.80000000000001</v>
      </c>
      <c r="GA42" s="17">
        <f>FZ42*VLOOKUP('Données projet'!$B$17,Paramètres!$A$1:$I$89,3,0)*VLOOKUP('Données projet'!$B$17,Paramètres!$A$1:$I$89,5,0)</f>
        <v>158.42736000000002</v>
      </c>
      <c r="GB42" s="13">
        <f t="shared" si="49"/>
        <v>40.487598405868248</v>
      </c>
      <c r="GC42" s="20">
        <f t="shared" si="25"/>
        <v>346.4435525568872</v>
      </c>
      <c r="GD42" s="59">
        <f t="shared" si="26"/>
        <v>639.77688589022046</v>
      </c>
      <c r="GE42" s="59">
        <f ca="1">AVERAGE(OFFSET($GD$3,0,0,'Données projet'!$E$17+1,1))-AVERAGE(OFFSET($H$3,0,0,'Données projet'!$E$17+1,1))</f>
        <v>353.24082990916918</v>
      </c>
      <c r="GF42" s="59">
        <f t="shared" si="50"/>
        <v>219.76562717496353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6.5370369372425499</v>
      </c>
      <c r="GM42" s="21">
        <f>EXP(-LN(2)/25)*GM41+(1-EXP(-LN(2)/25))/(LN(2)/25)*Calculateur!GH42*Calculateur!GJ42*VLOOKUP('Données projet'!$B$17,Paramètres!$A$1:$I$89,3,0)*0.475*44/12</f>
        <v>7.7999143435906406</v>
      </c>
      <c r="GN42" s="21">
        <f>EXP(-LN(2)/2)*GN41+(1-EXP(-LN(2)/2))/(LN(2)/2)*GH42*GK42*VLOOKUP('Données projet'!$B$17,Paramètres!$A$1:$I$89,3,0)*0.475*44/12</f>
        <v>0.40320296984179232</v>
      </c>
      <c r="GO42" s="21">
        <f t="shared" si="27"/>
        <v>14.740154250674983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378.17323480030268</v>
      </c>
      <c r="T43" s="59">
        <f t="shared" si="34"/>
        <v>471.89239871617241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3.6134166311560607</v>
      </c>
      <c r="AA43" s="21">
        <f>EXP(-LN(2)/25)*AA42+(1-EXP(-LN(2)/25))/(LN(2)/25)*Calculateur!V43*Calculateur!X43*VLOOKUP('Données projet'!$B$9,Paramètres!$A$1:$I$89,3,0)*0.475*44/12</f>
        <v>15.764509831880897</v>
      </c>
      <c r="AB43" s="21">
        <f>EXP(-LN(2)/2)*AB42+(1-EXP(-LN(2)/2))/(LN(2)/2)*V43*Y43*VLOOKUP('Données projet'!$B$9,Paramètres!$A$1:$I$89,3,0)*0.475*44/12</f>
        <v>0.32689346659604218</v>
      </c>
      <c r="AC43" s="22">
        <f t="shared" si="3"/>
        <v>19.704819929633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215</v>
      </c>
      <c r="AG43" s="12">
        <f>VLOOKUP(A43,'Données projet'!$A$61:$I$81,9,0)</f>
        <v>10</v>
      </c>
      <c r="AH43" s="12">
        <f t="array" ref="AH43">INDEX(AG:AG,MIN(IF(ISNUMBER(AG43:AG239),ROW(AG43:AG239),"")))</f>
        <v>10</v>
      </c>
      <c r="AI43" s="13">
        <f>IF('Données projet'!$A$62&gt;35,AI42+AH43-AQ42,IF(A43&lt;'Données projet'!$A$62,$AF$205^A43,IF(A43='Données projet'!$A$62,'Données projet'!$B$62,AI42+AH43-AQ42)))</f>
        <v>214.99999999999994</v>
      </c>
      <c r="AJ43" s="13">
        <f>AI43*VLOOKUP('Données projet'!$B$10,Paramètres!$A$1:$I$89,3,0)*VLOOKUP('Données projet'!$B$10,Paramètres!$A$1:$I$89,5,0)</f>
        <v>128.56999999999996</v>
      </c>
      <c r="AK43" s="13">
        <f t="shared" si="35"/>
        <v>33.665715905233249</v>
      </c>
      <c r="AL43" s="20">
        <f t="shared" si="4"/>
        <v>282.5605385349478</v>
      </c>
      <c r="AM43" s="59">
        <f t="shared" si="5"/>
        <v>575.89387186828117</v>
      </c>
      <c r="AN43" s="59">
        <f ca="1">AVERAGE(OFFSET($AM$3,0,0,'Données projet'!$E$10+1,1))-AVERAGE(OFFSET($H$3,0,0,'Données projet'!$E$10+1,1))</f>
        <v>141.22849894256314</v>
      </c>
      <c r="AO43" s="59">
        <f t="shared" si="36"/>
        <v>156.12101479343704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6.0338384246076666</v>
      </c>
      <c r="AV43" s="21">
        <f>EXP(-LN(2)/25)*AV42+(1-EXP(-LN(2)/25))/(LN(2)/25)*Calculateur!AQ43*Calculateur!AS43*VLOOKUP('Données projet'!$B$10,Paramètres!$A$1:$I$89,3,0)*0.475*44/12</f>
        <v>4.5642301056858416</v>
      </c>
      <c r="AW43" s="21">
        <f>EXP(-LN(2)/2)*AW42+(1-EXP(-LN(2)/2))/(LN(2)/2)*AQ43*AT43*VLOOKUP('Données projet'!$B$10,Paramètres!$A$1:$I$89,3,0)*0.475*44/12</f>
        <v>9.2436594693487931E-2</v>
      </c>
      <c r="AX43" s="21">
        <f t="shared" si="6"/>
        <v>10.690505124986997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232</v>
      </c>
      <c r="BE43" s="13">
        <f>BD43*VLOOKUP('Données projet'!$B$11,Paramètres!$A$1:$I$89,3,0)*VLOOKUP('Données projet'!$B$11,Paramètres!$A$1:$I$89,5,0)</f>
        <v>102.54400000000001</v>
      </c>
      <c r="BF43" s="13">
        <f t="shared" si="37"/>
        <v>27.56718149380632</v>
      </c>
      <c r="BG43" s="20">
        <f t="shared" si="7"/>
        <v>226.61030776837933</v>
      </c>
      <c r="BH43" s="59">
        <f t="shared" si="8"/>
        <v>519.94364110171261</v>
      </c>
      <c r="BI43" s="59">
        <f ca="1">AVERAGE(OFFSET($BH$3,0,0,'Données projet'!$E$11+1,1))-AVERAGE(OFFSET($H$3,0,0,'Données projet'!$E$11+1,1))</f>
        <v>114.25511901730295</v>
      </c>
      <c r="BJ43" s="59">
        <f t="shared" si="38"/>
        <v>180.96261947642182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2.8042104949798548</v>
      </c>
      <c r="BQ43" s="21">
        <f>EXP(-LN(2)/25)*BQ42+(1-EXP(-LN(2)/25))/(LN(2)/25)*Calculateur!BL43*Calculateur!BN43*VLOOKUP('Données projet'!$B$11,Paramètres!$A$1:$I$89,3,0)*0.475*44/12</f>
        <v>13.501394173583218</v>
      </c>
      <c r="BR43" s="21">
        <f>EXP(-LN(2)/2)*BR42+(1-EXP(-LN(2)/2))/(LN(2)/2)*BL43*BO43*VLOOKUP('Données projet'!$B$11,Paramètres!$A$1:$I$89,3,0)*0.475*44/12</f>
        <v>0.21350195431818134</v>
      </c>
      <c r="BS43" s="22">
        <f t="shared" si="9"/>
        <v>16.519106622881257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11.142857142857142</v>
      </c>
      <c r="BY43" s="12">
        <f>IF('Données projet'!$A$114&gt;35,BY42+BX43-CG42,IF(A43&lt;'Données projet'!$A$114,$BV$205^A43,IF(A43='Données projet'!$A$114,'Données projet'!$B$114,BY42+BX43-CG42)))</f>
        <v>185.42857142857136</v>
      </c>
      <c r="BZ43" s="13">
        <f>BY43*VLOOKUP('Données projet'!$B$12,Paramètres!$A$1:$I$89,3,0)*VLOOKUP('Données projet'!$B$12,Paramètres!$A$1:$I$89,5,0)</f>
        <v>144.63428571428565</v>
      </c>
      <c r="CA43" s="13">
        <f t="shared" si="39"/>
        <v>37.356634728420524</v>
      </c>
      <c r="CB43" s="20">
        <f t="shared" si="10"/>
        <v>316.96751977104657</v>
      </c>
      <c r="CC43" s="59">
        <f t="shared" si="11"/>
        <v>610.30085310437994</v>
      </c>
      <c r="CD43" s="59">
        <f ca="1">AVERAGE(OFFSET($CC$3,0,0,'Données projet'!$E$12+1,1))-AVERAGE(OFFSET($H$3,0,0,'Données projet'!$E$12+1,1))</f>
        <v>216.95993967070063</v>
      </c>
      <c r="CE43" s="59">
        <f t="shared" si="40"/>
        <v>208.79744153433245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4.2383658999163991</v>
      </c>
      <c r="CL43" s="21">
        <f>EXP(-LN(2)/25)*CL42+(1-EXP(-LN(2)/25))/(LN(2)/25)*Calculateur!CG43*Calculateur!CI43*VLOOKUP('Données projet'!$B$12,Paramètres!$A$1:$I$89,3,0)*0.475*44/12</f>
        <v>4.8634465802025835</v>
      </c>
      <c r="CM43" s="21">
        <f>EXP(-LN(2)/2)*CM42+(1-EXP(-LN(2)/2))/(LN(2)/2)*CG43*CJ43*VLOOKUP('Données projet'!$B$12,Paramètres!$A$1:$I$89,3,0)*0.475*44/12</f>
        <v>3.8550261140735217E-2</v>
      </c>
      <c r="CN43" s="22">
        <f t="shared" si="12"/>
        <v>9.1403627412597181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11.142857142857142</v>
      </c>
      <c r="CT43" s="12">
        <f>IF('Données projet'!$A$140&gt;35,CT42+CS43-DB42,IF(A43&lt;'Données projet'!$A$140,$CQ$205^A43,IF(A43='Données projet'!$A$140,'Données projet'!$B$140,CT42+CS43-DB42)))</f>
        <v>185.42857142857136</v>
      </c>
      <c r="CU43" s="17">
        <f>CT43*VLOOKUP('Données projet'!$B$13,Paramètres!$A$1:$I$89,3,0)*VLOOKUP('Données projet'!$B$13,Paramètres!$A$1:$I$89,5,0)</f>
        <v>124.38548571428568</v>
      </c>
      <c r="CV43" s="13">
        <f t="shared" si="41"/>
        <v>32.69569530117105</v>
      </c>
      <c r="CW43" s="20">
        <f t="shared" si="13"/>
        <v>273.58305693525381</v>
      </c>
      <c r="CX43" s="59">
        <f t="shared" si="14"/>
        <v>566.91639026858707</v>
      </c>
      <c r="CY43" s="59">
        <f ca="1">AVERAGE(OFFSET($CX$3,0,0,'Données projet'!$E$13+1,1))-AVERAGE(OFFSET($H$3,0,0,'Données projet'!$E$13+1,1))</f>
        <v>181.32837315090507</v>
      </c>
      <c r="CZ43" s="59">
        <f t="shared" si="42"/>
        <v>175.03267817980338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4.492667853911378</v>
      </c>
      <c r="DG43" s="21">
        <f>EXP(-LN(2)/25)*DG42+(1-EXP(-LN(2)/25))/(LN(2)/25)*Calculateur!DB43*Calculateur!DD43*VLOOKUP('Données projet'!$B$13,Paramètres!$A$1:$I$89,3,0)*0.475*44/12</f>
        <v>5.1552533750147402</v>
      </c>
      <c r="DH43" s="21">
        <f>EXP(-LN(2)/2)*DH42+(1-EXP(-LN(2)/2))/(LN(2)/2)*DB43*DE43*VLOOKUP('Données projet'!$B$13,Paramètres!$A$1:$I$89,3,0)*0.475*44/12</f>
        <v>3.3153224581032273E-2</v>
      </c>
      <c r="DI43" s="22">
        <f t="shared" si="15"/>
        <v>9.6810744535071507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13.2</v>
      </c>
      <c r="DN43" s="12">
        <f t="array" ref="DN43">INDEX(DM:DM,MIN(IF(ISNUMBER(DM43:DM239),ROW(DM43:DM239),"")))</f>
        <v>13.2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209.24279999999996</v>
      </c>
      <c r="DQ43" s="13">
        <f t="shared" si="43"/>
        <v>51.770083677016814</v>
      </c>
      <c r="DR43" s="20">
        <f t="shared" si="16"/>
        <v>454.59743907080411</v>
      </c>
      <c r="DS43" s="59">
        <f t="shared" si="17"/>
        <v>747.93077240413743</v>
      </c>
      <c r="DT43" s="59">
        <f ca="1">AVERAGE(OFFSET($DS$3,0,0,'Données projet'!$E$14+1,1))-AVERAGE(OFFSET($H$3,0,0,'Données projet'!$E$14+1,1))</f>
        <v>325.72928944930294</v>
      </c>
      <c r="DU43" s="59">
        <f t="shared" si="44"/>
        <v>318.38876834819752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40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14.203623597601693</v>
      </c>
      <c r="EB43" s="21">
        <f>EXP(-LN(2)/25)*EB42+(1-EXP(-LN(2)/25))/(LN(2)/25)*Calculateur!DW43*Calculateur!DY43*VLOOKUP('Données projet'!$B$14,Paramètres!$A$1:$I$89,3,0)*0.475*44/12</f>
        <v>15.672419011235849</v>
      </c>
      <c r="EC43" s="21">
        <f>EXP(-LN(2)/2)*EC42+(1-EXP(-LN(2)/2))/(LN(2)/2)*DW43*DZ43*VLOOKUP('Données projet'!$B$14,Paramètres!$A$1:$I$89,3,0)*0.475*44/12</f>
        <v>0.36967878231512707</v>
      </c>
      <c r="ED43" s="22">
        <f t="shared" si="18"/>
        <v>30.245721391152671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175</v>
      </c>
      <c r="EH43" s="12">
        <f>VLOOKUP(A43,'Données projet'!$A$191:$I$211,9,0)</f>
        <v>11.2</v>
      </c>
      <c r="EI43" s="12">
        <f t="array" ref="EI43">INDEX(EH:EH,MIN(IF(ISNUMBER(EH43:EH239),ROW(EH43:EH239),"")))</f>
        <v>11.2</v>
      </c>
      <c r="EJ43" s="12">
        <f>IF('Données projet'!$A$192&gt;35,EJ42+EI43-ER42,IF(A43&lt;'Données projet'!$A$192,$EG$205^A43,IF(A43='Données projet'!$A$192,'Données projet'!$B$192,EJ42+EI43-ER42)))</f>
        <v>175</v>
      </c>
      <c r="EK43" s="17">
        <f>EJ43*VLOOKUP('Données projet'!$B$15,Paramètres!$A$1:$I$89,3,0)*VLOOKUP('Données projet'!$B$15,Paramètres!$A$1:$I$89,5,0)</f>
        <v>177.45000000000002</v>
      </c>
      <c r="EL43" s="13">
        <f t="shared" si="45"/>
        <v>44.754387900936791</v>
      </c>
      <c r="EM43" s="20">
        <f t="shared" si="19"/>
        <v>387.0059755941316</v>
      </c>
      <c r="EN43" s="59">
        <f t="shared" si="20"/>
        <v>680.33930892746491</v>
      </c>
      <c r="EO43" s="59">
        <f ca="1">AVERAGE(OFFSET($EN$3,0,0,'Données projet'!$E$15+1,1))-AVERAGE(OFFSET($H$3,0,0,'Données projet'!$E$15+1,1))</f>
        <v>384.50065773787549</v>
      </c>
      <c r="EP43" s="59">
        <f t="shared" si="46"/>
        <v>231.92898690465887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6.7189552573650539</v>
      </c>
      <c r="EW43" s="21">
        <f>EXP(-LN(2)/25)*EW42+(1-EXP(-LN(2)/25))/(LN(2)/25)*Calculateur!ER43*Calculateur!ET43*VLOOKUP('Données projet'!$B$15,Paramètres!$A$1:$I$89,3,0)*0.475*44/12</f>
        <v>7.9537200470896199</v>
      </c>
      <c r="EX43" s="21">
        <f>EXP(-LN(2)/2)*EX42+(1-EXP(-LN(2)/2))/(LN(2)/2)*ER43*EU43*VLOOKUP('Données projet'!$B$15,Paramètres!$A$1:$I$89,3,0)*0.475*44/12</f>
        <v>0.29890308098434853</v>
      </c>
      <c r="EY43" s="22">
        <f t="shared" si="21"/>
        <v>14.971578385439024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175</v>
      </c>
      <c r="FC43" s="12">
        <f>VLOOKUP(A43,'Données projet'!$A$217:$I$237,9,0)</f>
        <v>11.2</v>
      </c>
      <c r="FD43" s="12">
        <f t="array" ref="FD43">INDEX(FC:FC,MIN(IF(ISNUMBER(FC43:FC239),ROW(FC43:FC239),"")))</f>
        <v>11.2</v>
      </c>
      <c r="FE43" s="12">
        <f>IF('Données projet'!$A$218&gt;35,FE42+FD43-FM42,IF(A43&lt;'Données projet'!$A$218,$FB$205^A43,IF(A43='Données projet'!$A$218,'Données projet'!$B$218,FE42+FD43-FM42)))</f>
        <v>175</v>
      </c>
      <c r="FF43" s="17">
        <f>FE43*VLOOKUP('Données projet'!$B$16,Paramètres!$A$1:$I$89,3,0)*VLOOKUP('Données projet'!$B$16,Paramètres!$A$1:$I$89,5,0)</f>
        <v>158.34</v>
      </c>
      <c r="FG43" s="13">
        <f t="shared" si="47"/>
        <v>40.467870812652819</v>
      </c>
      <c r="FH43" s="20">
        <f t="shared" si="22"/>
        <v>346.25704166537031</v>
      </c>
      <c r="FI43" s="59">
        <f t="shared" si="23"/>
        <v>639.59037499870362</v>
      </c>
      <c r="FJ43" s="59">
        <f ca="1">AVERAGE(OFFSET($FI$3,0,0,'Données projet'!$E$16+1,1))-AVERAGE(OFFSET($H$3,0,0,'Données projet'!$E$16+1,1))</f>
        <v>326.46362829268969</v>
      </c>
      <c r="FK43" s="59">
        <f t="shared" si="48"/>
        <v>203.5274665601915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5.995375460418046</v>
      </c>
      <c r="FR43" s="21">
        <f>EXP(-LN(2)/25)*FR42+(1-EXP(-LN(2)/25))/(LN(2)/25)*Calculateur!FM43*Calculateur!FO43*VLOOKUP('Données projet'!$B$16,Paramètres!$A$1:$I$89,3,0)*0.475*44/12</f>
        <v>7.0971655804799685</v>
      </c>
      <c r="FS43" s="21">
        <f>EXP(-LN(2)/2)*FS42+(1-EXP(-LN(2)/2))/(LN(2)/2)*FM43*FP43*VLOOKUP('Données projet'!$B$16,Paramètres!$A$1:$I$89,3,0)*0.475*44/12</f>
        <v>0.2667135184168033</v>
      </c>
      <c r="FT43" s="22">
        <f t="shared" si="24"/>
        <v>13.359254559314818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175</v>
      </c>
      <c r="FX43" s="12">
        <f>VLOOKUP(A43,'Données projet'!$A$243:$I$263,9,0)</f>
        <v>11.2</v>
      </c>
      <c r="FY43" s="12">
        <f t="array" ref="FY43">INDEX(FX:FX,MIN(IF(ISNUMBER(FX43:FX239),ROW(FX43:FX239),"")))</f>
        <v>11.2</v>
      </c>
      <c r="FZ43" s="12">
        <f>IF('Données projet'!$A$244&gt;35,FZ42+FY43-GH42,IF(A43&lt;'Données projet'!$A$244,$FW$205^A43,IF(A43='Données projet'!$A$244,'Données projet'!$B$244,FZ42+FY43-GH42)))</f>
        <v>175</v>
      </c>
      <c r="GA43" s="17">
        <f>FZ43*VLOOKUP('Données projet'!$B$17,Paramètres!$A$1:$I$89,3,0)*VLOOKUP('Données projet'!$B$17,Paramètres!$A$1:$I$89,5,0)</f>
        <v>169.26000000000002</v>
      </c>
      <c r="GB43" s="13">
        <f t="shared" si="49"/>
        <v>42.924246146122272</v>
      </c>
      <c r="GC43" s="20">
        <f t="shared" si="25"/>
        <v>369.55422870449632</v>
      </c>
      <c r="GD43" s="59">
        <f t="shared" si="26"/>
        <v>662.88756203782964</v>
      </c>
      <c r="GE43" s="59">
        <f ca="1">AVERAGE(OFFSET($GD$3,0,0,'Données projet'!$E$17+1,1))-AVERAGE(OFFSET($H$3,0,0,'Données projet'!$E$17+1,1))</f>
        <v>353.24082990916918</v>
      </c>
      <c r="GF43" s="59">
        <f t="shared" si="50"/>
        <v>219.76562717496353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6.4088496301020523</v>
      </c>
      <c r="GM43" s="21">
        <f>EXP(-LN(2)/25)*GM42+(1-EXP(-LN(2)/25))/(LN(2)/25)*Calculateur!GH43*Calculateur!GJ43*VLOOKUP('Données projet'!$B$17,Paramètres!$A$1:$I$89,3,0)*0.475*44/12</f>
        <v>7.5866252756854857</v>
      </c>
      <c r="GN43" s="21">
        <f>EXP(-LN(2)/2)*GN42+(1-EXP(-LN(2)/2))/(LN(2)/2)*GH43*GK43*VLOOKUP('Données projet'!$B$17,Paramètres!$A$1:$I$89,3,0)*0.475*44/12</f>
        <v>0.28510755416968636</v>
      </c>
      <c r="GO43" s="21">
        <f t="shared" si="27"/>
        <v>14.280582459957225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378.17323480030268</v>
      </c>
      <c r="T44" s="59">
        <f t="shared" si="34"/>
        <v>471.89239871617241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3.5425597349856117</v>
      </c>
      <c r="AA44" s="21">
        <f>EXP(-LN(2)/25)*AA43+(1-EXP(-LN(2)/25))/(LN(2)/25)*Calculateur!V44*Calculateur!X44*VLOOKUP('Données projet'!$B$9,Paramètres!$A$1:$I$89,3,0)*0.475*44/12</f>
        <v>15.333428481508571</v>
      </c>
      <c r="AB44" s="21">
        <f>EXP(-LN(2)/2)*AB43+(1-EXP(-LN(2)/2))/(LN(2)/2)*V44*Y44*VLOOKUP('Données projet'!$B$9,Paramètres!$A$1:$I$89,3,0)*0.475*44/12</f>
        <v>0.23114858695563958</v>
      </c>
      <c r="AC44" s="22">
        <f t="shared" si="3"/>
        <v>19.107136803449823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7.333333333333333</v>
      </c>
      <c r="AI44" s="13">
        <f>IF('Données projet'!$A$62&gt;35,AI43+AH44-AQ43,IF(A44&lt;'Données projet'!$A$62,$AF$205^A44,IF(A44='Données projet'!$A$62,'Données projet'!$B$62,AI43+AH44-AQ43)))</f>
        <v>191.33333333333329</v>
      </c>
      <c r="AJ44" s="13">
        <f>AI44*VLOOKUP('Données projet'!$B$10,Paramètres!$A$1:$I$89,3,0)*VLOOKUP('Données projet'!$B$10,Paramètres!$A$1:$I$89,5,0)</f>
        <v>114.41733333333332</v>
      </c>
      <c r="AK44" s="13">
        <f t="shared" si="35"/>
        <v>30.36934592669316</v>
      </c>
      <c r="AL44" s="20">
        <f t="shared" si="4"/>
        <v>252.17013304454611</v>
      </c>
      <c r="AM44" s="59">
        <f t="shared" si="5"/>
        <v>545.50346637787948</v>
      </c>
      <c r="AN44" s="59">
        <f ca="1">AVERAGE(OFFSET($AM$3,0,0,'Données projet'!$E$10+1,1))-AVERAGE(OFFSET($H$3,0,0,'Données projet'!$E$10+1,1))</f>
        <v>141.22849894256314</v>
      </c>
      <c r="AO44" s="59">
        <f t="shared" si="36"/>
        <v>156.12101479343704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5.915518533379152</v>
      </c>
      <c r="AV44" s="21">
        <f>EXP(-LN(2)/25)*AV43+(1-EXP(-LN(2)/25))/(LN(2)/25)*Calculateur!AQ44*Calculateur!AS44*VLOOKUP('Données projet'!$B$10,Paramètres!$A$1:$I$89,3,0)*0.475*44/12</f>
        <v>4.4394209934234325</v>
      </c>
      <c r="AW44" s="21">
        <f>EXP(-LN(2)/2)*AW43+(1-EXP(-LN(2)/2))/(LN(2)/2)*AQ44*AT44*VLOOKUP('Données projet'!$B$10,Paramètres!$A$1:$I$89,3,0)*0.475*44/12</f>
        <v>6.5362542937557749E-2</v>
      </c>
      <c r="AX44" s="21">
        <f t="shared" si="6"/>
        <v>10.420302069740144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243.5</v>
      </c>
      <c r="BE44" s="13">
        <f>BD44*VLOOKUP('Données projet'!$B$11,Paramètres!$A$1:$I$89,3,0)*VLOOKUP('Données projet'!$B$11,Paramètres!$A$1:$I$89,5,0)</f>
        <v>107.62700000000001</v>
      </c>
      <c r="BF44" s="13">
        <f t="shared" si="37"/>
        <v>28.771179598347285</v>
      </c>
      <c r="BG44" s="20">
        <f t="shared" si="7"/>
        <v>237.56016280045489</v>
      </c>
      <c r="BH44" s="59">
        <f t="shared" si="8"/>
        <v>530.89349613378818</v>
      </c>
      <c r="BI44" s="59">
        <f ca="1">AVERAGE(OFFSET($BH$3,0,0,'Données projet'!$E$11+1,1))-AVERAGE(OFFSET($H$3,0,0,'Données projet'!$E$11+1,1))</f>
        <v>114.25511901730295</v>
      </c>
      <c r="BJ44" s="59">
        <f t="shared" si="38"/>
        <v>180.96261947642182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2.749221637572814</v>
      </c>
      <c r="BQ44" s="21">
        <f>EXP(-LN(2)/25)*BQ43+(1-EXP(-LN(2)/25))/(LN(2)/25)*Calculateur!BL44*Calculateur!BN44*VLOOKUP('Données projet'!$B$11,Paramètres!$A$1:$I$89,3,0)*0.475*44/12</f>
        <v>13.132197839899124</v>
      </c>
      <c r="BR44" s="21">
        <f>EXP(-LN(2)/2)*BR43+(1-EXP(-LN(2)/2))/(LN(2)/2)*BL44*BO44*VLOOKUP('Données projet'!$B$11,Paramètres!$A$1:$I$89,3,0)*0.475*44/12</f>
        <v>0.15096867969496652</v>
      </c>
      <c r="BS44" s="22">
        <f t="shared" si="9"/>
        <v>16.032388157166906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11.142857142857142</v>
      </c>
      <c r="BY44" s="12">
        <f>IF('Données projet'!$A$114&gt;35,BY43+BX44-CG43,IF(A44&lt;'Données projet'!$A$114,$BV$205^A44,IF(A44='Données projet'!$A$114,'Données projet'!$B$114,BY43+BX44-CG43)))</f>
        <v>196.5714285714285</v>
      </c>
      <c r="BZ44" s="13">
        <f>BY44*VLOOKUP('Données projet'!$B$12,Paramètres!$A$1:$I$89,3,0)*VLOOKUP('Données projet'!$B$12,Paramètres!$A$1:$I$89,5,0)</f>
        <v>153.32571428571424</v>
      </c>
      <c r="CA44" s="13">
        <f t="shared" si="39"/>
        <v>39.333398837614155</v>
      </c>
      <c r="CB44" s="20">
        <f t="shared" si="10"/>
        <v>335.5479553564636</v>
      </c>
      <c r="CC44" s="59">
        <f t="shared" si="11"/>
        <v>628.88128868979697</v>
      </c>
      <c r="CD44" s="59">
        <f ca="1">AVERAGE(OFFSET($CC$3,0,0,'Données projet'!$E$12+1,1))-AVERAGE(OFFSET($H$3,0,0,'Données projet'!$E$12+1,1))</f>
        <v>216.95993967070063</v>
      </c>
      <c r="CE44" s="59">
        <f t="shared" si="40"/>
        <v>208.79744153433245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4.1552541297669752</v>
      </c>
      <c r="CL44" s="21">
        <f>EXP(-LN(2)/25)*CL43+(1-EXP(-LN(2)/25))/(LN(2)/25)*Calculateur!CG44*Calculateur!CI44*VLOOKUP('Données projet'!$B$12,Paramètres!$A$1:$I$89,3,0)*0.475*44/12</f>
        <v>4.7304553777094034</v>
      </c>
      <c r="CM44" s="21">
        <f>EXP(-LN(2)/2)*CM43+(1-EXP(-LN(2)/2))/(LN(2)/2)*CG44*CJ44*VLOOKUP('Données projet'!$B$12,Paramètres!$A$1:$I$89,3,0)*0.475*44/12</f>
        <v>2.7259151069126124E-2</v>
      </c>
      <c r="CN44" s="22">
        <f t="shared" si="12"/>
        <v>8.9129686585455037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11.142857142857142</v>
      </c>
      <c r="CT44" s="12">
        <f>IF('Données projet'!$A$140&gt;35,CT43+CS44-DB43,IF(A44&lt;'Données projet'!$A$140,$CQ$205^A44,IF(A44='Données projet'!$A$140,'Données projet'!$B$140,CT43+CS44-DB43)))</f>
        <v>196.5714285714285</v>
      </c>
      <c r="CU44" s="17">
        <f>CT44*VLOOKUP('Données projet'!$B$13,Paramètres!$A$1:$I$89,3,0)*VLOOKUP('Données projet'!$B$13,Paramètres!$A$1:$I$89,5,0)</f>
        <v>131.86011428571425</v>
      </c>
      <c r="CV44" s="13">
        <f t="shared" si="41"/>
        <v>34.425821086492789</v>
      </c>
      <c r="CW44" s="20">
        <f t="shared" si="13"/>
        <v>289.61467077326057</v>
      </c>
      <c r="CX44" s="59">
        <f t="shared" si="14"/>
        <v>582.94800410659388</v>
      </c>
      <c r="CY44" s="59">
        <f ca="1">AVERAGE(OFFSET($CX$3,0,0,'Données projet'!$E$13+1,1))-AVERAGE(OFFSET($H$3,0,0,'Données projet'!$E$13+1,1))</f>
        <v>181.32837315090507</v>
      </c>
      <c r="CZ44" s="59">
        <f t="shared" si="42"/>
        <v>175.03267817980338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4.4045693775529893</v>
      </c>
      <c r="DG44" s="21">
        <f>EXP(-LN(2)/25)*DG43+(1-EXP(-LN(2)/25))/(LN(2)/25)*Calculateur!DB44*Calculateur!DD44*VLOOKUP('Données projet'!$B$13,Paramètres!$A$1:$I$89,3,0)*0.475*44/12</f>
        <v>5.0142827003719699</v>
      </c>
      <c r="DH44" s="21">
        <f>EXP(-LN(2)/2)*DH43+(1-EXP(-LN(2)/2))/(LN(2)/2)*DB44*DE44*VLOOKUP('Données projet'!$B$13,Paramètres!$A$1:$I$89,3,0)*0.475*44/12</f>
        <v>2.3442869919448456E-2</v>
      </c>
      <c r="DI44" s="22">
        <f t="shared" si="15"/>
        <v>9.4422949478444078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234.39999999999992</v>
      </c>
      <c r="DP44" s="17">
        <f>DO44*VLOOKUP('Données projet'!$B$14,Paramètres!$A$1:$I$89,3,0)*VLOOKUP('Données projet'!$B$14,Paramètres!$A$1:$I$89,5,0)</f>
        <v>186.48863999999995</v>
      </c>
      <c r="DQ44" s="13">
        <f t="shared" si="43"/>
        <v>46.762800221578807</v>
      </c>
      <c r="DR44" s="20">
        <f t="shared" si="16"/>
        <v>406.24625838591629</v>
      </c>
      <c r="DS44" s="59">
        <f t="shared" si="17"/>
        <v>699.57959171924961</v>
      </c>
      <c r="DT44" s="59">
        <f ca="1">AVERAGE(OFFSET($DS$3,0,0,'Données projet'!$E$14+1,1))-AVERAGE(OFFSET($H$3,0,0,'Données projet'!$E$14+1,1))</f>
        <v>325.72928944930294</v>
      </c>
      <c r="DU44" s="59">
        <f t="shared" si="44"/>
        <v>318.38876834819752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13.925099202207683</v>
      </c>
      <c r="EB44" s="21">
        <f>EXP(-LN(2)/25)*EB43+(1-EXP(-LN(2)/25))/(LN(2)/25)*Calculateur!DW44*Calculateur!DY44*VLOOKUP('Données projet'!$B$14,Paramètres!$A$1:$I$89,3,0)*0.475*44/12</f>
        <v>15.24385588919691</v>
      </c>
      <c r="EC44" s="21">
        <f>EXP(-LN(2)/2)*EC43+(1-EXP(-LN(2)/2))/(LN(2)/2)*DW44*DZ44*VLOOKUP('Données projet'!$B$14,Paramètres!$A$1:$I$89,3,0)*0.475*44/12</f>
        <v>0.26140237383581189</v>
      </c>
      <c r="ED44" s="22">
        <f t="shared" si="18"/>
        <v>29.430357465240402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11.4</v>
      </c>
      <c r="EJ44" s="12">
        <f>IF('Données projet'!$A$192&gt;35,EJ43+EI44-ER43,IF(A44&lt;'Données projet'!$A$192,$EG$205^A44,IF(A44='Données projet'!$A$192,'Données projet'!$B$192,EJ43+EI44-ER43)))</f>
        <v>158.4</v>
      </c>
      <c r="EK44" s="17">
        <f>EJ44*VLOOKUP('Données projet'!$B$15,Paramètres!$A$1:$I$89,3,0)*VLOOKUP('Données projet'!$B$15,Paramètres!$A$1:$I$89,5,0)</f>
        <v>160.61760000000001</v>
      </c>
      <c r="EL44" s="13">
        <f t="shared" si="45"/>
        <v>40.981785561145074</v>
      </c>
      <c r="EM44" s="20">
        <f t="shared" si="19"/>
        <v>351.11892985232771</v>
      </c>
      <c r="EN44" s="59">
        <f t="shared" si="20"/>
        <v>644.45226318566097</v>
      </c>
      <c r="EO44" s="59">
        <f ca="1">AVERAGE(OFFSET($EN$3,0,0,'Données projet'!$E$15+1,1))-AVERAGE(OFFSET($H$3,0,0,'Données projet'!$E$15+1,1))</f>
        <v>384.50065773787549</v>
      </c>
      <c r="EP44" s="59">
        <f t="shared" si="46"/>
        <v>231.92898690465887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6.5872006429261729</v>
      </c>
      <c r="EW44" s="21">
        <f>EXP(-LN(2)/25)*EW43+(1-EXP(-LN(2)/25))/(LN(2)/25)*Calculateur!ER44*Calculateur!ET44*VLOOKUP('Données projet'!$B$15,Paramètres!$A$1:$I$89,3,0)*0.475*44/12</f>
        <v>7.7362251541339955</v>
      </c>
      <c r="EX44" s="21">
        <f>EXP(-LN(2)/2)*EX43+(1-EXP(-LN(2)/2))/(LN(2)/2)*ER44*EU44*VLOOKUP('Données projet'!$B$15,Paramètres!$A$1:$I$89,3,0)*0.475*44/12</f>
        <v>0.21135639548158464</v>
      </c>
      <c r="EY44" s="22">
        <f t="shared" si="21"/>
        <v>14.534782192541751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11.4</v>
      </c>
      <c r="FE44" s="12">
        <f>IF('Données projet'!$A$218&gt;35,FE43+FD44-FM43,IF(A44&lt;'Données projet'!$A$218,$FB$205^A44,IF(A44='Données projet'!$A$218,'Données projet'!$B$218,FE43+FD44-FM43)))</f>
        <v>158.4</v>
      </c>
      <c r="FF44" s="17">
        <f>FE44*VLOOKUP('Données projet'!$B$16,Paramètres!$A$1:$I$89,3,0)*VLOOKUP('Données projet'!$B$16,Paramètres!$A$1:$I$89,5,0)</f>
        <v>143.32032000000001</v>
      </c>
      <c r="FG44" s="13">
        <f t="shared" si="47"/>
        <v>37.056603420232349</v>
      </c>
      <c r="FH44" s="20">
        <f t="shared" si="22"/>
        <v>314.15647495690467</v>
      </c>
      <c r="FI44" s="59">
        <f t="shared" si="23"/>
        <v>607.48980829023799</v>
      </c>
      <c r="FJ44" s="59">
        <f ca="1">AVERAGE(OFFSET($FI$3,0,0,'Données projet'!$E$16+1,1))-AVERAGE(OFFSET($H$3,0,0,'Données projet'!$E$16+1,1))</f>
        <v>326.46362829268969</v>
      </c>
      <c r="FK44" s="59">
        <f t="shared" si="48"/>
        <v>203.5274665601915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5.8778098044571978</v>
      </c>
      <c r="FR44" s="21">
        <f>EXP(-LN(2)/25)*FR43+(1-EXP(-LN(2)/25))/(LN(2)/25)*Calculateur!FM44*Calculateur!FO44*VLOOKUP('Données projet'!$B$16,Paramètres!$A$1:$I$89,3,0)*0.475*44/12</f>
        <v>6.9030932144580266</v>
      </c>
      <c r="FS44" s="21">
        <f>EXP(-LN(2)/2)*FS43+(1-EXP(-LN(2)/2))/(LN(2)/2)*FM44*FP44*VLOOKUP('Données projet'!$B$16,Paramètres!$A$1:$I$89,3,0)*0.475*44/12</f>
        <v>0.18859493750664474</v>
      </c>
      <c r="FT44" s="22">
        <f t="shared" si="24"/>
        <v>12.96949795642187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11.4</v>
      </c>
      <c r="FZ44" s="12">
        <f>IF('Données projet'!$A$244&gt;35,FZ43+FY44-GH43,IF(A44&lt;'Données projet'!$A$244,$FW$205^A44,IF(A44='Données projet'!$A$244,'Données projet'!$B$244,FZ43+FY44-GH43)))</f>
        <v>158.4</v>
      </c>
      <c r="GA44" s="17">
        <f>FZ44*VLOOKUP('Données projet'!$B$17,Paramètres!$A$1:$I$89,3,0)*VLOOKUP('Données projet'!$B$17,Paramètres!$A$1:$I$89,5,0)</f>
        <v>153.20447999999999</v>
      </c>
      <c r="GB44" s="13">
        <f t="shared" si="49"/>
        <v>39.305916881892401</v>
      </c>
      <c r="GC44" s="20">
        <f t="shared" si="25"/>
        <v>335.28894123596257</v>
      </c>
      <c r="GD44" s="59">
        <f t="shared" si="26"/>
        <v>628.62227456929588</v>
      </c>
      <c r="GE44" s="59">
        <f ca="1">AVERAGE(OFFSET($GD$3,0,0,'Données projet'!$E$17+1,1))-AVERAGE(OFFSET($H$3,0,0,'Données projet'!$E$17+1,1))</f>
        <v>353.24082990916918</v>
      </c>
      <c r="GF44" s="59">
        <f t="shared" si="50"/>
        <v>219.76562717496353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6.2831759978680424</v>
      </c>
      <c r="GM44" s="21">
        <f>EXP(-LN(2)/25)*GM43+(1-EXP(-LN(2)/25))/(LN(2)/25)*Calculateur!GH44*Calculateur!GJ44*VLOOKUP('Données projet'!$B$17,Paramètres!$A$1:$I$89,3,0)*0.475*44/12</f>
        <v>7.3791686085585821</v>
      </c>
      <c r="GN44" s="21">
        <f>EXP(-LN(2)/2)*GN43+(1-EXP(-LN(2)/2))/(LN(2)/2)*GH44*GK44*VLOOKUP('Données projet'!$B$17,Paramètres!$A$1:$I$89,3,0)*0.475*44/12</f>
        <v>0.20160148492089616</v>
      </c>
      <c r="GO44" s="21">
        <f t="shared" si="27"/>
        <v>13.863946091347522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378.17323480030268</v>
      </c>
      <c r="T45" s="59">
        <f t="shared" si="34"/>
        <v>471.89239871617241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3.4730922993306259</v>
      </c>
      <c r="AA45" s="21">
        <f>EXP(-LN(2)/25)*AA44+(1-EXP(-LN(2)/25))/(LN(2)/25)*Calculateur!V45*Calculateur!X45*VLOOKUP('Données projet'!$B$9,Paramètres!$A$1:$I$89,3,0)*0.475*44/12</f>
        <v>14.91413507333176</v>
      </c>
      <c r="AB45" s="21">
        <f>EXP(-LN(2)/2)*AB44+(1-EXP(-LN(2)/2))/(LN(2)/2)*V45*Y45*VLOOKUP('Données projet'!$B$9,Paramètres!$A$1:$I$89,3,0)*0.475*44/12</f>
        <v>0.16344673329802109</v>
      </c>
      <c r="AC45" s="22">
        <f t="shared" si="3"/>
        <v>18.550674105960407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7.333333333333333</v>
      </c>
      <c r="AI45" s="13">
        <f>IF('Données projet'!$A$62&gt;35,AI44+AH45-AQ44,IF(A45&lt;'Données projet'!$A$62,$AF$205^A45,IF(A45='Données projet'!$A$62,'Données projet'!$B$62,AI44+AH45-AQ44)))</f>
        <v>198.66666666666663</v>
      </c>
      <c r="AJ45" s="13">
        <f>AI45*VLOOKUP('Données projet'!$B$10,Paramètres!$A$1:$I$89,3,0)*VLOOKUP('Données projet'!$B$10,Paramètres!$A$1:$I$89,5,0)</f>
        <v>118.80266666666665</v>
      </c>
      <c r="AK45" s="13">
        <f t="shared" si="35"/>
        <v>31.395578184054404</v>
      </c>
      <c r="AL45" s="20">
        <f t="shared" si="4"/>
        <v>261.59527644833923</v>
      </c>
      <c r="AM45" s="59">
        <f t="shared" si="5"/>
        <v>554.92860978167255</v>
      </c>
      <c r="AN45" s="59">
        <f ca="1">AVERAGE(OFFSET($AM$3,0,0,'Données projet'!$E$10+1,1))-AVERAGE(OFFSET($H$3,0,0,'Données projet'!$E$10+1,1))</f>
        <v>141.22849894256314</v>
      </c>
      <c r="AO45" s="59">
        <f t="shared" si="36"/>
        <v>156.12101479343704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5.7995188230496213</v>
      </c>
      <c r="AV45" s="21">
        <f>EXP(-LN(2)/25)*AV44+(1-EXP(-LN(2)/25))/(LN(2)/25)*Calculateur!AQ45*Calculateur!AS45*VLOOKUP('Données projet'!$B$10,Paramètres!$A$1:$I$89,3,0)*0.475*44/12</f>
        <v>4.3180247928992648</v>
      </c>
      <c r="AW45" s="21">
        <f>EXP(-LN(2)/2)*AW44+(1-EXP(-LN(2)/2))/(LN(2)/2)*AQ45*AT45*VLOOKUP('Données projet'!$B$10,Paramètres!$A$1:$I$89,3,0)*0.475*44/12</f>
        <v>4.6218297346743965E-2</v>
      </c>
      <c r="AX45" s="21">
        <f t="shared" si="6"/>
        <v>10.16376191329563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255</v>
      </c>
      <c r="BE45" s="13">
        <f>BD45*VLOOKUP('Données projet'!$B$11,Paramètres!$A$1:$I$89,3,0)*VLOOKUP('Données projet'!$B$11,Paramètres!$A$1:$I$89,5,0)</f>
        <v>112.71000000000001</v>
      </c>
      <c r="BF45" s="13">
        <f t="shared" si="37"/>
        <v>29.96857449492822</v>
      </c>
      <c r="BG45" s="20">
        <f t="shared" si="7"/>
        <v>248.49851724533332</v>
      </c>
      <c r="BH45" s="59">
        <f t="shared" si="8"/>
        <v>541.8318505786666</v>
      </c>
      <c r="BI45" s="59">
        <f ca="1">AVERAGE(OFFSET($BH$3,0,0,'Données projet'!$E$11+1,1))-AVERAGE(OFFSET($H$3,0,0,'Données projet'!$E$11+1,1))</f>
        <v>114.25511901730295</v>
      </c>
      <c r="BJ45" s="59">
        <f t="shared" si="38"/>
        <v>180.96261947642182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2.6953110781196341</v>
      </c>
      <c r="BQ45" s="21">
        <f>EXP(-LN(2)/25)*BQ44+(1-EXP(-LN(2)/25))/(LN(2)/25)*Calculateur!BL45*Calculateur!BN45*VLOOKUP('Données projet'!$B$11,Paramètres!$A$1:$I$89,3,0)*0.475*44/12</f>
        <v>12.773097199374812</v>
      </c>
      <c r="BR45" s="21">
        <f>EXP(-LN(2)/2)*BR44+(1-EXP(-LN(2)/2))/(LN(2)/2)*BL45*BO45*VLOOKUP('Données projet'!$B$11,Paramètres!$A$1:$I$89,3,0)*0.475*44/12</f>
        <v>0.10675097715909068</v>
      </c>
      <c r="BS45" s="22">
        <f t="shared" si="9"/>
        <v>15.575159254653537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11.142857142857142</v>
      </c>
      <c r="BY45" s="12">
        <f>IF('Données projet'!$A$114&gt;35,BY44+BX45-CG44,IF(A45&lt;'Données projet'!$A$114,$BV$205^A45,IF(A45='Données projet'!$A$114,'Données projet'!$B$114,BY44+BX45-CG44)))</f>
        <v>207.71428571428564</v>
      </c>
      <c r="BZ45" s="13">
        <f>BY45*VLOOKUP('Données projet'!$B$12,Paramètres!$A$1:$I$89,3,0)*VLOOKUP('Données projet'!$B$12,Paramètres!$A$1:$I$89,5,0)</f>
        <v>162.0171428571428</v>
      </c>
      <c r="CA45" s="13">
        <f t="shared" si="39"/>
        <v>41.29715533509664</v>
      </c>
      <c r="CB45" s="20">
        <f t="shared" si="10"/>
        <v>354.10573601815037</v>
      </c>
      <c r="CC45" s="59">
        <f t="shared" si="11"/>
        <v>647.43906935148368</v>
      </c>
      <c r="CD45" s="59">
        <f ca="1">AVERAGE(OFFSET($CC$3,0,0,'Données projet'!$E$12+1,1))-AVERAGE(OFFSET($H$3,0,0,'Données projet'!$E$12+1,1))</f>
        <v>216.95993967070063</v>
      </c>
      <c r="CE45" s="59">
        <f t="shared" si="40"/>
        <v>208.79744153433245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4.0737721307370069</v>
      </c>
      <c r="CL45" s="21">
        <f>EXP(-LN(2)/25)*CL44+(1-EXP(-LN(2)/25))/(LN(2)/25)*Calculateur!CG45*Calculateur!CI45*VLOOKUP('Données projet'!$B$12,Paramètres!$A$1:$I$89,3,0)*0.475*44/12</f>
        <v>4.601100826642103</v>
      </c>
      <c r="CM45" s="21">
        <f>EXP(-LN(2)/2)*CM44+(1-EXP(-LN(2)/2))/(LN(2)/2)*CG45*CJ45*VLOOKUP('Données projet'!$B$12,Paramètres!$A$1:$I$89,3,0)*0.475*44/12</f>
        <v>1.9275130570367609E-2</v>
      </c>
      <c r="CN45" s="22">
        <f t="shared" si="12"/>
        <v>8.6941480879494772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11.142857142857142</v>
      </c>
      <c r="CT45" s="12">
        <f>IF('Données projet'!$A$140&gt;35,CT44+CS45-DB44,IF(A45&lt;'Données projet'!$A$140,$CQ$205^A45,IF(A45='Données projet'!$A$140,'Données projet'!$B$140,CT44+CS45-DB44)))</f>
        <v>207.71428571428564</v>
      </c>
      <c r="CU45" s="17">
        <f>CT45*VLOOKUP('Données projet'!$B$13,Paramètres!$A$1:$I$89,3,0)*VLOOKUP('Données projet'!$B$13,Paramètres!$A$1:$I$89,5,0)</f>
        <v>139.33474285714283</v>
      </c>
      <c r="CV45" s="13">
        <f t="shared" si="41"/>
        <v>36.144562203141966</v>
      </c>
      <c r="CW45" s="20">
        <f t="shared" si="13"/>
        <v>305.62645631332936</v>
      </c>
      <c r="CX45" s="59">
        <f t="shared" si="14"/>
        <v>598.95978964666267</v>
      </c>
      <c r="CY45" s="59">
        <f ca="1">AVERAGE(OFFSET($CX$3,0,0,'Données projet'!$E$13+1,1))-AVERAGE(OFFSET($H$3,0,0,'Données projet'!$E$13+1,1))</f>
        <v>181.32837315090507</v>
      </c>
      <c r="CZ45" s="59">
        <f t="shared" si="42"/>
        <v>175.03267817980338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4.3181984585812234</v>
      </c>
      <c r="DG45" s="21">
        <f>EXP(-LN(2)/25)*DG44+(1-EXP(-LN(2)/25))/(LN(2)/25)*Calculateur!DB45*Calculateur!DD45*VLOOKUP('Données projet'!$B$13,Paramètres!$A$1:$I$89,3,0)*0.475*44/12</f>
        <v>4.8771668762406311</v>
      </c>
      <c r="DH45" s="21">
        <f>EXP(-LN(2)/2)*DH44+(1-EXP(-LN(2)/2))/(LN(2)/2)*DB45*DE45*VLOOKUP('Données projet'!$B$13,Paramètres!$A$1:$I$89,3,0)*0.475*44/12</f>
        <v>1.6576612290516136E-2</v>
      </c>
      <c r="DI45" s="22">
        <f t="shared" si="15"/>
        <v>9.2119419471123702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245.79999999999993</v>
      </c>
      <c r="DP45" s="17">
        <f>DO45*VLOOKUP('Données projet'!$B$14,Paramètres!$A$1:$I$89,3,0)*VLOOKUP('Données projet'!$B$14,Paramètres!$A$1:$I$89,5,0)</f>
        <v>195.55847999999995</v>
      </c>
      <c r="DQ45" s="13">
        <f t="shared" si="43"/>
        <v>48.766783903364477</v>
      </c>
      <c r="DR45" s="20">
        <f t="shared" si="16"/>
        <v>425.53316796502639</v>
      </c>
      <c r="DS45" s="59">
        <f t="shared" si="17"/>
        <v>718.86650129835971</v>
      </c>
      <c r="DT45" s="59">
        <f ca="1">AVERAGE(OFFSET($DS$3,0,0,'Données projet'!$E$14+1,1))-AVERAGE(OFFSET($H$3,0,0,'Données projet'!$E$14+1,1))</f>
        <v>325.72928944930294</v>
      </c>
      <c r="DU45" s="59">
        <f t="shared" si="44"/>
        <v>318.38876834819752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13.652036500324243</v>
      </c>
      <c r="EB45" s="21">
        <f>EXP(-LN(2)/25)*EB44+(1-EXP(-LN(2)/25))/(LN(2)/25)*Calculateur!DW45*Calculateur!DY45*VLOOKUP('Données projet'!$B$14,Paramètres!$A$1:$I$89,3,0)*0.475*44/12</f>
        <v>14.827011848267279</v>
      </c>
      <c r="EC45" s="21">
        <f>EXP(-LN(2)/2)*EC44+(1-EXP(-LN(2)/2))/(LN(2)/2)*DW45*DZ45*VLOOKUP('Données projet'!$B$14,Paramètres!$A$1:$I$89,3,0)*0.475*44/12</f>
        <v>0.18483939115756354</v>
      </c>
      <c r="ED45" s="22">
        <f t="shared" si="18"/>
        <v>28.663887739749086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11.4</v>
      </c>
      <c r="EJ45" s="12">
        <f>IF('Données projet'!$A$192&gt;35,EJ44+EI45-ER44,IF(A45&lt;'Données projet'!$A$192,$EG$205^A45,IF(A45='Données projet'!$A$192,'Données projet'!$B$192,EJ44+EI45-ER44)))</f>
        <v>169.8</v>
      </c>
      <c r="EK45" s="17">
        <f>EJ45*VLOOKUP('Données projet'!$B$15,Paramètres!$A$1:$I$89,3,0)*VLOOKUP('Données projet'!$B$15,Paramètres!$A$1:$I$89,5,0)</f>
        <v>172.1772</v>
      </c>
      <c r="EL45" s="13">
        <f t="shared" si="45"/>
        <v>43.577282221917017</v>
      </c>
      <c r="EM45" s="20">
        <f t="shared" si="19"/>
        <v>375.77238986983883</v>
      </c>
      <c r="EN45" s="59">
        <f t="shared" si="20"/>
        <v>669.10572320317215</v>
      </c>
      <c r="EO45" s="59">
        <f ca="1">AVERAGE(OFFSET($EN$3,0,0,'Données projet'!$E$15+1,1))-AVERAGE(OFFSET($H$3,0,0,'Données projet'!$E$15+1,1))</f>
        <v>384.50065773787549</v>
      </c>
      <c r="EP45" s="59">
        <f t="shared" si="46"/>
        <v>231.92898690465887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6.4580296561140589</v>
      </c>
      <c r="EW45" s="21">
        <f>EXP(-LN(2)/25)*EW44+(1-EXP(-LN(2)/25))/(LN(2)/25)*Calculateur!ER45*Calculateur!ET45*VLOOKUP('Données projet'!$B$15,Paramètres!$A$1:$I$89,3,0)*0.475*44/12</f>
        <v>7.5246776704638023</v>
      </c>
      <c r="EX45" s="21">
        <f>EXP(-LN(2)/2)*EX44+(1-EXP(-LN(2)/2))/(LN(2)/2)*ER45*EU45*VLOOKUP('Données projet'!$B$15,Paramètres!$A$1:$I$89,3,0)*0.475*44/12</f>
        <v>0.14945154049217427</v>
      </c>
      <c r="EY45" s="22">
        <f t="shared" si="21"/>
        <v>14.132158867070036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11.4</v>
      </c>
      <c r="FE45" s="12">
        <f>IF('Données projet'!$A$218&gt;35,FE44+FD45-FM44,IF(A45&lt;'Données projet'!$A$218,$FB$205^A45,IF(A45='Données projet'!$A$218,'Données projet'!$B$218,FE44+FD45-FM44)))</f>
        <v>169.8</v>
      </c>
      <c r="FF45" s="17">
        <f>FE45*VLOOKUP('Données projet'!$B$16,Paramètres!$A$1:$I$89,3,0)*VLOOKUP('Données projet'!$B$16,Paramètres!$A$1:$I$89,5,0)</f>
        <v>153.63504</v>
      </c>
      <c r="FG45" s="13">
        <f t="shared" si="47"/>
        <v>39.403506785222667</v>
      </c>
      <c r="FH45" s="20">
        <f t="shared" si="22"/>
        <v>336.20880231759617</v>
      </c>
      <c r="FI45" s="59">
        <f t="shared" si="23"/>
        <v>629.54213565092948</v>
      </c>
      <c r="FJ45" s="59">
        <f ca="1">AVERAGE(OFFSET($FI$3,0,0,'Données projet'!$E$16+1,1))-AVERAGE(OFFSET($H$3,0,0,'Données projet'!$E$16+1,1))</f>
        <v>326.46362829268969</v>
      </c>
      <c r="FK45" s="59">
        <f t="shared" si="48"/>
        <v>203.5274665601915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5.7625495393017729</v>
      </c>
      <c r="FR45" s="21">
        <f>EXP(-LN(2)/25)*FR44+(1-EXP(-LN(2)/25))/(LN(2)/25)*Calculateur!FM45*Calculateur!FO45*VLOOKUP('Données projet'!$B$16,Paramètres!$A$1:$I$89,3,0)*0.475*44/12</f>
        <v>6.7143277674907766</v>
      </c>
      <c r="FS45" s="21">
        <f>EXP(-LN(2)/2)*FS44+(1-EXP(-LN(2)/2))/(LN(2)/2)*FM45*FP45*VLOOKUP('Données projet'!$B$16,Paramètres!$A$1:$I$89,3,0)*0.475*44/12</f>
        <v>0.13335675920840165</v>
      </c>
      <c r="FT45" s="22">
        <f t="shared" si="24"/>
        <v>12.610234066000951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11.4</v>
      </c>
      <c r="FZ45" s="12">
        <f>IF('Données projet'!$A$244&gt;35,FZ44+FY45-GH44,IF(A45&lt;'Données projet'!$A$244,$FW$205^A45,IF(A45='Données projet'!$A$244,'Données projet'!$B$244,FZ44+FY45-GH44)))</f>
        <v>169.8</v>
      </c>
      <c r="GA45" s="17">
        <f>FZ45*VLOOKUP('Données projet'!$B$17,Paramètres!$A$1:$I$89,3,0)*VLOOKUP('Données projet'!$B$17,Paramètres!$A$1:$I$89,5,0)</f>
        <v>164.23056000000003</v>
      </c>
      <c r="GB45" s="13">
        <f t="shared" si="49"/>
        <v>41.795275864636551</v>
      </c>
      <c r="GC45" s="20">
        <f t="shared" si="25"/>
        <v>358.82833079757535</v>
      </c>
      <c r="GD45" s="59">
        <f t="shared" si="26"/>
        <v>652.16166413090866</v>
      </c>
      <c r="GE45" s="59">
        <f ca="1">AVERAGE(OFFSET($GD$3,0,0,'Données projet'!$E$17+1,1))-AVERAGE(OFFSET($H$3,0,0,'Données projet'!$E$17+1,1))</f>
        <v>353.24082990916918</v>
      </c>
      <c r="GF45" s="59">
        <f t="shared" si="50"/>
        <v>219.76562717496353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6.1599667489087944</v>
      </c>
      <c r="GM45" s="21">
        <f>EXP(-LN(2)/25)*GM44+(1-EXP(-LN(2)/25))/(LN(2)/25)*Calculateur!GH45*Calculateur!GJ45*VLOOKUP('Données projet'!$B$17,Paramètres!$A$1:$I$89,3,0)*0.475*44/12</f>
        <v>7.1773848549039361</v>
      </c>
      <c r="GN45" s="21">
        <f>EXP(-LN(2)/2)*GN44+(1-EXP(-LN(2)/2))/(LN(2)/2)*GH45*GK45*VLOOKUP('Données projet'!$B$17,Paramètres!$A$1:$I$89,3,0)*0.475*44/12</f>
        <v>0.14255377708484318</v>
      </c>
      <c r="GO45" s="21">
        <f t="shared" si="27"/>
        <v>13.479905380897575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378.17323480030268</v>
      </c>
      <c r="T46" s="59">
        <f t="shared" si="34"/>
        <v>471.89239871617241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3.4049870777178826</v>
      </c>
      <c r="AA46" s="21">
        <f>EXP(-LN(2)/25)*AA45+(1-EXP(-LN(2)/25))/(LN(2)/25)*Calculateur!V46*Calculateur!X46*VLOOKUP('Données projet'!$B$9,Paramètres!$A$1:$I$89,3,0)*0.475*44/12</f>
        <v>14.506307265451227</v>
      </c>
      <c r="AB46" s="21">
        <f>EXP(-LN(2)/2)*AB45+(1-EXP(-LN(2)/2))/(LN(2)/2)*V46*Y46*VLOOKUP('Données projet'!$B$9,Paramètres!$A$1:$I$89,3,0)*0.475*44/12</f>
        <v>0.11557429347781979</v>
      </c>
      <c r="AC46" s="22">
        <f t="shared" si="3"/>
        <v>18.026868636646931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7.333333333333333</v>
      </c>
      <c r="AI46" s="13">
        <f>IF('Données projet'!$A$62&gt;35,AI45+AH46-AQ45,IF(A46&lt;'Données projet'!$A$62,$AF$205^A46,IF(A46='Données projet'!$A$62,'Données projet'!$B$62,AI45+AH46-AQ45)))</f>
        <v>205.99999999999997</v>
      </c>
      <c r="AJ46" s="13">
        <f>AI46*VLOOKUP('Données projet'!$B$10,Paramètres!$A$1:$I$89,3,0)*VLOOKUP('Données projet'!$B$10,Paramètres!$A$1:$I$89,5,0)</f>
        <v>123.18799999999999</v>
      </c>
      <c r="AK46" s="13">
        <f t="shared" si="35"/>
        <v>32.417409489939047</v>
      </c>
      <c r="AL46" s="20">
        <f t="shared" si="4"/>
        <v>271.01275486164383</v>
      </c>
      <c r="AM46" s="59">
        <f t="shared" si="5"/>
        <v>564.34608819497714</v>
      </c>
      <c r="AN46" s="59">
        <f ca="1">AVERAGE(OFFSET($AM$3,0,0,'Données projet'!$E$10+1,1))-AVERAGE(OFFSET($H$3,0,0,'Données projet'!$E$10+1,1))</f>
        <v>141.22849894256314</v>
      </c>
      <c r="AO46" s="59">
        <f t="shared" si="36"/>
        <v>156.12101479343704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5.6857937962868155</v>
      </c>
      <c r="AV46" s="21">
        <f>EXP(-LN(2)/25)*AV45+(1-EXP(-LN(2)/25))/(LN(2)/25)*Calculateur!AQ46*Calculateur!AS46*VLOOKUP('Données projet'!$B$10,Paramètres!$A$1:$I$89,3,0)*0.475*44/12</f>
        <v>4.1999481778623791</v>
      </c>
      <c r="AW46" s="21">
        <f>EXP(-LN(2)/2)*AW45+(1-EXP(-LN(2)/2))/(LN(2)/2)*AQ46*AT46*VLOOKUP('Données projet'!$B$10,Paramètres!$A$1:$I$89,3,0)*0.475*44/12</f>
        <v>3.2681271468778875E-2</v>
      </c>
      <c r="AX46" s="21">
        <f t="shared" si="6"/>
        <v>9.9184232456179728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198.66666666666669</v>
      </c>
      <c r="BE46" s="13">
        <f>BD46*VLOOKUP('Données projet'!$B$11,Paramètres!$A$1:$I$89,3,0)*VLOOKUP('Données projet'!$B$11,Paramètres!$A$1:$I$89,5,0)</f>
        <v>87.810666666666691</v>
      </c>
      <c r="BF46" s="13">
        <f t="shared" si="37"/>
        <v>24.036456110871253</v>
      </c>
      <c r="BG46" s="20">
        <f t="shared" si="7"/>
        <v>194.80040550421191</v>
      </c>
      <c r="BH46" s="59">
        <f t="shared" si="8"/>
        <v>488.13373883754525</v>
      </c>
      <c r="BI46" s="59">
        <f ca="1">AVERAGE(OFFSET($BH$3,0,0,'Données projet'!$E$11+1,1))-AVERAGE(OFFSET($H$3,0,0,'Données projet'!$E$11+1,1))</f>
        <v>114.25511901730295</v>
      </c>
      <c r="BJ46" s="59">
        <f t="shared" si="38"/>
        <v>180.96261947642182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2.6424576718551362</v>
      </c>
      <c r="BQ46" s="21">
        <f>EXP(-LN(2)/25)*BQ45+(1-EXP(-LN(2)/25))/(LN(2)/25)*Calculateur!BL46*Calculateur!BN46*VLOOKUP('Données projet'!$B$11,Paramètres!$A$1:$I$89,3,0)*0.475*44/12</f>
        <v>12.423816184749919</v>
      </c>
      <c r="BR46" s="21">
        <f>EXP(-LN(2)/2)*BR45+(1-EXP(-LN(2)/2))/(LN(2)/2)*BL46*BO46*VLOOKUP('Données projet'!$B$11,Paramètres!$A$1:$I$89,3,0)*0.475*44/12</f>
        <v>7.5484339847483276E-2</v>
      </c>
      <c r="BS46" s="22">
        <f t="shared" si="9"/>
        <v>15.141758196452537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11.142857142857142</v>
      </c>
      <c r="BY46" s="12">
        <f>IF('Données projet'!$A$114&gt;35,BY45+BX46-CG45,IF(A46&lt;'Données projet'!$A$114,$BV$205^A46,IF(A46='Données projet'!$A$114,'Données projet'!$B$114,BY45+BX46-CG45)))</f>
        <v>218.85714285714278</v>
      </c>
      <c r="BZ46" s="13">
        <f>BY46*VLOOKUP('Données projet'!$B$12,Paramètres!$A$1:$I$89,3,0)*VLOOKUP('Données projet'!$B$12,Paramètres!$A$1:$I$89,5,0)</f>
        <v>170.70857142857136</v>
      </c>
      <c r="CA46" s="13">
        <f t="shared" si="39"/>
        <v>43.248681576985376</v>
      </c>
      <c r="CB46" s="20">
        <f t="shared" si="10"/>
        <v>372.64221565134466</v>
      </c>
      <c r="CC46" s="59">
        <f t="shared" si="11"/>
        <v>665.97554898467797</v>
      </c>
      <c r="CD46" s="59">
        <f ca="1">AVERAGE(OFFSET($CC$3,0,0,'Données projet'!$E$12+1,1))-AVERAGE(OFFSET($H$3,0,0,'Données projet'!$E$12+1,1))</f>
        <v>216.95993967070063</v>
      </c>
      <c r="CE46" s="59">
        <f t="shared" si="40"/>
        <v>208.79744153433245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3.9938879440089048</v>
      </c>
      <c r="CL46" s="21">
        <f>EXP(-LN(2)/25)*CL45+(1-EXP(-LN(2)/25))/(LN(2)/25)*Calculateur!CG46*Calculateur!CI46*VLOOKUP('Données projet'!$B$12,Paramètres!$A$1:$I$89,3,0)*0.475*44/12</f>
        <v>4.4752834825761978</v>
      </c>
      <c r="CM46" s="21">
        <f>EXP(-LN(2)/2)*CM45+(1-EXP(-LN(2)/2))/(LN(2)/2)*CG46*CJ46*VLOOKUP('Données projet'!$B$12,Paramètres!$A$1:$I$89,3,0)*0.475*44/12</f>
        <v>1.3629575534563062E-2</v>
      </c>
      <c r="CN46" s="22">
        <f t="shared" si="12"/>
        <v>8.4828010021196665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11.142857142857142</v>
      </c>
      <c r="CT46" s="12">
        <f>IF('Données projet'!$A$140&gt;35,CT45+CS46-DB45,IF(A46&lt;'Données projet'!$A$140,$CQ$205^A46,IF(A46='Données projet'!$A$140,'Données projet'!$B$140,CT45+CS46-DB45)))</f>
        <v>218.85714285714278</v>
      </c>
      <c r="CU46" s="17">
        <f>CT46*VLOOKUP('Données projet'!$B$13,Paramètres!$A$1:$I$89,3,0)*VLOOKUP('Données projet'!$B$13,Paramètres!$A$1:$I$89,5,0)</f>
        <v>146.80937142857138</v>
      </c>
      <c r="CV46" s="13">
        <f t="shared" si="41"/>
        <v>37.852599017509782</v>
      </c>
      <c r="CW46" s="20">
        <f t="shared" si="13"/>
        <v>321.61959852692468</v>
      </c>
      <c r="CX46" s="59">
        <f t="shared" si="14"/>
        <v>614.95293186025799</v>
      </c>
      <c r="CY46" s="59">
        <f ca="1">AVERAGE(OFFSET($CX$3,0,0,'Données projet'!$E$13+1,1))-AVERAGE(OFFSET($H$3,0,0,'Données projet'!$E$13+1,1))</f>
        <v>181.32837315090507</v>
      </c>
      <c r="CZ46" s="59">
        <f t="shared" si="42"/>
        <v>175.03267817980338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4.2335212206494353</v>
      </c>
      <c r="DG46" s="21">
        <f>EXP(-LN(2)/25)*DG45+(1-EXP(-LN(2)/25))/(LN(2)/25)*Calculateur!DB46*Calculateur!DD46*VLOOKUP('Données projet'!$B$13,Paramètres!$A$1:$I$89,3,0)*0.475*44/12</f>
        <v>4.7438004915307719</v>
      </c>
      <c r="DH46" s="21">
        <f>EXP(-LN(2)/2)*DH45+(1-EXP(-LN(2)/2))/(LN(2)/2)*DB46*DE46*VLOOKUP('Données projet'!$B$13,Paramètres!$A$1:$I$89,3,0)*0.475*44/12</f>
        <v>1.1721434959724228E-2</v>
      </c>
      <c r="DI46" s="22">
        <f t="shared" si="15"/>
        <v>8.989043147139931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257.19999999999993</v>
      </c>
      <c r="DP46" s="17">
        <f>DO46*VLOOKUP('Données projet'!$B$14,Paramètres!$A$1:$I$89,3,0)*VLOOKUP('Données projet'!$B$14,Paramètres!$A$1:$I$89,5,0)</f>
        <v>204.62831999999995</v>
      </c>
      <c r="DQ46" s="13">
        <f t="shared" si="43"/>
        <v>50.759974072251445</v>
      </c>
      <c r="DR46" s="20">
        <f t="shared" si="16"/>
        <v>444.80127884250447</v>
      </c>
      <c r="DS46" s="59">
        <f t="shared" si="17"/>
        <v>738.13461217583779</v>
      </c>
      <c r="DT46" s="59">
        <f ca="1">AVERAGE(OFFSET($DS$3,0,0,'Données projet'!$E$14+1,1))-AVERAGE(OFFSET($H$3,0,0,'Données projet'!$E$14+1,1))</f>
        <v>325.72928944930294</v>
      </c>
      <c r="DU46" s="59">
        <f t="shared" si="44"/>
        <v>318.38876834819752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13.384328391472934</v>
      </c>
      <c r="EB46" s="21">
        <f>EXP(-LN(2)/25)*EB45+(1-EXP(-LN(2)/25))/(LN(2)/25)*Calculateur!DW46*Calculateur!DY46*VLOOKUP('Données projet'!$B$14,Paramètres!$A$1:$I$89,3,0)*0.475*44/12</f>
        <v>14.421566429557744</v>
      </c>
      <c r="EC46" s="21">
        <f>EXP(-LN(2)/2)*EC45+(1-EXP(-LN(2)/2))/(LN(2)/2)*DW46*DZ46*VLOOKUP('Données projet'!$B$14,Paramètres!$A$1:$I$89,3,0)*0.475*44/12</f>
        <v>0.13070118691790594</v>
      </c>
      <c r="ED46" s="22">
        <f t="shared" si="18"/>
        <v>27.936596007948584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11.4</v>
      </c>
      <c r="EJ46" s="12">
        <f>IF('Données projet'!$A$192&gt;35,EJ45+EI46-ER45,IF(A46&lt;'Données projet'!$A$192,$EG$205^A46,IF(A46='Données projet'!$A$192,'Données projet'!$B$192,EJ45+EI46-ER45)))</f>
        <v>181.20000000000002</v>
      </c>
      <c r="EK46" s="17">
        <f>EJ46*VLOOKUP('Données projet'!$B$15,Paramètres!$A$1:$I$89,3,0)*VLOOKUP('Données projet'!$B$15,Paramètres!$A$1:$I$89,5,0)</f>
        <v>183.73680000000002</v>
      </c>
      <c r="EL46" s="13">
        <f t="shared" si="45"/>
        <v>46.152558509293854</v>
      </c>
      <c r="EM46" s="20">
        <f t="shared" si="19"/>
        <v>400.3906327370201</v>
      </c>
      <c r="EN46" s="59">
        <f t="shared" si="20"/>
        <v>693.72396607035341</v>
      </c>
      <c r="EO46" s="59">
        <f ca="1">AVERAGE(OFFSET($EN$3,0,0,'Données projet'!$E$15+1,1))-AVERAGE(OFFSET($H$3,0,0,'Données projet'!$E$15+1,1))</f>
        <v>384.50065773787549</v>
      </c>
      <c r="EP46" s="59">
        <f t="shared" si="46"/>
        <v>231.92898690465887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6.3313916335668079</v>
      </c>
      <c r="EW46" s="21">
        <f>EXP(-LN(2)/25)*EW45+(1-EXP(-LN(2)/25))/(LN(2)/25)*Calculateur!ER46*Calculateur!ET46*VLOOKUP('Données projet'!$B$15,Paramètres!$A$1:$I$89,3,0)*0.475*44/12</f>
        <v>7.3189149638593687</v>
      </c>
      <c r="EX46" s="21">
        <f>EXP(-LN(2)/2)*EX45+(1-EXP(-LN(2)/2))/(LN(2)/2)*ER46*EU46*VLOOKUP('Données projet'!$B$15,Paramètres!$A$1:$I$89,3,0)*0.475*44/12</f>
        <v>0.10567819774079232</v>
      </c>
      <c r="EY46" s="22">
        <f t="shared" si="21"/>
        <v>13.755984795166968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11.4</v>
      </c>
      <c r="FE46" s="12">
        <f>IF('Données projet'!$A$218&gt;35,FE45+FD46-FM45,IF(A46&lt;'Données projet'!$A$218,$FB$205^A46,IF(A46='Données projet'!$A$218,'Données projet'!$B$218,FE45+FD46-FM45)))</f>
        <v>181.20000000000002</v>
      </c>
      <c r="FF46" s="17">
        <f>FE46*VLOOKUP('Données projet'!$B$16,Paramètres!$A$1:$I$89,3,0)*VLOOKUP('Données projet'!$B$16,Paramètres!$A$1:$I$89,5,0)</f>
        <v>163.94976</v>
      </c>
      <c r="FG46" s="13">
        <f t="shared" si="47"/>
        <v>41.732126457893308</v>
      </c>
      <c r="FH46" s="20">
        <f t="shared" si="22"/>
        <v>358.22928558083089</v>
      </c>
      <c r="FI46" s="59">
        <f t="shared" si="23"/>
        <v>651.5626189141642</v>
      </c>
      <c r="FJ46" s="59">
        <f ca="1">AVERAGE(OFFSET($FI$3,0,0,'Données projet'!$E$16+1,1))-AVERAGE(OFFSET($H$3,0,0,'Données projet'!$E$16+1,1))</f>
        <v>326.46362829268969</v>
      </c>
      <c r="FK46" s="59">
        <f t="shared" si="48"/>
        <v>203.5274665601915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5.649549457644226</v>
      </c>
      <c r="FR46" s="21">
        <f>EXP(-LN(2)/25)*FR45+(1-EXP(-LN(2)/25))/(LN(2)/25)*Calculateur!FM46*Calculateur!FO46*VLOOKUP('Données projet'!$B$16,Paramètres!$A$1:$I$89,3,0)*0.475*44/12</f>
        <v>6.53072412159759</v>
      </c>
      <c r="FS46" s="21">
        <f>EXP(-LN(2)/2)*FS45+(1-EXP(-LN(2)/2))/(LN(2)/2)*FM46*FP46*VLOOKUP('Données projet'!$B$16,Paramètres!$A$1:$I$89,3,0)*0.475*44/12</f>
        <v>9.4297468753322372E-2</v>
      </c>
      <c r="FT46" s="22">
        <f t="shared" si="24"/>
        <v>12.274571047995138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11.4</v>
      </c>
      <c r="FZ46" s="12">
        <f>IF('Données projet'!$A$244&gt;35,FZ45+FY46-GH45,IF(A46&lt;'Données projet'!$A$244,$FW$205^A46,IF(A46='Données projet'!$A$244,'Données projet'!$B$244,FZ45+FY46-GH45)))</f>
        <v>181.20000000000002</v>
      </c>
      <c r="GA46" s="17">
        <f>FZ46*VLOOKUP('Données projet'!$B$17,Paramètres!$A$1:$I$89,3,0)*VLOOKUP('Données projet'!$B$17,Paramètres!$A$1:$I$89,5,0)</f>
        <v>175.25664000000003</v>
      </c>
      <c r="GB46" s="13">
        <f t="shared" si="49"/>
        <v>44.265241345972555</v>
      </c>
      <c r="GC46" s="20">
        <f t="shared" si="25"/>
        <v>382.33394334423559</v>
      </c>
      <c r="GD46" s="59">
        <f t="shared" si="26"/>
        <v>675.66727667756891</v>
      </c>
      <c r="GE46" s="59">
        <f ca="1">AVERAGE(OFFSET($GD$3,0,0,'Données projet'!$E$17+1,1))-AVERAGE(OFFSET($H$3,0,0,'Données projet'!$E$17+1,1))</f>
        <v>353.24082990916918</v>
      </c>
      <c r="GF46" s="59">
        <f t="shared" si="50"/>
        <v>219.76562717496353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6.0391735581714165</v>
      </c>
      <c r="GM46" s="21">
        <f>EXP(-LN(2)/25)*GM45+(1-EXP(-LN(2)/25))/(LN(2)/25)*Calculateur!GH46*Calculateur!GJ46*VLOOKUP('Données projet'!$B$17,Paramètres!$A$1:$I$89,3,0)*0.475*44/12</f>
        <v>6.9811188886043229</v>
      </c>
      <c r="GN46" s="21">
        <f>EXP(-LN(2)/2)*GN45+(1-EXP(-LN(2)/2))/(LN(2)/2)*GH46*GK46*VLOOKUP('Données projet'!$B$17,Paramètres!$A$1:$I$89,3,0)*0.475*44/12</f>
        <v>0.10080074246044808</v>
      </c>
      <c r="GO46" s="21">
        <f t="shared" si="27"/>
        <v>13.121093189236188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378.17323480030268</v>
      </c>
      <c r="T47" s="59">
        <f t="shared" si="34"/>
        <v>471.89239871617241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3.3382173579608816</v>
      </c>
      <c r="AA47" s="21">
        <f>EXP(-LN(2)/25)*AA46+(1-EXP(-LN(2)/25))/(LN(2)/25)*Calculateur!V47*Calculateur!X47*VLOOKUP('Données projet'!$B$9,Paramètres!$A$1:$I$89,3,0)*0.475*44/12</f>
        <v>14.109631530423918</v>
      </c>
      <c r="AB47" s="21">
        <f>EXP(-LN(2)/2)*AB46+(1-EXP(-LN(2)/2))/(LN(2)/2)*V47*Y47*VLOOKUP('Données projet'!$B$9,Paramètres!$A$1:$I$89,3,0)*0.475*44/12</f>
        <v>8.1723366649010545E-2</v>
      </c>
      <c r="AC47" s="22">
        <f t="shared" si="3"/>
        <v>17.529572255033813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7.333333333333333</v>
      </c>
      <c r="AI47" s="13">
        <f>IF('Données projet'!$A$62&gt;35,AI46+AH47-AQ46,IF(A47&lt;'Données projet'!$A$62,$AF$205^A47,IF(A47='Données projet'!$A$62,'Données projet'!$B$62,AI46+AH47-AQ46)))</f>
        <v>213.33333333333331</v>
      </c>
      <c r="AJ47" s="13">
        <f>AI47*VLOOKUP('Données projet'!$B$10,Paramètres!$A$1:$I$89,3,0)*VLOOKUP('Données projet'!$B$10,Paramètres!$A$1:$I$89,5,0)</f>
        <v>127.57333333333332</v>
      </c>
      <c r="AK47" s="13">
        <f t="shared" si="35"/>
        <v>33.435014461818334</v>
      </c>
      <c r="AL47" s="20">
        <f t="shared" si="4"/>
        <v>280.42287240988907</v>
      </c>
      <c r="AM47" s="59">
        <f t="shared" si="5"/>
        <v>573.75620574322238</v>
      </c>
      <c r="AN47" s="59">
        <f ca="1">AVERAGE(OFFSET($AM$3,0,0,'Données projet'!$E$10+1,1))-AVERAGE(OFFSET($H$3,0,0,'Données projet'!$E$10+1,1))</f>
        <v>141.22849894256314</v>
      </c>
      <c r="AO47" s="59">
        <f t="shared" si="36"/>
        <v>156.12101479343704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5.5742988479334112</v>
      </c>
      <c r="AV47" s="21">
        <f>EXP(-LN(2)/25)*AV46+(1-EXP(-LN(2)/25))/(LN(2)/25)*Calculateur!AQ47*Calculateur!AS47*VLOOKUP('Données projet'!$B$10,Paramètres!$A$1:$I$89,3,0)*0.475*44/12</f>
        <v>4.0851003740730567</v>
      </c>
      <c r="AW47" s="21">
        <f>EXP(-LN(2)/2)*AW46+(1-EXP(-LN(2)/2))/(LN(2)/2)*AQ47*AT47*VLOOKUP('Données projet'!$B$10,Paramètres!$A$1:$I$89,3,0)*0.475*44/12</f>
        <v>2.3109148673371983E-2</v>
      </c>
      <c r="AX47" s="21">
        <f t="shared" si="6"/>
        <v>9.6825083706798392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209.33333333333334</v>
      </c>
      <c r="BE47" s="13">
        <f>BD47*VLOOKUP('Données projet'!$B$11,Paramètres!$A$1:$I$89,3,0)*VLOOKUP('Données projet'!$B$11,Paramètres!$A$1:$I$89,5,0)</f>
        <v>92.52533333333335</v>
      </c>
      <c r="BF47" s="13">
        <f t="shared" si="37"/>
        <v>25.173290210198189</v>
      </c>
      <c r="BG47" s="20">
        <f t="shared" si="7"/>
        <v>204.99176933831743</v>
      </c>
      <c r="BH47" s="59">
        <f t="shared" si="8"/>
        <v>498.32510267165071</v>
      </c>
      <c r="BI47" s="59">
        <f ca="1">AVERAGE(OFFSET($BH$3,0,0,'Données projet'!$E$11+1,1))-AVERAGE(OFFSET($H$3,0,0,'Données projet'!$E$11+1,1))</f>
        <v>114.25511901730295</v>
      </c>
      <c r="BJ47" s="59">
        <f t="shared" si="38"/>
        <v>180.96261947642182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2.5906406886500908</v>
      </c>
      <c r="BQ47" s="21">
        <f>EXP(-LN(2)/25)*BQ46+(1-EXP(-LN(2)/25))/(LN(2)/25)*Calculateur!BL47*Calculateur!BN47*VLOOKUP('Données projet'!$B$11,Paramètres!$A$1:$I$89,3,0)*0.475*44/12</f>
        <v>12.084086277837834</v>
      </c>
      <c r="BR47" s="21">
        <f>EXP(-LN(2)/2)*BR46+(1-EXP(-LN(2)/2))/(LN(2)/2)*BL47*BO47*VLOOKUP('Données projet'!$B$11,Paramètres!$A$1:$I$89,3,0)*0.475*44/12</f>
        <v>5.3375488579545348E-2</v>
      </c>
      <c r="BS47" s="22">
        <f t="shared" si="9"/>
        <v>14.72810245506747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230</v>
      </c>
      <c r="BW47" s="12">
        <f>VLOOKUP(A47,'Données projet'!$A$113:$I$133,9,0)</f>
        <v>11.142857142857142</v>
      </c>
      <c r="BX47" s="12">
        <f t="array" ref="BX47">INDEX(BW:BW,MIN(IF(ISNUMBER(BW47:BW243),ROW(BW47:BW243),"")))</f>
        <v>11.142857142857142</v>
      </c>
      <c r="BY47" s="12">
        <f>IF('Données projet'!$A$114&gt;35,BY46+BX47-CG46,IF(A47&lt;'Données projet'!$A$114,$BV$205^A47,IF(A47='Données projet'!$A$114,'Données projet'!$B$114,BY46+BX47-CG46)))</f>
        <v>229.99999999999991</v>
      </c>
      <c r="BZ47" s="13">
        <f>BY47*VLOOKUP('Données projet'!$B$12,Paramètres!$A$1:$I$89,3,0)*VLOOKUP('Données projet'!$B$12,Paramètres!$A$1:$I$89,5,0)</f>
        <v>179.39999999999995</v>
      </c>
      <c r="CA47" s="13">
        <f t="shared" si="39"/>
        <v>45.188671291872232</v>
      </c>
      <c r="CB47" s="20">
        <f t="shared" si="10"/>
        <v>391.15860250001066</v>
      </c>
      <c r="CC47" s="59">
        <f t="shared" si="11"/>
        <v>684.49193583334397</v>
      </c>
      <c r="CD47" s="59">
        <f ca="1">AVERAGE(OFFSET($CC$3,0,0,'Données projet'!$E$12+1,1))-AVERAGE(OFFSET($H$3,0,0,'Données projet'!$E$12+1,1))</f>
        <v>216.95993967070063</v>
      </c>
      <c r="CE47" s="59">
        <f t="shared" si="40"/>
        <v>208.79744153433245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43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3.9155702374579979</v>
      </c>
      <c r="CL47" s="21">
        <f>EXP(-LN(2)/25)*CL46+(1-EXP(-LN(2)/25))/(LN(2)/25)*Calculateur!CG47*Calculateur!CI47*VLOOKUP('Données projet'!$B$12,Paramètres!$A$1:$I$89,3,0)*0.475*44/12</f>
        <v>4.3529066204002218</v>
      </c>
      <c r="CM47" s="21">
        <f>EXP(-LN(2)/2)*CM46+(1-EXP(-LN(2)/2))/(LN(2)/2)*CG47*CJ47*VLOOKUP('Données projet'!$B$12,Paramètres!$A$1:$I$89,3,0)*0.475*44/12</f>
        <v>9.6375652851838044E-3</v>
      </c>
      <c r="CN47" s="22">
        <f t="shared" si="12"/>
        <v>8.2781144231434034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230</v>
      </c>
      <c r="CR47" s="12">
        <f>VLOOKUP(A47,'Données projet'!$A$139:$I$159,9,0)</f>
        <v>11.142857142857142</v>
      </c>
      <c r="CS47" s="12">
        <f t="array" ref="CS47">INDEX(CR:CR,MIN(IF(ISNUMBER(CR47:CR243),ROW(CR47:CR243),"")))</f>
        <v>11.142857142857142</v>
      </c>
      <c r="CT47" s="12">
        <f>IF('Données projet'!$A$140&gt;35,CT46+CS47-DB46,IF(A47&lt;'Données projet'!$A$140,$CQ$205^A47,IF(A47='Données projet'!$A$140,'Données projet'!$B$140,CT46+CS47-DB46)))</f>
        <v>229.99999999999991</v>
      </c>
      <c r="CU47" s="17">
        <f>CT47*VLOOKUP('Données projet'!$B$13,Paramètres!$A$1:$I$89,3,0)*VLOOKUP('Données projet'!$B$13,Paramètres!$A$1:$I$89,5,0)</f>
        <v>154.28399999999993</v>
      </c>
      <c r="CV47" s="13">
        <f t="shared" si="41"/>
        <v>39.550538702560999</v>
      </c>
      <c r="CW47" s="20">
        <f t="shared" si="13"/>
        <v>337.59515490696026</v>
      </c>
      <c r="CX47" s="59">
        <f t="shared" si="14"/>
        <v>630.92848824029352</v>
      </c>
      <c r="CY47" s="59">
        <f ca="1">AVERAGE(OFFSET($CX$3,0,0,'Données projet'!$E$13+1,1))-AVERAGE(OFFSET($H$3,0,0,'Données projet'!$E$13+1,1))</f>
        <v>181.32837315090507</v>
      </c>
      <c r="CZ47" s="59">
        <f t="shared" si="42"/>
        <v>175.03267817980338</v>
      </c>
      <c r="DA47" s="15">
        <f>IF(ISNA(VLOOKUP(A47,'Données projet'!$A$139:$I$159,3,0)),0,VLOOKUP(A47,'Données projet'!$A$139:$I$159,3,0))</f>
        <v>6</v>
      </c>
      <c r="DB47" s="15">
        <f>IF(ISNA(VLOOKUP(A47,'Données projet'!$A$139:$I$159,4,0)),0,VLOOKUP(A47,'Données projet'!$A$139:$I$159,4,0))</f>
        <v>43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4.1505044517054737</v>
      </c>
      <c r="DG47" s="21">
        <f>EXP(-LN(2)/25)*DG46+(1-EXP(-LN(2)/25))/(LN(2)/25)*Calculateur!DB47*Calculateur!DD47*VLOOKUP('Données projet'!$B$13,Paramètres!$A$1:$I$89,3,0)*0.475*44/12</f>
        <v>4.6140810176242368</v>
      </c>
      <c r="DH47" s="21">
        <f>EXP(-LN(2)/2)*DH46+(1-EXP(-LN(2)/2))/(LN(2)/2)*DB47*DE47*VLOOKUP('Données projet'!$B$13,Paramètres!$A$1:$I$89,3,0)*0.475*44/12</f>
        <v>8.2883061452580682E-3</v>
      </c>
      <c r="DI47" s="22">
        <f t="shared" si="15"/>
        <v>8.7728737754749684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268.59999999999991</v>
      </c>
      <c r="DP47" s="17">
        <f>DO47*VLOOKUP('Données projet'!$B$14,Paramètres!$A$1:$I$89,3,0)*VLOOKUP('Données projet'!$B$14,Paramètres!$A$1:$I$89,5,0)</f>
        <v>213.69815999999994</v>
      </c>
      <c r="DQ47" s="13">
        <f t="shared" si="43"/>
        <v>52.742903801874164</v>
      </c>
      <c r="DR47" s="20">
        <f t="shared" si="16"/>
        <v>464.05151945493071</v>
      </c>
      <c r="DS47" s="59">
        <f t="shared" si="17"/>
        <v>757.38485278826397</v>
      </c>
      <c r="DT47" s="59">
        <f ca="1">AVERAGE(OFFSET($DS$3,0,0,'Données projet'!$E$14+1,1))-AVERAGE(OFFSET($H$3,0,0,'Données projet'!$E$14+1,1))</f>
        <v>325.72928944930294</v>
      </c>
      <c r="DU47" s="59">
        <f t="shared" si="44"/>
        <v>318.38876834819752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13.121869875350377</v>
      </c>
      <c r="EB47" s="21">
        <f>EXP(-LN(2)/25)*EB46+(1-EXP(-LN(2)/25))/(LN(2)/25)*Calculateur!DW47*Calculateur!DY47*VLOOKUP('Données projet'!$B$14,Paramètres!$A$1:$I$89,3,0)*0.475*44/12</f>
        <v>14.02720793714427</v>
      </c>
      <c r="EC47" s="21">
        <f>EXP(-LN(2)/2)*EC46+(1-EXP(-LN(2)/2))/(LN(2)/2)*DW47*DZ47*VLOOKUP('Données projet'!$B$14,Paramètres!$A$1:$I$89,3,0)*0.475*44/12</f>
        <v>9.2419695578781769E-2</v>
      </c>
      <c r="ED47" s="22">
        <f t="shared" si="18"/>
        <v>27.241497508073429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11.4</v>
      </c>
      <c r="EJ47" s="12">
        <f>IF('Données projet'!$A$192&gt;35,EJ46+EI47-ER46,IF(A47&lt;'Données projet'!$A$192,$EG$205^A47,IF(A47='Données projet'!$A$192,'Données projet'!$B$192,EJ46+EI47-ER46)))</f>
        <v>192.60000000000002</v>
      </c>
      <c r="EK47" s="17">
        <f>EJ47*VLOOKUP('Données projet'!$B$15,Paramètres!$A$1:$I$89,3,0)*VLOOKUP('Données projet'!$B$15,Paramètres!$A$1:$I$89,5,0)</f>
        <v>195.29640000000003</v>
      </c>
      <c r="EL47" s="13">
        <f t="shared" si="45"/>
        <v>48.709031383366153</v>
      </c>
      <c r="EM47" s="20">
        <f t="shared" si="19"/>
        <v>424.97612632602949</v>
      </c>
      <c r="EN47" s="59">
        <f t="shared" si="20"/>
        <v>718.3094596593628</v>
      </c>
      <c r="EO47" s="59">
        <f ca="1">AVERAGE(OFFSET($EN$3,0,0,'Données projet'!$E$15+1,1))-AVERAGE(OFFSET($H$3,0,0,'Données projet'!$E$15+1,1))</f>
        <v>384.50065773787549</v>
      </c>
      <c r="EP47" s="59">
        <f t="shared" si="46"/>
        <v>231.92898690465887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6.2072369054001415</v>
      </c>
      <c r="EW47" s="21">
        <f>EXP(-LN(2)/25)*EW46+(1-EXP(-LN(2)/25))/(LN(2)/25)*Calculateur!ER47*Calculateur!ET47*VLOOKUP('Données projet'!$B$15,Paramètres!$A$1:$I$89,3,0)*0.475*44/12</f>
        <v>7.1187788492876241</v>
      </c>
      <c r="EX47" s="21">
        <f>EXP(-LN(2)/2)*EX46+(1-EXP(-LN(2)/2))/(LN(2)/2)*ER47*EU47*VLOOKUP('Données projet'!$B$15,Paramètres!$A$1:$I$89,3,0)*0.475*44/12</f>
        <v>7.4725770246087134E-2</v>
      </c>
      <c r="EY47" s="22">
        <f t="shared" si="21"/>
        <v>13.400741524933853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11.4</v>
      </c>
      <c r="FE47" s="12">
        <f>IF('Données projet'!$A$218&gt;35,FE46+FD47-FM46,IF(A47&lt;'Données projet'!$A$218,$FB$205^A47,IF(A47='Données projet'!$A$218,'Données projet'!$B$218,FE46+FD47-FM46)))</f>
        <v>192.60000000000002</v>
      </c>
      <c r="FF47" s="17">
        <f>FE47*VLOOKUP('Données projet'!$B$16,Paramètres!$A$1:$I$89,3,0)*VLOOKUP('Données projet'!$B$16,Paramètres!$A$1:$I$89,5,0)</f>
        <v>174.26447999999999</v>
      </c>
      <c r="FG47" s="13">
        <f t="shared" si="47"/>
        <v>44.043743683739521</v>
      </c>
      <c r="FH47" s="20">
        <f t="shared" si="22"/>
        <v>380.22015624917964</v>
      </c>
      <c r="FI47" s="59">
        <f t="shared" si="23"/>
        <v>673.55348958251295</v>
      </c>
      <c r="FJ47" s="59">
        <f ca="1">AVERAGE(OFFSET($FI$3,0,0,'Données projet'!$E$16+1,1))-AVERAGE(OFFSET($H$3,0,0,'Données projet'!$E$16+1,1))</f>
        <v>326.46362829268969</v>
      </c>
      <c r="FK47" s="59">
        <f t="shared" si="48"/>
        <v>203.5274665601915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5.5387652386647392</v>
      </c>
      <c r="FR47" s="21">
        <f>EXP(-LN(2)/25)*FR46+(1-EXP(-LN(2)/25))/(LN(2)/25)*Calculateur!FM47*Calculateur!FO47*VLOOKUP('Données projet'!$B$16,Paramètres!$A$1:$I$89,3,0)*0.475*44/12</f>
        <v>6.3521411270566484</v>
      </c>
      <c r="FS47" s="21">
        <f>EXP(-LN(2)/2)*FS46+(1-EXP(-LN(2)/2))/(LN(2)/2)*FM47*FP47*VLOOKUP('Données projet'!$B$16,Paramètres!$A$1:$I$89,3,0)*0.475*44/12</f>
        <v>6.6678379604200824E-2</v>
      </c>
      <c r="FT47" s="22">
        <f t="shared" si="24"/>
        <v>11.957584745325589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11.4</v>
      </c>
      <c r="FZ47" s="12">
        <f>IF('Données projet'!$A$244&gt;35,FZ46+FY47-GH46,IF(A47&lt;'Données projet'!$A$244,$FW$205^A47,IF(A47='Données projet'!$A$244,'Données projet'!$B$244,FZ46+FY47-GH46)))</f>
        <v>192.60000000000002</v>
      </c>
      <c r="GA47" s="17">
        <f>FZ47*VLOOKUP('Données projet'!$B$17,Paramètres!$A$1:$I$89,3,0)*VLOOKUP('Données projet'!$B$17,Paramètres!$A$1:$I$89,5,0)</f>
        <v>186.28272000000001</v>
      </c>
      <c r="GB47" s="13">
        <f t="shared" si="49"/>
        <v>46.717172342223918</v>
      </c>
      <c r="GC47" s="20">
        <f t="shared" si="25"/>
        <v>405.80814582937325</v>
      </c>
      <c r="GD47" s="59">
        <f t="shared" si="26"/>
        <v>699.14147916270656</v>
      </c>
      <c r="GE47" s="59">
        <f ca="1">AVERAGE(OFFSET($GD$3,0,0,'Données projet'!$E$17+1,1))-AVERAGE(OFFSET($H$3,0,0,'Données projet'!$E$17+1,1))</f>
        <v>353.24082990916918</v>
      </c>
      <c r="GF47" s="59">
        <f t="shared" si="50"/>
        <v>219.76562717496353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5.9207490482278269</v>
      </c>
      <c r="GM47" s="21">
        <f>EXP(-LN(2)/25)*GM46+(1-EXP(-LN(2)/25))/(LN(2)/25)*Calculateur!GH47*Calculateur!GJ47*VLOOKUP('Données projet'!$B$17,Paramètres!$A$1:$I$89,3,0)*0.475*44/12</f>
        <v>6.7902198254743507</v>
      </c>
      <c r="GN47" s="21">
        <f>EXP(-LN(2)/2)*GN46+(1-EXP(-LN(2)/2))/(LN(2)/2)*GH47*GK47*VLOOKUP('Données projet'!$B$17,Paramètres!$A$1:$I$89,3,0)*0.475*44/12</f>
        <v>7.127688854242159E-2</v>
      </c>
      <c r="GO47" s="21">
        <f t="shared" si="27"/>
        <v>12.7822457622446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378.17323480030268</v>
      </c>
      <c r="T48" s="59">
        <f t="shared" si="34"/>
        <v>471.89239871617241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3.2727569516828079</v>
      </c>
      <c r="AA48" s="21">
        <f>EXP(-LN(2)/25)*AA47+(1-EXP(-LN(2)/25))/(LN(2)/25)*Calculateur!V48*Calculateur!X48*VLOOKUP('Données projet'!$B$9,Paramètres!$A$1:$I$89,3,0)*0.475*44/12</f>
        <v>13.723802914231202</v>
      </c>
      <c r="AB48" s="21">
        <f>EXP(-LN(2)/2)*AB47+(1-EXP(-LN(2)/2))/(LN(2)/2)*V48*Y48*VLOOKUP('Données projet'!$B$9,Paramètres!$A$1:$I$89,3,0)*0.475*44/12</f>
        <v>5.7787146738909896E-2</v>
      </c>
      <c r="AC48" s="22">
        <f t="shared" si="3"/>
        <v>17.054347012652919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7.333333333333333</v>
      </c>
      <c r="AI48" s="13">
        <f>IF('Données projet'!$A$62&gt;35,AI47+AH48-AQ47,IF(A48&lt;'Données projet'!$A$62,$AF$205^A48,IF(A48='Données projet'!$A$62,'Données projet'!$B$62,AI47+AH48-AQ47)))</f>
        <v>220.66666666666666</v>
      </c>
      <c r="AJ48" s="13">
        <f>AI48*VLOOKUP('Données projet'!$B$10,Paramètres!$A$1:$I$89,3,0)*VLOOKUP('Données projet'!$B$10,Paramètres!$A$1:$I$89,5,0)</f>
        <v>131.95866666666666</v>
      </c>
      <c r="AK48" s="13">
        <f t="shared" si="35"/>
        <v>34.448555031300216</v>
      </c>
      <c r="AL48" s="20">
        <f t="shared" si="4"/>
        <v>289.82591112395897</v>
      </c>
      <c r="AM48" s="59">
        <f t="shared" si="5"/>
        <v>583.15924445729229</v>
      </c>
      <c r="AN48" s="59">
        <f ca="1">AVERAGE(OFFSET($AM$3,0,0,'Données projet'!$E$10+1,1))-AVERAGE(OFFSET($H$3,0,0,'Données projet'!$E$10+1,1))</f>
        <v>141.22849894256314</v>
      </c>
      <c r="AO48" s="59">
        <f t="shared" si="36"/>
        <v>156.12101479343704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5.4649902475120138</v>
      </c>
      <c r="AV48" s="21">
        <f>EXP(-LN(2)/25)*AV47+(1-EXP(-LN(2)/25))/(LN(2)/25)*Calculateur!AQ48*Calculateur!AS48*VLOOKUP('Données projet'!$B$10,Paramètres!$A$1:$I$89,3,0)*0.475*44/12</f>
        <v>3.9733930895179368</v>
      </c>
      <c r="AW48" s="21">
        <f>EXP(-LN(2)/2)*AW47+(1-EXP(-LN(2)/2))/(LN(2)/2)*AQ48*AT48*VLOOKUP('Données projet'!$B$10,Paramètres!$A$1:$I$89,3,0)*0.475*44/12</f>
        <v>1.6340635734389437E-2</v>
      </c>
      <c r="AX48" s="21">
        <f t="shared" si="6"/>
        <v>9.4547239727643397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220</v>
      </c>
      <c r="BE48" s="13">
        <f>BD48*VLOOKUP('Données projet'!$B$11,Paramètres!$A$1:$I$89,3,0)*VLOOKUP('Données projet'!$B$11,Paramètres!$A$1:$I$89,5,0)</f>
        <v>97.240000000000023</v>
      </c>
      <c r="BF48" s="13">
        <f t="shared" si="37"/>
        <v>26.303398391745738</v>
      </c>
      <c r="BG48" s="20">
        <f t="shared" si="7"/>
        <v>215.17141886562385</v>
      </c>
      <c r="BH48" s="59">
        <f t="shared" si="8"/>
        <v>508.50475219895714</v>
      </c>
      <c r="BI48" s="59">
        <f ca="1">AVERAGE(OFFSET($BH$3,0,0,'Données projet'!$E$11+1,1))-AVERAGE(OFFSET($H$3,0,0,'Données projet'!$E$11+1,1))</f>
        <v>114.25511901730295</v>
      </c>
      <c r="BJ48" s="59">
        <f t="shared" si="38"/>
        <v>180.96261947642182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2.5398398048804571</v>
      </c>
      <c r="BQ48" s="21">
        <f>EXP(-LN(2)/25)*BQ47+(1-EXP(-LN(2)/25))/(LN(2)/25)*Calculateur!BL48*Calculateur!BN48*VLOOKUP('Données projet'!$B$11,Paramètres!$A$1:$I$89,3,0)*0.475*44/12</f>
        <v>11.753646303095879</v>
      </c>
      <c r="BR48" s="21">
        <f>EXP(-LN(2)/2)*BR47+(1-EXP(-LN(2)/2))/(LN(2)/2)*BL48*BO48*VLOOKUP('Données projet'!$B$11,Paramètres!$A$1:$I$89,3,0)*0.475*44/12</f>
        <v>3.7742169923741645E-2</v>
      </c>
      <c r="BS48" s="22">
        <f t="shared" si="9"/>
        <v>14.331228277900077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10.375</v>
      </c>
      <c r="BY48" s="12">
        <f>IF('Données projet'!$A$114&gt;35,BY47+BX48-CG47,IF(A48&lt;'Données projet'!$A$114,$BV$205^A48,IF(A48='Données projet'!$A$114,'Données projet'!$B$114,BY47+BX48-CG47)))</f>
        <v>197.37499999999991</v>
      </c>
      <c r="BZ48" s="13">
        <f>BY48*VLOOKUP('Données projet'!$B$12,Paramètres!$A$1:$I$89,3,0)*VLOOKUP('Données projet'!$B$12,Paramètres!$A$1:$I$89,5,0)</f>
        <v>153.95249999999993</v>
      </c>
      <c r="CA48" s="13">
        <f t="shared" si="39"/>
        <v>39.475441267837361</v>
      </c>
      <c r="CB48" s="20">
        <f t="shared" si="10"/>
        <v>336.88699770814992</v>
      </c>
      <c r="CC48" s="59">
        <f t="shared" si="11"/>
        <v>630.22033104148318</v>
      </c>
      <c r="CD48" s="59">
        <f ca="1">AVERAGE(OFFSET($CC$3,0,0,'Données projet'!$E$12+1,1))-AVERAGE(OFFSET($H$3,0,0,'Données projet'!$E$12+1,1))</f>
        <v>216.95993967070063</v>
      </c>
      <c r="CE48" s="59">
        <f t="shared" si="40"/>
        <v>208.79744153433245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3.83878829336347</v>
      </c>
      <c r="CL48" s="21">
        <f>EXP(-LN(2)/25)*CL47+(1-EXP(-LN(2)/25))/(LN(2)/25)*Calculateur!CG48*Calculateur!CI48*VLOOKUP('Données projet'!$B$12,Paramètres!$A$1:$I$89,3,0)*0.475*44/12</f>
        <v>4.2338761599559671</v>
      </c>
      <c r="CM48" s="21">
        <f>EXP(-LN(2)/2)*CM47+(1-EXP(-LN(2)/2))/(LN(2)/2)*CG48*CJ48*VLOOKUP('Données projet'!$B$12,Paramètres!$A$1:$I$89,3,0)*0.475*44/12</f>
        <v>6.8147877672815309E-3</v>
      </c>
      <c r="CN48" s="22">
        <f t="shared" si="12"/>
        <v>8.0794792410867178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10.375</v>
      </c>
      <c r="CT48" s="12">
        <f>IF('Données projet'!$A$140&gt;35,CT47+CS48-DB47,IF(A48&lt;'Données projet'!$A$140,$CQ$205^A48,IF(A48='Données projet'!$A$140,'Données projet'!$B$140,CT47+CS48-DB47)))</f>
        <v>197.37499999999991</v>
      </c>
      <c r="CU48" s="17">
        <f>CT48*VLOOKUP('Données projet'!$B$13,Paramètres!$A$1:$I$89,3,0)*VLOOKUP('Données projet'!$B$13,Paramètres!$A$1:$I$89,5,0)</f>
        <v>132.39914999999993</v>
      </c>
      <c r="CV48" s="13">
        <f t="shared" si="41"/>
        <v>34.550141064782551</v>
      </c>
      <c r="CW48" s="20">
        <f t="shared" si="13"/>
        <v>290.77001527116278</v>
      </c>
      <c r="CX48" s="59">
        <f t="shared" si="14"/>
        <v>584.10334860449609</v>
      </c>
      <c r="CY48" s="59">
        <f ca="1">AVERAGE(OFFSET($CX$3,0,0,'Données projet'!$E$13+1,1))-AVERAGE(OFFSET($H$3,0,0,'Données projet'!$E$13+1,1))</f>
        <v>181.32837315090507</v>
      </c>
      <c r="CZ48" s="59">
        <f t="shared" si="42"/>
        <v>175.03267817980338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4.0691155909652741</v>
      </c>
      <c r="DG48" s="21">
        <f>EXP(-LN(2)/25)*DG47+(1-EXP(-LN(2)/25))/(LN(2)/25)*Calculateur!DB48*Calculateur!DD48*VLOOKUP('Données projet'!$B$13,Paramètres!$A$1:$I$89,3,0)*0.475*44/12</f>
        <v>4.4879087295533271</v>
      </c>
      <c r="DH48" s="21">
        <f>EXP(-LN(2)/2)*DH47+(1-EXP(-LN(2)/2))/(LN(2)/2)*DB48*DE48*VLOOKUP('Données projet'!$B$13,Paramètres!$A$1:$I$89,3,0)*0.475*44/12</f>
        <v>5.8607174798621141E-3</v>
      </c>
      <c r="DI48" s="22">
        <f t="shared" si="15"/>
        <v>8.5628850379984627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280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279.99999999999989</v>
      </c>
      <c r="DP48" s="17">
        <f>DO48*VLOOKUP('Données projet'!$B$14,Paramètres!$A$1:$I$89,3,0)*VLOOKUP('Données projet'!$B$14,Paramètres!$A$1:$I$89,5,0)</f>
        <v>222.76799999999994</v>
      </c>
      <c r="DQ48" s="13">
        <f t="shared" si="43"/>
        <v>54.716058356609508</v>
      </c>
      <c r="DR48" s="20">
        <f t="shared" si="16"/>
        <v>483.28473497109485</v>
      </c>
      <c r="DS48" s="59">
        <f t="shared" si="17"/>
        <v>776.61806830442811</v>
      </c>
      <c r="DT48" s="59">
        <f ca="1">AVERAGE(OFFSET($DS$3,0,0,'Données projet'!$E$14+1,1))-AVERAGE(OFFSET($H$3,0,0,'Données projet'!$E$14+1,1))</f>
        <v>325.72928944930294</v>
      </c>
      <c r="DU48" s="59">
        <f t="shared" si="44"/>
        <v>318.38876834819752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12.864558010645096</v>
      </c>
      <c r="EB48" s="21">
        <f>EXP(-LN(2)/25)*EB47+(1-EXP(-LN(2)/25))/(LN(2)/25)*Calculateur!DW48*Calculateur!DY48*VLOOKUP('Données projet'!$B$14,Paramètres!$A$1:$I$89,3,0)*0.475*44/12</f>
        <v>13.643633198444254</v>
      </c>
      <c r="EC48" s="21">
        <f>EXP(-LN(2)/2)*EC47+(1-EXP(-LN(2)/2))/(LN(2)/2)*DW48*DZ48*VLOOKUP('Données projet'!$B$14,Paramètres!$A$1:$I$89,3,0)*0.475*44/12</f>
        <v>6.5350593458952971E-2</v>
      </c>
      <c r="ED48" s="22">
        <f t="shared" si="18"/>
        <v>26.573541802548302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204</v>
      </c>
      <c r="EH48" s="12">
        <f>VLOOKUP(A48,'Données projet'!$A$191:$I$211,9,0)</f>
        <v>11.4</v>
      </c>
      <c r="EI48" s="12">
        <f t="array" ref="EI48">INDEX(EH:EH,MIN(IF(ISNUMBER(EH48:EH244),ROW(EH48:EH244),"")))</f>
        <v>11.4</v>
      </c>
      <c r="EJ48" s="12">
        <f>IF('Données projet'!$A$192&gt;35,EJ47+EI48-ER47,IF(A48&lt;'Données projet'!$A$192,$EG$205^A48,IF(A48='Données projet'!$A$192,'Données projet'!$B$192,EJ47+EI48-ER47)))</f>
        <v>204.00000000000003</v>
      </c>
      <c r="EK48" s="17">
        <f>EJ48*VLOOKUP('Données projet'!$B$15,Paramètres!$A$1:$I$89,3,0)*VLOOKUP('Données projet'!$B$15,Paramètres!$A$1:$I$89,5,0)</f>
        <v>206.85600000000005</v>
      </c>
      <c r="EL48" s="13">
        <f t="shared" si="45"/>
        <v>51.247940588293027</v>
      </c>
      <c r="EM48" s="20">
        <f t="shared" si="19"/>
        <v>449.53102985794379</v>
      </c>
      <c r="EN48" s="59">
        <f t="shared" si="20"/>
        <v>742.86436319127711</v>
      </c>
      <c r="EO48" s="59">
        <f ca="1">AVERAGE(OFFSET($EN$3,0,0,'Données projet'!$E$15+1,1))-AVERAGE(OFFSET($H$3,0,0,'Données projet'!$E$15+1,1))</f>
        <v>384.50065773787549</v>
      </c>
      <c r="EP48" s="59">
        <f t="shared" si="46"/>
        <v>231.92898690465887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28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6.0855167757259165</v>
      </c>
      <c r="EW48" s="21">
        <f>EXP(-LN(2)/25)*EW47+(1-EXP(-LN(2)/25))/(LN(2)/25)*Calculateur!ER48*Calculateur!ET48*VLOOKUP('Données projet'!$B$15,Paramètres!$A$1:$I$89,3,0)*0.475*44/12</f>
        <v>6.9241154672935448</v>
      </c>
      <c r="EX48" s="21">
        <f>EXP(-LN(2)/2)*EX47+(1-EXP(-LN(2)/2))/(LN(2)/2)*ER48*EU48*VLOOKUP('Données projet'!$B$15,Paramètres!$A$1:$I$89,3,0)*0.475*44/12</f>
        <v>5.2839098870396159E-2</v>
      </c>
      <c r="EY48" s="22">
        <f t="shared" si="21"/>
        <v>13.062471341889857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204</v>
      </c>
      <c r="FC48" s="12">
        <f>VLOOKUP(A48,'Données projet'!$A$217:$I$237,9,0)</f>
        <v>11.4</v>
      </c>
      <c r="FD48" s="12">
        <f t="array" ref="FD48">INDEX(FC:FC,MIN(IF(ISNUMBER(FC48:FC244),ROW(FC48:FC244),"")))</f>
        <v>11.4</v>
      </c>
      <c r="FE48" s="12">
        <f>IF('Données projet'!$A$218&gt;35,FE47+FD48-FM47,IF(A48&lt;'Données projet'!$A$218,$FB$205^A48,IF(A48='Données projet'!$A$218,'Données projet'!$B$218,FE47+FD48-FM47)))</f>
        <v>204.00000000000003</v>
      </c>
      <c r="FF48" s="17">
        <f>FE48*VLOOKUP('Données projet'!$B$16,Paramètres!$A$1:$I$89,3,0)*VLOOKUP('Données projet'!$B$16,Paramètres!$A$1:$I$89,5,0)</f>
        <v>184.57920000000001</v>
      </c>
      <c r="FG48" s="13">
        <f t="shared" si="47"/>
        <v>46.339479465836661</v>
      </c>
      <c r="FH48" s="20">
        <f t="shared" si="22"/>
        <v>402.18336673633218</v>
      </c>
      <c r="FI48" s="59">
        <f t="shared" si="23"/>
        <v>695.51670006966549</v>
      </c>
      <c r="FJ48" s="59">
        <f ca="1">AVERAGE(OFFSET($FI$3,0,0,'Données projet'!$E$16+1,1))-AVERAGE(OFFSET($H$3,0,0,'Données projet'!$E$16+1,1))</f>
        <v>326.46362829268969</v>
      </c>
      <c r="FK48" s="59">
        <f t="shared" si="48"/>
        <v>203.5274665601915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28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5.4301534306477386</v>
      </c>
      <c r="FR48" s="21">
        <f>EXP(-LN(2)/25)*FR47+(1-EXP(-LN(2)/25))/(LN(2)/25)*Calculateur!FM48*Calculateur!FO48*VLOOKUP('Données projet'!$B$16,Paramètres!$A$1:$I$89,3,0)*0.475*44/12</f>
        <v>6.1784414938927004</v>
      </c>
      <c r="FS48" s="21">
        <f>EXP(-LN(2)/2)*FS47+(1-EXP(-LN(2)/2))/(LN(2)/2)*FM48*FP48*VLOOKUP('Données projet'!$B$16,Paramètres!$A$1:$I$89,3,0)*0.475*44/12</f>
        <v>4.7148734376661186E-2</v>
      </c>
      <c r="FT48" s="22">
        <f t="shared" si="24"/>
        <v>11.6557436589171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204</v>
      </c>
      <c r="FX48" s="12">
        <f>VLOOKUP(A48,'Données projet'!$A$243:$I$263,9,0)</f>
        <v>11.4</v>
      </c>
      <c r="FY48" s="12">
        <f t="array" ref="FY48">INDEX(FX:FX,MIN(IF(ISNUMBER(FX48:FX244),ROW(FX48:FX244),"")))</f>
        <v>11.4</v>
      </c>
      <c r="FZ48" s="12">
        <f>IF('Données projet'!$A$244&gt;35,FZ47+FY48-GH47,IF(A48&lt;'Données projet'!$A$244,$FW$205^A48,IF(A48='Données projet'!$A$244,'Données projet'!$B$244,FZ47+FY48-GH47)))</f>
        <v>204.00000000000003</v>
      </c>
      <c r="GA48" s="17">
        <f>FZ48*VLOOKUP('Données projet'!$B$17,Paramètres!$A$1:$I$89,3,0)*VLOOKUP('Données projet'!$B$17,Paramètres!$A$1:$I$89,5,0)</f>
        <v>197.30880000000005</v>
      </c>
      <c r="GB48" s="13">
        <f t="shared" si="49"/>
        <v>49.152257900676076</v>
      </c>
      <c r="GC48" s="20">
        <f t="shared" si="25"/>
        <v>429.25300917701088</v>
      </c>
      <c r="GD48" s="59">
        <f t="shared" si="26"/>
        <v>722.58634251034414</v>
      </c>
      <c r="GE48" s="59">
        <f ca="1">AVERAGE(OFFSET($GD$3,0,0,'Données projet'!$E$17+1,1))-AVERAGE(OFFSET($H$3,0,0,'Données projet'!$E$17+1,1))</f>
        <v>353.24082990916918</v>
      </c>
      <c r="GF48" s="59">
        <f t="shared" si="50"/>
        <v>219.76562717496353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28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5.8046467706924121</v>
      </c>
      <c r="GM48" s="21">
        <f>EXP(-LN(2)/25)*GM47+(1-EXP(-LN(2)/25))/(LN(2)/25)*Calculateur!GH48*Calculateur!GJ48*VLOOKUP('Données projet'!$B$17,Paramètres!$A$1:$I$89,3,0)*0.475*44/12</f>
        <v>6.6045409072646128</v>
      </c>
      <c r="GN48" s="21">
        <f>EXP(-LN(2)/2)*GN47+(1-EXP(-LN(2)/2))/(LN(2)/2)*GH48*GK48*VLOOKUP('Données projet'!$B$17,Paramètres!$A$1:$I$89,3,0)*0.475*44/12</f>
        <v>5.0400371230224041E-2</v>
      </c>
      <c r="GO48" s="21">
        <f t="shared" si="27"/>
        <v>12.459588049187248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378.17323480030268</v>
      </c>
      <c r="T49" s="59">
        <f t="shared" si="34"/>
        <v>471.89239871617241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3.2085801840449415</v>
      </c>
      <c r="AA49" s="21">
        <f>EXP(-LN(2)/25)*AA48+(1-EXP(-LN(2)/25))/(LN(2)/25)*Calculateur!V49*Calculateur!X49*VLOOKUP('Données projet'!$B$9,Paramètres!$A$1:$I$89,3,0)*0.475*44/12</f>
        <v>13.348524801838121</v>
      </c>
      <c r="AB49" s="21">
        <f>EXP(-LN(2)/2)*AB48+(1-EXP(-LN(2)/2))/(LN(2)/2)*V49*Y49*VLOOKUP('Données projet'!$B$9,Paramètres!$A$1:$I$89,3,0)*0.475*44/12</f>
        <v>4.0861683324505273E-2</v>
      </c>
      <c r="AC49" s="22">
        <f t="shared" si="3"/>
        <v>16.597966669207565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228</v>
      </c>
      <c r="AG49" s="12">
        <f>VLOOKUP(A49,'Données projet'!$A$61:$I$81,9,0)</f>
        <v>7.333333333333333</v>
      </c>
      <c r="AH49" s="12">
        <f t="array" ref="AH49">INDEX(AG:AG,MIN(IF(ISNUMBER(AG49:AG245),ROW(AG49:AG245),"")))</f>
        <v>7.333333333333333</v>
      </c>
      <c r="AI49" s="13">
        <f>IF('Données projet'!$A$62&gt;35,AI48+AH49-AQ48,IF(A49&lt;'Données projet'!$A$62,$AF$205^A49,IF(A49='Données projet'!$A$62,'Données projet'!$B$62,AI48+AH49-AQ48)))</f>
        <v>228</v>
      </c>
      <c r="AJ49" s="13">
        <f>AI49*VLOOKUP('Données projet'!$B$10,Paramètres!$A$1:$I$89,3,0)*VLOOKUP('Données projet'!$B$10,Paramètres!$A$1:$I$89,5,0)</f>
        <v>136.34400000000002</v>
      </c>
      <c r="AK49" s="13">
        <f t="shared" si="35"/>
        <v>35.458181756405082</v>
      </c>
      <c r="AL49" s="20">
        <f t="shared" si="4"/>
        <v>299.2221332257389</v>
      </c>
      <c r="AM49" s="59">
        <f t="shared" si="5"/>
        <v>592.55546655907222</v>
      </c>
      <c r="AN49" s="59">
        <f ca="1">AVERAGE(OFFSET($AM$3,0,0,'Données projet'!$E$10+1,1))-AVERAGE(OFFSET($H$3,0,0,'Données projet'!$E$10+1,1))</f>
        <v>141.22849894256314</v>
      </c>
      <c r="AO49" s="59">
        <f t="shared" si="36"/>
        <v>156.12101479343704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23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5.3578251220732165</v>
      </c>
      <c r="AV49" s="21">
        <f>EXP(-LN(2)/25)*AV48+(1-EXP(-LN(2)/25))/(LN(2)/25)*Calculateur!AQ49*Calculateur!AS49*VLOOKUP('Données projet'!$B$10,Paramètres!$A$1:$I$89,3,0)*0.475*44/12</f>
        <v>3.8647404465334074</v>
      </c>
      <c r="AW49" s="21">
        <f>EXP(-LN(2)/2)*AW48+(1-EXP(-LN(2)/2))/(LN(2)/2)*AQ49*AT49*VLOOKUP('Données projet'!$B$10,Paramètres!$A$1:$I$89,3,0)*0.475*44/12</f>
        <v>1.1554574336685991E-2</v>
      </c>
      <c r="AX49" s="21">
        <f t="shared" si="6"/>
        <v>9.2341201429433095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230.66666666666666</v>
      </c>
      <c r="BE49" s="13">
        <f>BD49*VLOOKUP('Données projet'!$B$11,Paramètres!$A$1:$I$89,3,0)*VLOOKUP('Données projet'!$B$11,Paramètres!$A$1:$I$89,5,0)</f>
        <v>101.95466666666667</v>
      </c>
      <c r="BF49" s="13">
        <f t="shared" si="37"/>
        <v>27.42714398519708</v>
      </c>
      <c r="BG49" s="20">
        <f t="shared" si="7"/>
        <v>225.33998688532935</v>
      </c>
      <c r="BH49" s="59">
        <f t="shared" si="8"/>
        <v>518.67332021866264</v>
      </c>
      <c r="BI49" s="59">
        <f ca="1">AVERAGE(OFFSET($BH$3,0,0,'Données projet'!$E$11+1,1))-AVERAGE(OFFSET($H$3,0,0,'Données projet'!$E$11+1,1))</f>
        <v>114.25511901730295</v>
      </c>
      <c r="BJ49" s="59">
        <f t="shared" si="38"/>
        <v>180.96261947642182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2.4900350954560664</v>
      </c>
      <c r="BQ49" s="21">
        <f>EXP(-LN(2)/25)*BQ48+(1-EXP(-LN(2)/25))/(LN(2)/25)*Calculateur!BL49*Calculateur!BN49*VLOOKUP('Données projet'!$B$11,Paramètres!$A$1:$I$89,3,0)*0.475*44/12</f>
        <v>11.432242226840327</v>
      </c>
      <c r="BR49" s="21">
        <f>EXP(-LN(2)/2)*BR48+(1-EXP(-LN(2)/2))/(LN(2)/2)*BL49*BO49*VLOOKUP('Données projet'!$B$11,Paramètres!$A$1:$I$89,3,0)*0.475*44/12</f>
        <v>2.6687744289772681E-2</v>
      </c>
      <c r="BS49" s="22">
        <f t="shared" si="9"/>
        <v>13.948965066586165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10.375</v>
      </c>
      <c r="BY49" s="12">
        <f>IF('Données projet'!$A$114&gt;35,BY48+BX49-CG48,IF(A49&lt;'Données projet'!$A$114,$BV$205^A49,IF(A49='Données projet'!$A$114,'Données projet'!$B$114,BY48+BX49-CG48)))</f>
        <v>207.74999999999991</v>
      </c>
      <c r="BZ49" s="13">
        <f>BY49*VLOOKUP('Données projet'!$B$12,Paramètres!$A$1:$I$89,3,0)*VLOOKUP('Données projet'!$B$12,Paramètres!$A$1:$I$89,5,0)</f>
        <v>162.04499999999993</v>
      </c>
      <c r="CA49" s="13">
        <f t="shared" si="39"/>
        <v>41.303429372463391</v>
      </c>
      <c r="CB49" s="20">
        <f t="shared" si="10"/>
        <v>354.16518115704025</v>
      </c>
      <c r="CC49" s="59">
        <f t="shared" si="11"/>
        <v>647.49851449037351</v>
      </c>
      <c r="CD49" s="59">
        <f ca="1">AVERAGE(OFFSET($CC$3,0,0,'Données projet'!$E$12+1,1))-AVERAGE(OFFSET($H$3,0,0,'Données projet'!$E$12+1,1))</f>
        <v>216.95993967070063</v>
      </c>
      <c r="CE49" s="59">
        <f t="shared" si="40"/>
        <v>208.79744153433245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3.7635119963602746</v>
      </c>
      <c r="CL49" s="21">
        <f>EXP(-LN(2)/25)*CL48+(1-EXP(-LN(2)/25))/(LN(2)/25)*Calculateur!CG49*Calculateur!CI49*VLOOKUP('Données projet'!$B$12,Paramètres!$A$1:$I$89,3,0)*0.475*44/12</f>
        <v>4.1181005937121009</v>
      </c>
      <c r="CM49" s="21">
        <f>EXP(-LN(2)/2)*CM48+(1-EXP(-LN(2)/2))/(LN(2)/2)*CG49*CJ49*VLOOKUP('Données projet'!$B$12,Paramètres!$A$1:$I$89,3,0)*0.475*44/12</f>
        <v>4.8187826425919022E-3</v>
      </c>
      <c r="CN49" s="22">
        <f t="shared" si="12"/>
        <v>7.8864313727149673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10.375</v>
      </c>
      <c r="CT49" s="12">
        <f>IF('Données projet'!$A$140&gt;35,CT48+CS49-DB48,IF(A49&lt;'Données projet'!$A$140,$CQ$205^A49,IF(A49='Données projet'!$A$140,'Données projet'!$B$140,CT48+CS49-DB48)))</f>
        <v>207.74999999999991</v>
      </c>
      <c r="CU49" s="17">
        <f>CT49*VLOOKUP('Données projet'!$B$13,Paramètres!$A$1:$I$89,3,0)*VLOOKUP('Données projet'!$B$13,Paramètres!$A$1:$I$89,5,0)</f>
        <v>139.35869999999994</v>
      </c>
      <c r="CV49" s="13">
        <f t="shared" si="41"/>
        <v>36.150053436909211</v>
      </c>
      <c r="CW49" s="20">
        <f t="shared" si="13"/>
        <v>305.67774556928345</v>
      </c>
      <c r="CX49" s="59">
        <f t="shared" si="14"/>
        <v>599.01107890261676</v>
      </c>
      <c r="CY49" s="59">
        <f ca="1">AVERAGE(OFFSET($CX$3,0,0,'Données projet'!$E$13+1,1))-AVERAGE(OFFSET($H$3,0,0,'Données projet'!$E$13+1,1))</f>
        <v>181.32837315090507</v>
      </c>
      <c r="CZ49" s="59">
        <f t="shared" si="42"/>
        <v>175.03267817980338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3.9893227161418867</v>
      </c>
      <c r="DG49" s="21">
        <f>EXP(-LN(2)/25)*DG48+(1-EXP(-LN(2)/25))/(LN(2)/25)*Calculateur!DB49*Calculateur!DD49*VLOOKUP('Données projet'!$B$13,Paramètres!$A$1:$I$89,3,0)*0.475*44/12</f>
        <v>4.3651866293348283</v>
      </c>
      <c r="DH49" s="21">
        <f>EXP(-LN(2)/2)*DH48+(1-EXP(-LN(2)/2))/(LN(2)/2)*DB49*DE49*VLOOKUP('Données projet'!$B$13,Paramètres!$A$1:$I$89,3,0)*0.475*44/12</f>
        <v>4.1441530726290341E-3</v>
      </c>
      <c r="DI49" s="22">
        <f t="shared" si="15"/>
        <v>8.3586534985493426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9.8000000000000007</v>
      </c>
      <c r="DO49" s="12">
        <f>IF('Données projet'!$A$166&gt;35,DO48+DN49-DW48,IF(A49&lt;'Données projet'!$A$166,$DL$205^A49,IF(A49='Données projet'!$A$166,'Données projet'!$B$166,DO48+DN49-DW48)))</f>
        <v>263.7999999999999</v>
      </c>
      <c r="DP49" s="17">
        <f>DO49*VLOOKUP('Données projet'!$B$14,Paramètres!$A$1:$I$89,3,0)*VLOOKUP('Données projet'!$B$14,Paramètres!$A$1:$I$89,5,0)</f>
        <v>209.87927999999994</v>
      </c>
      <c r="DQ49" s="13">
        <f t="shared" si="43"/>
        <v>51.909204458241767</v>
      </c>
      <c r="DR49" s="20">
        <f t="shared" si="16"/>
        <v>455.94827709810426</v>
      </c>
      <c r="DS49" s="59">
        <f t="shared" si="17"/>
        <v>749.28161043143757</v>
      </c>
      <c r="DT49" s="59">
        <f ca="1">AVERAGE(OFFSET($DS$3,0,0,'Données projet'!$E$14+1,1))-AVERAGE(OFFSET($H$3,0,0,'Données projet'!$E$14+1,1))</f>
        <v>325.72928944930294</v>
      </c>
      <c r="DU49" s="59">
        <f t="shared" si="44"/>
        <v>318.38876834819752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12.612291874661944</v>
      </c>
      <c r="EB49" s="21">
        <f>EXP(-LN(2)/25)*EB48+(1-EXP(-LN(2)/25))/(LN(2)/25)*Calculateur!DW49*Calculateur!DY49*VLOOKUP('Données projet'!$B$14,Paramètres!$A$1:$I$89,3,0)*0.475*44/12</f>
        <v>13.270547331145309</v>
      </c>
      <c r="EC49" s="21">
        <f>EXP(-LN(2)/2)*EC48+(1-EXP(-LN(2)/2))/(LN(2)/2)*DW49*DZ49*VLOOKUP('Données projet'!$B$14,Paramètres!$A$1:$I$89,3,0)*0.475*44/12</f>
        <v>4.6209847789390884E-2</v>
      </c>
      <c r="ED49" s="22">
        <f t="shared" si="18"/>
        <v>25.929049053596643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</v>
      </c>
      <c r="EJ49" s="12">
        <f>IF('Données projet'!$A$192&gt;35,EJ48+EI49-ER48,IF(A49&lt;'Données projet'!$A$192,$EG$205^A49,IF(A49='Données projet'!$A$192,'Données projet'!$B$192,EJ48+EI49-ER48)))</f>
        <v>187.00000000000003</v>
      </c>
      <c r="EK49" s="17">
        <f>EJ49*VLOOKUP('Données projet'!$B$15,Paramètres!$A$1:$I$89,3,0)*VLOOKUP('Données projet'!$B$15,Paramètres!$A$1:$I$89,5,0)</f>
        <v>189.61800000000005</v>
      </c>
      <c r="EL49" s="13">
        <f t="shared" si="45"/>
        <v>47.4554881852685</v>
      </c>
      <c r="EM49" s="20">
        <f t="shared" si="19"/>
        <v>412.90299192267599</v>
      </c>
      <c r="EN49" s="59">
        <f t="shared" si="20"/>
        <v>706.23632525600931</v>
      </c>
      <c r="EO49" s="59">
        <f ca="1">AVERAGE(OFFSET($EN$3,0,0,'Données projet'!$E$15+1,1))-AVERAGE(OFFSET($H$3,0,0,'Données projet'!$E$15+1,1))</f>
        <v>384.50065773787549</v>
      </c>
      <c r="EP49" s="59">
        <f t="shared" si="46"/>
        <v>231.92898690465887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5.9661835035526547</v>
      </c>
      <c r="EW49" s="21">
        <f>EXP(-LN(2)/25)*EW48+(1-EXP(-LN(2)/25))/(LN(2)/25)*Calculateur!ER49*Calculateur!ET49*VLOOKUP('Données projet'!$B$15,Paramètres!$A$1:$I$89,3,0)*0.475*44/12</f>
        <v>6.7347751657169956</v>
      </c>
      <c r="EX49" s="21">
        <f>EXP(-LN(2)/2)*EX48+(1-EXP(-LN(2)/2))/(LN(2)/2)*ER49*EU49*VLOOKUP('Données projet'!$B$15,Paramètres!$A$1:$I$89,3,0)*0.475*44/12</f>
        <v>3.7362885123043567E-2</v>
      </c>
      <c r="EY49" s="22">
        <f t="shared" si="21"/>
        <v>12.738321554392693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11</v>
      </c>
      <c r="FE49" s="12">
        <f>IF('Données projet'!$A$218&gt;35,FE48+FD49-FM48,IF(A49&lt;'Données projet'!$A$218,$FB$205^A49,IF(A49='Données projet'!$A$218,'Données projet'!$B$218,FE48+FD49-FM48)))</f>
        <v>187.00000000000003</v>
      </c>
      <c r="FF49" s="17">
        <f>FE49*VLOOKUP('Données projet'!$B$16,Paramètres!$A$1:$I$89,3,0)*VLOOKUP('Données projet'!$B$16,Paramètres!$A$1:$I$89,5,0)</f>
        <v>169.19760000000002</v>
      </c>
      <c r="FG49" s="13">
        <f t="shared" si="47"/>
        <v>42.910263223432885</v>
      </c>
      <c r="FH49" s="20">
        <f t="shared" si="22"/>
        <v>369.42119511414558</v>
      </c>
      <c r="FI49" s="59">
        <f t="shared" si="23"/>
        <v>662.75452844747883</v>
      </c>
      <c r="FJ49" s="59">
        <f ca="1">AVERAGE(OFFSET($FI$3,0,0,'Données projet'!$E$16+1,1))-AVERAGE(OFFSET($H$3,0,0,'Données projet'!$E$16+1,1))</f>
        <v>326.46362829268969</v>
      </c>
      <c r="FK49" s="59">
        <f t="shared" si="48"/>
        <v>203.5274665601915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5.3236714339392899</v>
      </c>
      <c r="FR49" s="21">
        <f>EXP(-LN(2)/25)*FR48+(1-EXP(-LN(2)/25))/(LN(2)/25)*Calculateur!FM49*Calculateur!FO49*VLOOKUP('Données projet'!$B$16,Paramètres!$A$1:$I$89,3,0)*0.475*44/12</f>
        <v>6.0094916863320877</v>
      </c>
      <c r="FS49" s="21">
        <f>EXP(-LN(2)/2)*FS48+(1-EXP(-LN(2)/2))/(LN(2)/2)*FM49*FP49*VLOOKUP('Données projet'!$B$16,Paramètres!$A$1:$I$89,3,0)*0.475*44/12</f>
        <v>3.3339189802100412E-2</v>
      </c>
      <c r="FT49" s="22">
        <f t="shared" si="24"/>
        <v>11.366502310073479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</v>
      </c>
      <c r="FZ49" s="12">
        <f>IF('Données projet'!$A$244&gt;35,FZ48+FY49-GH48,IF(A49&lt;'Données projet'!$A$244,$FW$205^A49,IF(A49='Données projet'!$A$244,'Données projet'!$B$244,FZ48+FY49-GH48)))</f>
        <v>187.00000000000003</v>
      </c>
      <c r="GA49" s="17">
        <f>FZ49*VLOOKUP('Données projet'!$B$17,Paramètres!$A$1:$I$89,3,0)*VLOOKUP('Données projet'!$B$17,Paramètres!$A$1:$I$89,5,0)</f>
        <v>180.86640000000003</v>
      </c>
      <c r="GB49" s="13">
        <f t="shared" si="49"/>
        <v>45.514890302102152</v>
      </c>
      <c r="GC49" s="20">
        <f t="shared" si="25"/>
        <v>394.28074727616126</v>
      </c>
      <c r="GD49" s="59">
        <f t="shared" si="26"/>
        <v>687.61408060949452</v>
      </c>
      <c r="GE49" s="59">
        <f ca="1">AVERAGE(OFFSET($GD$3,0,0,'Données projet'!$E$17+1,1))-AVERAGE(OFFSET($H$3,0,0,'Données projet'!$E$17+1,1))</f>
        <v>353.24082990916918</v>
      </c>
      <c r="GF49" s="59">
        <f t="shared" si="50"/>
        <v>219.76562717496353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5.6908211880040698</v>
      </c>
      <c r="GM49" s="21">
        <f>EXP(-LN(2)/25)*GM48+(1-EXP(-LN(2)/25))/(LN(2)/25)*Calculateur!GH49*Calculateur!GJ49*VLOOKUP('Données projet'!$B$17,Paramètres!$A$1:$I$89,3,0)*0.475*44/12</f>
        <v>6.4239393888377503</v>
      </c>
      <c r="GN49" s="21">
        <f>EXP(-LN(2)/2)*GN48+(1-EXP(-LN(2)/2))/(LN(2)/2)*GH49*GK49*VLOOKUP('Données projet'!$B$17,Paramètres!$A$1:$I$89,3,0)*0.475*44/12</f>
        <v>3.5638444271210795E-2</v>
      </c>
      <c r="GO49" s="21">
        <f t="shared" si="27"/>
        <v>12.150399021113031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378.17323480030268</v>
      </c>
      <c r="T50" s="59">
        <f t="shared" si="34"/>
        <v>471.89239871617241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3.1456618836764907</v>
      </c>
      <c r="AA50" s="21">
        <f>EXP(-LN(2)/25)*AA49+(1-EXP(-LN(2)/25))/(LN(2)/25)*Calculateur!V50*Calculateur!X50*VLOOKUP('Données projet'!$B$9,Paramètres!$A$1:$I$89,3,0)*0.475*44/12</f>
        <v>12.983508689163447</v>
      </c>
      <c r="AB50" s="21">
        <f>EXP(-LN(2)/2)*AB49+(1-EXP(-LN(2)/2))/(LN(2)/2)*V50*Y50*VLOOKUP('Données projet'!$B$9,Paramètres!$A$1:$I$89,3,0)*0.475*44/12</f>
        <v>2.8893573369454948E-2</v>
      </c>
      <c r="AC50" s="22">
        <f t="shared" si="3"/>
        <v>16.158064146209394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5.125</v>
      </c>
      <c r="AI50" s="13">
        <f>IF('Données projet'!$A$62&gt;35,AI49+AH50-AQ49,IF(A50&lt;'Données projet'!$A$62,$AF$205^A50,IF(A50='Données projet'!$A$62,'Données projet'!$B$62,AI49+AH50-AQ49)))</f>
        <v>210.125</v>
      </c>
      <c r="AJ50" s="13">
        <f>AI50*VLOOKUP('Données projet'!$B$10,Paramètres!$A$1:$I$89,3,0)*VLOOKUP('Données projet'!$B$10,Paramètres!$A$1:$I$89,5,0)</f>
        <v>125.65475000000001</v>
      </c>
      <c r="AK50" s="13">
        <f t="shared" si="35"/>
        <v>32.990321670339604</v>
      </c>
      <c r="AL50" s="20">
        <f t="shared" si="4"/>
        <v>276.3068331591748</v>
      </c>
      <c r="AM50" s="59">
        <f t="shared" si="5"/>
        <v>569.64016649250811</v>
      </c>
      <c r="AN50" s="59">
        <f ca="1">AVERAGE(OFFSET($AM$3,0,0,'Données projet'!$E$10+1,1))-AVERAGE(OFFSET($H$3,0,0,'Données projet'!$E$10+1,1))</f>
        <v>141.22849894256314</v>
      </c>
      <c r="AO50" s="59">
        <f t="shared" si="36"/>
        <v>156.12101479343704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5.2527614393800022</v>
      </c>
      <c r="AV50" s="21">
        <f>EXP(-LN(2)/25)*AV49+(1-EXP(-LN(2)/25))/(LN(2)/25)*Calculateur!AQ50*Calculateur!AS50*VLOOKUP('Données projet'!$B$10,Paramètres!$A$1:$I$89,3,0)*0.475*44/12</f>
        <v>3.7590589157850842</v>
      </c>
      <c r="AW50" s="21">
        <f>EXP(-LN(2)/2)*AW49+(1-EXP(-LN(2)/2))/(LN(2)/2)*AQ50*AT50*VLOOKUP('Données projet'!$B$10,Paramètres!$A$1:$I$89,3,0)*0.475*44/12</f>
        <v>8.1703178671947187E-3</v>
      </c>
      <c r="AX50" s="21">
        <f t="shared" si="6"/>
        <v>9.0199906730322823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241.33333333333331</v>
      </c>
      <c r="BE50" s="13">
        <f>BD50*VLOOKUP('Données projet'!$B$11,Paramètres!$A$1:$I$89,3,0)*VLOOKUP('Données projet'!$B$11,Paramètres!$A$1:$I$89,5,0)</f>
        <v>106.66933333333333</v>
      </c>
      <c r="BF50" s="13">
        <f t="shared" si="37"/>
        <v>28.544854818326712</v>
      </c>
      <c r="BG50" s="20">
        <f t="shared" si="7"/>
        <v>235.49804436414118</v>
      </c>
      <c r="BH50" s="59">
        <f t="shared" si="8"/>
        <v>528.83137769747452</v>
      </c>
      <c r="BI50" s="59">
        <f ca="1">AVERAGE(OFFSET($BH$3,0,0,'Données projet'!$E$11+1,1))-AVERAGE(OFFSET($H$3,0,0,'Données projet'!$E$11+1,1))</f>
        <v>114.25511901730295</v>
      </c>
      <c r="BJ50" s="59">
        <f t="shared" si="38"/>
        <v>180.96261947642182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2.4412070260056149</v>
      </c>
      <c r="BQ50" s="21">
        <f>EXP(-LN(2)/25)*BQ49+(1-EXP(-LN(2)/25))/(LN(2)/25)*Calculateur!BL50*Calculateur!BN50*VLOOKUP('Données projet'!$B$11,Paramètres!$A$1:$I$89,3,0)*0.475*44/12</f>
        <v>11.119626961951887</v>
      </c>
      <c r="BR50" s="21">
        <f>EXP(-LN(2)/2)*BR49+(1-EXP(-LN(2)/2))/(LN(2)/2)*BL50*BO50*VLOOKUP('Données projet'!$B$11,Paramètres!$A$1:$I$89,3,0)*0.475*44/12</f>
        <v>1.8871084961870826E-2</v>
      </c>
      <c r="BS50" s="22">
        <f t="shared" si="9"/>
        <v>13.579705072919372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10.375</v>
      </c>
      <c r="BY50" s="12">
        <f>IF('Données projet'!$A$114&gt;35,BY49+BX50-CG49,IF(A50&lt;'Données projet'!$A$114,$BV$205^A50,IF(A50='Données projet'!$A$114,'Données projet'!$B$114,BY49+BX50-CG49)))</f>
        <v>218.12499999999991</v>
      </c>
      <c r="BZ50" s="13">
        <f>BY50*VLOOKUP('Données projet'!$B$12,Paramètres!$A$1:$I$89,3,0)*VLOOKUP('Données projet'!$B$12,Paramètres!$A$1:$I$89,5,0)</f>
        <v>170.13749999999993</v>
      </c>
      <c r="CA50" s="13">
        <f t="shared" si="39"/>
        <v>43.120817562072375</v>
      </c>
      <c r="CB50" s="20">
        <f t="shared" si="10"/>
        <v>371.42490308727588</v>
      </c>
      <c r="CC50" s="59">
        <f t="shared" si="11"/>
        <v>664.75823642060914</v>
      </c>
      <c r="CD50" s="59">
        <f ca="1">AVERAGE(OFFSET($CC$3,0,0,'Données projet'!$E$12+1,1))-AVERAGE(OFFSET($H$3,0,0,'Données projet'!$E$12+1,1))</f>
        <v>216.95993967070063</v>
      </c>
      <c r="CE50" s="59">
        <f t="shared" si="40"/>
        <v>208.79744153433245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3.6897118216273039</v>
      </c>
      <c r="CL50" s="21">
        <f>EXP(-LN(2)/25)*CL49+(1-EXP(-LN(2)/25))/(LN(2)/25)*Calculateur!CG50*Calculateur!CI50*VLOOKUP('Données projet'!$B$12,Paramètres!$A$1:$I$89,3,0)*0.475*44/12</f>
        <v>4.0054909164155452</v>
      </c>
      <c r="CM50" s="21">
        <f>EXP(-LN(2)/2)*CM49+(1-EXP(-LN(2)/2))/(LN(2)/2)*CG50*CJ50*VLOOKUP('Données projet'!$B$12,Paramètres!$A$1:$I$89,3,0)*0.475*44/12</f>
        <v>3.4073938836407655E-3</v>
      </c>
      <c r="CN50" s="22">
        <f t="shared" si="12"/>
        <v>7.6986101319264897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10.375</v>
      </c>
      <c r="CT50" s="12">
        <f>IF('Données projet'!$A$140&gt;35,CT49+CS50-DB49,IF(A50&lt;'Données projet'!$A$140,$CQ$205^A50,IF(A50='Données projet'!$A$140,'Données projet'!$B$140,CT49+CS50-DB49)))</f>
        <v>218.12499999999991</v>
      </c>
      <c r="CU50" s="17">
        <f>CT50*VLOOKUP('Données projet'!$B$13,Paramètres!$A$1:$I$89,3,0)*VLOOKUP('Données projet'!$B$13,Paramètres!$A$1:$I$89,5,0)</f>
        <v>146.31824999999995</v>
      </c>
      <c r="CV50" s="13">
        <f t="shared" si="41"/>
        <v>37.740688431827415</v>
      </c>
      <c r="CW50" s="20">
        <f t="shared" si="13"/>
        <v>320.56931776876598</v>
      </c>
      <c r="CX50" s="59">
        <f t="shared" si="14"/>
        <v>613.9026511020993</v>
      </c>
      <c r="CY50" s="59">
        <f ca="1">AVERAGE(OFFSET($CX$3,0,0,'Données projet'!$E$13+1,1))-AVERAGE(OFFSET($H$3,0,0,'Données projet'!$E$13+1,1))</f>
        <v>181.32837315090507</v>
      </c>
      <c r="CZ50" s="59">
        <f t="shared" si="42"/>
        <v>175.03267817980338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3.9110945309249381</v>
      </c>
      <c r="DG50" s="21">
        <f>EXP(-LN(2)/25)*DG49+(1-EXP(-LN(2)/25))/(LN(2)/25)*Calculateur!DB50*Calculateur!DD50*VLOOKUP('Données projet'!$B$13,Paramètres!$A$1:$I$89,3,0)*0.475*44/12</f>
        <v>4.2458203714004794</v>
      </c>
      <c r="DH50" s="21">
        <f>EXP(-LN(2)/2)*DH49+(1-EXP(-LN(2)/2))/(LN(2)/2)*DB50*DE50*VLOOKUP('Données projet'!$B$13,Paramètres!$A$1:$I$89,3,0)*0.475*44/12</f>
        <v>2.9303587399310571E-3</v>
      </c>
      <c r="DI50" s="22">
        <f t="shared" si="15"/>
        <v>8.1598452610653496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9.8000000000000007</v>
      </c>
      <c r="DO50" s="12">
        <f>IF('Données projet'!$A$166&gt;35,DO49+DN50-DW49,IF(A50&lt;'Données projet'!$A$166,$DL$205^A50,IF(A50='Données projet'!$A$166,'Données projet'!$B$166,DO49+DN50-DW49)))</f>
        <v>273.59999999999991</v>
      </c>
      <c r="DP50" s="17">
        <f>DO50*VLOOKUP('Données projet'!$B$14,Paramètres!$A$1:$I$89,3,0)*VLOOKUP('Données projet'!$B$14,Paramètres!$A$1:$I$89,5,0)</f>
        <v>217.67615999999992</v>
      </c>
      <c r="DQ50" s="13">
        <f t="shared" si="43"/>
        <v>53.609498850196708</v>
      </c>
      <c r="DR50" s="20">
        <f t="shared" si="16"/>
        <v>472.48918916409235</v>
      </c>
      <c r="DS50" s="59">
        <f t="shared" si="17"/>
        <v>765.82252249742567</v>
      </c>
      <c r="DT50" s="59">
        <f ca="1">AVERAGE(OFFSET($DS$3,0,0,'Données projet'!$E$14+1,1))-AVERAGE(OFFSET($H$3,0,0,'Données projet'!$E$14+1,1))</f>
        <v>325.72928944930294</v>
      </c>
      <c r="DU50" s="59">
        <f t="shared" si="44"/>
        <v>318.38876834819752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12.364972523738272</v>
      </c>
      <c r="EB50" s="21">
        <f>EXP(-LN(2)/25)*EB49+(1-EXP(-LN(2)/25))/(LN(2)/25)*Calculateur!DW50*Calculateur!DY50*VLOOKUP('Données projet'!$B$14,Paramètres!$A$1:$I$89,3,0)*0.475*44/12</f>
        <v>12.907663516507387</v>
      </c>
      <c r="EC50" s="21">
        <f>EXP(-LN(2)/2)*EC49+(1-EXP(-LN(2)/2))/(LN(2)/2)*DW50*DZ50*VLOOKUP('Données projet'!$B$14,Paramètres!$A$1:$I$89,3,0)*0.475*44/12</f>
        <v>3.2675296729476486E-2</v>
      </c>
      <c r="ED50" s="22">
        <f t="shared" si="18"/>
        <v>25.305311336975134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</v>
      </c>
      <c r="EJ50" s="12">
        <f>IF('Données projet'!$A$192&gt;35,EJ49+EI50-ER49,IF(A50&lt;'Données projet'!$A$192,$EG$205^A50,IF(A50='Données projet'!$A$192,'Données projet'!$B$192,EJ49+EI50-ER49)))</f>
        <v>198.00000000000003</v>
      </c>
      <c r="EK50" s="17">
        <f>EJ50*VLOOKUP('Données projet'!$B$15,Paramètres!$A$1:$I$89,3,0)*VLOOKUP('Données projet'!$B$15,Paramètres!$A$1:$I$89,5,0)</f>
        <v>200.77200000000002</v>
      </c>
      <c r="EL50" s="13">
        <f t="shared" si="45"/>
        <v>49.913791898945412</v>
      </c>
      <c r="EM50" s="20">
        <f t="shared" si="19"/>
        <v>436.61108755732994</v>
      </c>
      <c r="EN50" s="59">
        <f t="shared" si="20"/>
        <v>729.9444208906632</v>
      </c>
      <c r="EO50" s="59">
        <f ca="1">AVERAGE(OFFSET($EN$3,0,0,'Données projet'!$E$15+1,1))-AVERAGE(OFFSET($H$3,0,0,'Données projet'!$E$15+1,1))</f>
        <v>384.50065773787549</v>
      </c>
      <c r="EP50" s="59">
        <f t="shared" si="46"/>
        <v>231.92898690465887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5.8491902840606018</v>
      </c>
      <c r="EW50" s="21">
        <f>EXP(-LN(2)/25)*EW49+(1-EXP(-LN(2)/25))/(LN(2)/25)*Calculateur!ER50*Calculateur!ET50*VLOOKUP('Données projet'!$B$15,Paramètres!$A$1:$I$89,3,0)*0.475*44/12</f>
        <v>6.5506123846440314</v>
      </c>
      <c r="EX50" s="21">
        <f>EXP(-LN(2)/2)*EX49+(1-EXP(-LN(2)/2))/(LN(2)/2)*ER50*EU50*VLOOKUP('Données projet'!$B$15,Paramètres!$A$1:$I$89,3,0)*0.475*44/12</f>
        <v>2.6419549435198079E-2</v>
      </c>
      <c r="EY50" s="22">
        <f t="shared" si="21"/>
        <v>12.426222218139833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11</v>
      </c>
      <c r="FE50" s="12">
        <f>IF('Données projet'!$A$218&gt;35,FE49+FD50-FM49,IF(A50&lt;'Données projet'!$A$218,$FB$205^A50,IF(A50='Données projet'!$A$218,'Données projet'!$B$218,FE49+FD50-FM49)))</f>
        <v>198.00000000000003</v>
      </c>
      <c r="FF50" s="17">
        <f>FE50*VLOOKUP('Données projet'!$B$16,Paramètres!$A$1:$I$89,3,0)*VLOOKUP('Données projet'!$B$16,Paramètres!$A$1:$I$89,5,0)</f>
        <v>179.15040000000002</v>
      </c>
      <c r="FG50" s="13">
        <f t="shared" si="47"/>
        <v>45.133113803437304</v>
      </c>
      <c r="FH50" s="20">
        <f t="shared" si="22"/>
        <v>390.62711987431999</v>
      </c>
      <c r="FI50" s="59">
        <f t="shared" si="23"/>
        <v>683.96045320765325</v>
      </c>
      <c r="FJ50" s="59">
        <f ca="1">AVERAGE(OFFSET($FI$3,0,0,'Données projet'!$E$16+1,1))-AVERAGE(OFFSET($H$3,0,0,'Données projet'!$E$16+1,1))</f>
        <v>326.46362829268969</v>
      </c>
      <c r="FK50" s="59">
        <f t="shared" si="48"/>
        <v>203.5274665601915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5.2192774842386891</v>
      </c>
      <c r="FR50" s="21">
        <f>EXP(-LN(2)/25)*FR49+(1-EXP(-LN(2)/25))/(LN(2)/25)*Calculateur!FM50*Calculateur!FO50*VLOOKUP('Données projet'!$B$16,Paramètres!$A$1:$I$89,3,0)*0.475*44/12</f>
        <v>5.845161820143904</v>
      </c>
      <c r="FS50" s="21">
        <f>EXP(-LN(2)/2)*FS49+(1-EXP(-LN(2)/2))/(LN(2)/2)*FM50*FP50*VLOOKUP('Données projet'!$B$16,Paramètres!$A$1:$I$89,3,0)*0.475*44/12</f>
        <v>2.3574367188330593E-2</v>
      </c>
      <c r="FT50" s="22">
        <f t="shared" si="24"/>
        <v>11.088013671570923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</v>
      </c>
      <c r="FZ50" s="12">
        <f>IF('Données projet'!$A$244&gt;35,FZ49+FY50-GH49,IF(A50&lt;'Données projet'!$A$244,$FW$205^A50,IF(A50='Données projet'!$A$244,'Données projet'!$B$244,FZ49+FY50-GH49)))</f>
        <v>198.00000000000003</v>
      </c>
      <c r="GA50" s="17">
        <f>FZ50*VLOOKUP('Données projet'!$B$17,Paramètres!$A$1:$I$89,3,0)*VLOOKUP('Données projet'!$B$17,Paramètres!$A$1:$I$89,5,0)</f>
        <v>191.50560000000004</v>
      </c>
      <c r="GB50" s="13">
        <f t="shared" si="49"/>
        <v>47.872666570685276</v>
      </c>
      <c r="GC50" s="20">
        <f t="shared" si="25"/>
        <v>416.91714761061024</v>
      </c>
      <c r="GD50" s="59">
        <f t="shared" si="26"/>
        <v>710.25048094394356</v>
      </c>
      <c r="GE50" s="59">
        <f ca="1">AVERAGE(OFFSET($GD$3,0,0,'Données projet'!$E$17+1,1))-AVERAGE(OFFSET($H$3,0,0,'Données projet'!$E$17+1,1))</f>
        <v>353.24082990916918</v>
      </c>
      <c r="GF50" s="59">
        <f t="shared" si="50"/>
        <v>219.76562717496353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5.5792276555654965</v>
      </c>
      <c r="GM50" s="21">
        <f>EXP(-LN(2)/25)*GM49+(1-EXP(-LN(2)/25))/(LN(2)/25)*Calculateur!GH50*Calculateur!GJ50*VLOOKUP('Données projet'!$B$17,Paramètres!$A$1:$I$89,3,0)*0.475*44/12</f>
        <v>6.2482764284296914</v>
      </c>
      <c r="GN50" s="21">
        <f>EXP(-LN(2)/2)*GN49+(1-EXP(-LN(2)/2))/(LN(2)/2)*GH50*GK50*VLOOKUP('Données projet'!$B$17,Paramètres!$A$1:$I$89,3,0)*0.475*44/12</f>
        <v>2.520018561511202E-2</v>
      </c>
      <c r="GO50" s="21">
        <f t="shared" si="27"/>
        <v>11.8527042696103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378.17323480030268</v>
      </c>
      <c r="T51" s="59">
        <f t="shared" si="34"/>
        <v>471.89239871617241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3.0839773728018915</v>
      </c>
      <c r="AA51" s="21">
        <f>EXP(-LN(2)/25)*AA50+(1-EXP(-LN(2)/25))/(LN(2)/25)*Calculateur!V51*Calculateur!X51*VLOOKUP('Données projet'!$B$9,Paramètres!$A$1:$I$89,3,0)*0.475*44/12</f>
        <v>12.628473961285225</v>
      </c>
      <c r="AB51" s="21">
        <f>EXP(-LN(2)/2)*AB50+(1-EXP(-LN(2)/2))/(LN(2)/2)*V51*Y51*VLOOKUP('Données projet'!$B$9,Paramètres!$A$1:$I$89,3,0)*0.475*44/12</f>
        <v>2.0430841662252636E-2</v>
      </c>
      <c r="AC51" s="22">
        <f t="shared" si="3"/>
        <v>15.732882175749369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5.125</v>
      </c>
      <c r="AI51" s="13">
        <f>IF('Données projet'!$A$62&gt;35,AI50+AH51-AQ50,IF(A51&lt;'Données projet'!$A$62,$AF$205^A51,IF(A51='Données projet'!$A$62,'Données projet'!$B$62,AI50+AH51-AQ50)))</f>
        <v>215.25</v>
      </c>
      <c r="AJ51" s="13">
        <f>AI51*VLOOKUP('Données projet'!$B$10,Paramètres!$A$1:$I$89,3,0)*VLOOKUP('Données projet'!$B$10,Paramètres!$A$1:$I$89,5,0)</f>
        <v>128.71950000000001</v>
      </c>
      <c r="AK51" s="13">
        <f t="shared" si="35"/>
        <v>33.700303131200371</v>
      </c>
      <c r="AL51" s="20">
        <f t="shared" si="4"/>
        <v>282.88115712017401</v>
      </c>
      <c r="AM51" s="59">
        <f t="shared" si="5"/>
        <v>576.21449045350732</v>
      </c>
      <c r="AN51" s="59">
        <f ca="1">AVERAGE(OFFSET($AM$3,0,0,'Données projet'!$E$10+1,1))-AVERAGE(OFFSET($H$3,0,0,'Données projet'!$E$10+1,1))</f>
        <v>141.22849894256314</v>
      </c>
      <c r="AO51" s="59">
        <f t="shared" si="36"/>
        <v>156.12101479343704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5.1497579914218825</v>
      </c>
      <c r="AV51" s="21">
        <f>EXP(-LN(2)/25)*AV50+(1-EXP(-LN(2)/25))/(LN(2)/25)*Calculateur!AQ51*Calculateur!AS51*VLOOKUP('Données projet'!$B$10,Paramètres!$A$1:$I$89,3,0)*0.475*44/12</f>
        <v>3.6562672520526243</v>
      </c>
      <c r="AW51" s="21">
        <f>EXP(-LN(2)/2)*AW50+(1-EXP(-LN(2)/2))/(LN(2)/2)*AQ51*AT51*VLOOKUP('Données projet'!$B$10,Paramètres!$A$1:$I$89,3,0)*0.475*44/12</f>
        <v>5.7772871683429957E-3</v>
      </c>
      <c r="AX51" s="21">
        <f t="shared" si="6"/>
        <v>8.8118025306428489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251.99999999999997</v>
      </c>
      <c r="BE51" s="13">
        <f>BD51*VLOOKUP('Données projet'!$B$11,Paramètres!$A$1:$I$89,3,0)*VLOOKUP('Données projet'!$B$11,Paramètres!$A$1:$I$89,5,0)</f>
        <v>111.384</v>
      </c>
      <c r="BF51" s="13">
        <f t="shared" si="37"/>
        <v>29.656828101147433</v>
      </c>
      <c r="BG51" s="20">
        <f t="shared" si="7"/>
        <v>245.6461089428318</v>
      </c>
      <c r="BH51" s="59">
        <f t="shared" si="8"/>
        <v>538.97944227616517</v>
      </c>
      <c r="BI51" s="59">
        <f ca="1">AVERAGE(OFFSET($BH$3,0,0,'Données projet'!$E$11+1,1))-AVERAGE(OFFSET($H$3,0,0,'Données projet'!$E$11+1,1))</f>
        <v>114.25511901730295</v>
      </c>
      <c r="BJ51" s="59">
        <f t="shared" si="38"/>
        <v>180.96261947642182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2.3933364452149051</v>
      </c>
      <c r="BQ51" s="21">
        <f>EXP(-LN(2)/25)*BQ50+(1-EXP(-LN(2)/25))/(LN(2)/25)*Calculateur!BL51*Calculateur!BN51*VLOOKUP('Données projet'!$B$11,Paramètres!$A$1:$I$89,3,0)*0.475*44/12</f>
        <v>10.815560177921546</v>
      </c>
      <c r="BR51" s="21">
        <f>EXP(-LN(2)/2)*BR50+(1-EXP(-LN(2)/2))/(LN(2)/2)*BL51*BO51*VLOOKUP('Données projet'!$B$11,Paramètres!$A$1:$I$89,3,0)*0.475*44/12</f>
        <v>1.3343872144886342E-2</v>
      </c>
      <c r="BS51" s="22">
        <f t="shared" si="9"/>
        <v>13.222240495281337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10.375</v>
      </c>
      <c r="BY51" s="12">
        <f>IF('Données projet'!$A$114&gt;35,BY50+BX51-CG50,IF(A51&lt;'Données projet'!$A$114,$BV$205^A51,IF(A51='Données projet'!$A$114,'Données projet'!$B$114,BY50+BX51-CG50)))</f>
        <v>228.49999999999991</v>
      </c>
      <c r="BZ51" s="13">
        <f>BY51*VLOOKUP('Données projet'!$B$12,Paramètres!$A$1:$I$89,3,0)*VLOOKUP('Données projet'!$B$12,Paramètres!$A$1:$I$89,5,0)</f>
        <v>178.22999999999993</v>
      </c>
      <c r="CA51" s="13">
        <f t="shared" si="39"/>
        <v>44.928167580487852</v>
      </c>
      <c r="CB51" s="20">
        <f t="shared" si="10"/>
        <v>388.66714186934951</v>
      </c>
      <c r="CC51" s="59">
        <f t="shared" si="11"/>
        <v>682.00047520268276</v>
      </c>
      <c r="CD51" s="59">
        <f ca="1">AVERAGE(OFFSET($CC$3,0,0,'Données projet'!$E$12+1,1))-AVERAGE(OFFSET($H$3,0,0,'Données projet'!$E$12+1,1))</f>
        <v>216.95993967070063</v>
      </c>
      <c r="CE51" s="59">
        <f t="shared" si="40"/>
        <v>208.79744153433245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3.6173588233071849</v>
      </c>
      <c r="CL51" s="21">
        <f>EXP(-LN(2)/25)*CL50+(1-EXP(-LN(2)/25))/(LN(2)/25)*Calculateur!CG51*Calculateur!CI51*VLOOKUP('Données projet'!$B$12,Paramètres!$A$1:$I$89,3,0)*0.475*44/12</f>
        <v>3.8959605566665494</v>
      </c>
      <c r="CM51" s="21">
        <f>EXP(-LN(2)/2)*CM50+(1-EXP(-LN(2)/2))/(LN(2)/2)*CG51*CJ51*VLOOKUP('Données projet'!$B$12,Paramètres!$A$1:$I$89,3,0)*0.475*44/12</f>
        <v>2.4093913212959511E-3</v>
      </c>
      <c r="CN51" s="22">
        <f t="shared" si="12"/>
        <v>7.5157287712950307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10.375</v>
      </c>
      <c r="CT51" s="12">
        <f>IF('Données projet'!$A$140&gt;35,CT50+CS51-DB50,IF(A51&lt;'Données projet'!$A$140,$CQ$205^A51,IF(A51='Données projet'!$A$140,'Données projet'!$B$140,CT50+CS51-DB50)))</f>
        <v>228.49999999999991</v>
      </c>
      <c r="CU51" s="17">
        <f>CT51*VLOOKUP('Données projet'!$B$13,Paramètres!$A$1:$I$89,3,0)*VLOOKUP('Données projet'!$B$13,Paramètres!$A$1:$I$89,5,0)</f>
        <v>153.27779999999996</v>
      </c>
      <c r="CV51" s="13">
        <f t="shared" si="41"/>
        <v>39.32253770530393</v>
      </c>
      <c r="CW51" s="20">
        <f t="shared" si="13"/>
        <v>335.44558817007095</v>
      </c>
      <c r="CX51" s="59">
        <f t="shared" si="14"/>
        <v>628.77892150340426</v>
      </c>
      <c r="CY51" s="59">
        <f ca="1">AVERAGE(OFFSET($CX$3,0,0,'Données projet'!$E$13+1,1))-AVERAGE(OFFSET($H$3,0,0,'Données projet'!$E$13+1,1))</f>
        <v>181.32837315090507</v>
      </c>
      <c r="CZ51" s="59">
        <f t="shared" si="42"/>
        <v>175.03267817980338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3.8344003527056123</v>
      </c>
      <c r="DG51" s="21">
        <f>EXP(-LN(2)/25)*DG50+(1-EXP(-LN(2)/25))/(LN(2)/25)*Calculateur!DB51*Calculateur!DD51*VLOOKUP('Données projet'!$B$13,Paramètres!$A$1:$I$89,3,0)*0.475*44/12</f>
        <v>4.1297181900665443</v>
      </c>
      <c r="DH51" s="21">
        <f>EXP(-LN(2)/2)*DH50+(1-EXP(-LN(2)/2))/(LN(2)/2)*DB51*DE51*VLOOKUP('Données projet'!$B$13,Paramètres!$A$1:$I$89,3,0)*0.475*44/12</f>
        <v>2.0720765363145171E-3</v>
      </c>
      <c r="DI51" s="22">
        <f t="shared" si="15"/>
        <v>7.9661906193084713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9.8000000000000007</v>
      </c>
      <c r="DO51" s="12">
        <f>IF('Données projet'!$A$166&gt;35,DO50+DN51-DW50,IF(A51&lt;'Données projet'!$A$166,$DL$205^A51,IF(A51='Données projet'!$A$166,'Données projet'!$B$166,DO50+DN51-DW50)))</f>
        <v>283.39999999999992</v>
      </c>
      <c r="DP51" s="17">
        <f>DO51*VLOOKUP('Données projet'!$B$14,Paramètres!$A$1:$I$89,3,0)*VLOOKUP('Données projet'!$B$14,Paramètres!$A$1:$I$89,5,0)</f>
        <v>225.47303999999994</v>
      </c>
      <c r="DQ51" s="13">
        <f t="shared" si="43"/>
        <v>55.302717367103824</v>
      </c>
      <c r="DR51" s="20">
        <f t="shared" si="16"/>
        <v>489.0177774143724</v>
      </c>
      <c r="DS51" s="59">
        <f t="shared" si="17"/>
        <v>782.35111074770566</v>
      </c>
      <c r="DT51" s="59">
        <f ca="1">AVERAGE(OFFSET($DS$3,0,0,'Données projet'!$E$14+1,1))-AVERAGE(OFFSET($H$3,0,0,'Données projet'!$E$14+1,1))</f>
        <v>325.72928944930294</v>
      </c>
      <c r="DU51" s="59">
        <f t="shared" si="44"/>
        <v>318.38876834819752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12.122502954436305</v>
      </c>
      <c r="EB51" s="21">
        <f>EXP(-LN(2)/25)*EB50+(1-EXP(-LN(2)/25))/(LN(2)/25)*Calculateur!DW51*Calculateur!DY51*VLOOKUP('Données projet'!$B$14,Paramètres!$A$1:$I$89,3,0)*0.475*44/12</f>
        <v>12.55470277886397</v>
      </c>
      <c r="EC51" s="21">
        <f>EXP(-LN(2)/2)*EC50+(1-EXP(-LN(2)/2))/(LN(2)/2)*DW51*DZ51*VLOOKUP('Données projet'!$B$14,Paramètres!$A$1:$I$89,3,0)*0.475*44/12</f>
        <v>2.3104923894695442E-2</v>
      </c>
      <c r="ED51" s="22">
        <f t="shared" si="18"/>
        <v>24.700310657194972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</v>
      </c>
      <c r="EJ51" s="12">
        <f>IF('Données projet'!$A$192&gt;35,EJ50+EI51-ER50,IF(A51&lt;'Données projet'!$A$192,$EG$205^A51,IF(A51='Données projet'!$A$192,'Données projet'!$B$192,EJ50+EI51-ER50)))</f>
        <v>209.00000000000003</v>
      </c>
      <c r="EK51" s="17">
        <f>EJ51*VLOOKUP('Données projet'!$B$15,Paramètres!$A$1:$I$89,3,0)*VLOOKUP('Données projet'!$B$15,Paramètres!$A$1:$I$89,5,0)</f>
        <v>211.92600000000004</v>
      </c>
      <c r="EL51" s="13">
        <f t="shared" si="45"/>
        <v>52.356241262970165</v>
      </c>
      <c r="EM51" s="20">
        <f t="shared" si="19"/>
        <v>460.29157019967312</v>
      </c>
      <c r="EN51" s="59">
        <f t="shared" si="20"/>
        <v>753.62490353300643</v>
      </c>
      <c r="EO51" s="59">
        <f ca="1">AVERAGE(OFFSET($EN$3,0,0,'Données projet'!$E$15+1,1))-AVERAGE(OFFSET($H$3,0,0,'Données projet'!$E$15+1,1))</f>
        <v>384.50065773787549</v>
      </c>
      <c r="EP51" s="59">
        <f t="shared" si="46"/>
        <v>231.92898690465887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5.7344912302439699</v>
      </c>
      <c r="EW51" s="21">
        <f>EXP(-LN(2)/25)*EW50+(1-EXP(-LN(2)/25))/(LN(2)/25)*Calculateur!ER51*Calculateur!ET51*VLOOKUP('Données projet'!$B$15,Paramètres!$A$1:$I$89,3,0)*0.475*44/12</f>
        <v>6.3714855445042069</v>
      </c>
      <c r="EX51" s="21">
        <f>EXP(-LN(2)/2)*EX50+(1-EXP(-LN(2)/2))/(LN(2)/2)*ER51*EU51*VLOOKUP('Données projet'!$B$15,Paramètres!$A$1:$I$89,3,0)*0.475*44/12</f>
        <v>1.8681442561521783E-2</v>
      </c>
      <c r="EY51" s="22">
        <f t="shared" si="21"/>
        <v>12.124658217309699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11</v>
      </c>
      <c r="FE51" s="12">
        <f>IF('Données projet'!$A$218&gt;35,FE50+FD51-FM50,IF(A51&lt;'Données projet'!$A$218,$FB$205^A51,IF(A51='Données projet'!$A$218,'Données projet'!$B$218,FE50+FD51-FM50)))</f>
        <v>209.00000000000003</v>
      </c>
      <c r="FF51" s="17">
        <f>FE51*VLOOKUP('Données projet'!$B$16,Paramètres!$A$1:$I$89,3,0)*VLOOKUP('Données projet'!$B$16,Paramètres!$A$1:$I$89,5,0)</f>
        <v>189.10320000000002</v>
      </c>
      <c r="FG51" s="13">
        <f t="shared" si="47"/>
        <v>47.34162854278712</v>
      </c>
      <c r="FH51" s="20">
        <f t="shared" si="22"/>
        <v>411.80807637868764</v>
      </c>
      <c r="FI51" s="59">
        <f t="shared" si="23"/>
        <v>705.14140971202096</v>
      </c>
      <c r="FJ51" s="59">
        <f ca="1">AVERAGE(OFFSET($FI$3,0,0,'Données projet'!$E$16+1,1))-AVERAGE(OFFSET($H$3,0,0,'Données projet'!$E$16+1,1))</f>
        <v>326.46362829268969</v>
      </c>
      <c r="FK51" s="59">
        <f t="shared" si="48"/>
        <v>203.5274665601915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5.1169306362176945</v>
      </c>
      <c r="FR51" s="21">
        <f>EXP(-LN(2)/25)*FR50+(1-EXP(-LN(2)/25))/(LN(2)/25)*Calculateur!FM51*Calculateur!FO51*VLOOKUP('Données projet'!$B$16,Paramètres!$A$1:$I$89,3,0)*0.475*44/12</f>
        <v>5.6853255627883676</v>
      </c>
      <c r="FS51" s="21">
        <f>EXP(-LN(2)/2)*FS50+(1-EXP(-LN(2)/2))/(LN(2)/2)*FM51*FP51*VLOOKUP('Données projet'!$B$16,Paramètres!$A$1:$I$89,3,0)*0.475*44/12</f>
        <v>1.6669594901050206E-2</v>
      </c>
      <c r="FT51" s="22">
        <f t="shared" si="24"/>
        <v>10.818925793907113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</v>
      </c>
      <c r="FZ51" s="12">
        <f>IF('Données projet'!$A$244&gt;35,FZ50+FY51-GH50,IF(A51&lt;'Données projet'!$A$244,$FW$205^A51,IF(A51='Données projet'!$A$244,'Données projet'!$B$244,FZ50+FY51-GH50)))</f>
        <v>209.00000000000003</v>
      </c>
      <c r="GA51" s="17">
        <f>FZ51*VLOOKUP('Données projet'!$B$17,Paramètres!$A$1:$I$89,3,0)*VLOOKUP('Données projet'!$B$17,Paramètres!$A$1:$I$89,5,0)</f>
        <v>202.14480000000003</v>
      </c>
      <c r="GB51" s="13">
        <f t="shared" si="49"/>
        <v>50.215236821738628</v>
      </c>
      <c r="GC51" s="20">
        <f t="shared" si="25"/>
        <v>439.52706413119489</v>
      </c>
      <c r="GD51" s="59">
        <f t="shared" si="26"/>
        <v>732.86039746452821</v>
      </c>
      <c r="GE51" s="59">
        <f ca="1">AVERAGE(OFFSET($GD$3,0,0,'Données projet'!$E$17+1,1))-AVERAGE(OFFSET($H$3,0,0,'Données projet'!$E$17+1,1))</f>
        <v>353.24082990916918</v>
      </c>
      <c r="GF51" s="59">
        <f t="shared" si="50"/>
        <v>219.76562717496353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5.4698224042327093</v>
      </c>
      <c r="GM51" s="21">
        <f>EXP(-LN(2)/25)*GM50+(1-EXP(-LN(2)/25))/(LN(2)/25)*Calculateur!GH51*Calculateur!GJ51*VLOOKUP('Données projet'!$B$17,Paramètres!$A$1:$I$89,3,0)*0.475*44/12</f>
        <v>6.0774169809117051</v>
      </c>
      <c r="GN51" s="21">
        <f>EXP(-LN(2)/2)*GN50+(1-EXP(-LN(2)/2))/(LN(2)/2)*GH51*GK51*VLOOKUP('Données projet'!$B$17,Paramètres!$A$1:$I$89,3,0)*0.475*44/12</f>
        <v>1.7819222135605398E-2</v>
      </c>
      <c r="GO51" s="21">
        <f t="shared" si="27"/>
        <v>11.565058607280021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378.17323480030268</v>
      </c>
      <c r="T52" s="59">
        <f t="shared" si="34"/>
        <v>471.89239871617241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3.0235024575617064</v>
      </c>
      <c r="AA52" s="21">
        <f>EXP(-LN(2)/25)*AA51+(1-EXP(-LN(2)/25))/(LN(2)/25)*Calculateur!V52*Calculateur!X52*VLOOKUP('Données projet'!$B$9,Paramètres!$A$1:$I$89,3,0)*0.475*44/12</f>
        <v>12.283147676711298</v>
      </c>
      <c r="AB52" s="21">
        <f>EXP(-LN(2)/2)*AB51+(1-EXP(-LN(2)/2))/(LN(2)/2)*V52*Y52*VLOOKUP('Données projet'!$B$9,Paramètres!$A$1:$I$89,3,0)*0.475*44/12</f>
        <v>1.4446786684727474E-2</v>
      </c>
      <c r="AC52" s="22">
        <f t="shared" si="3"/>
        <v>15.321096920957732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5.125</v>
      </c>
      <c r="AI52" s="13">
        <f>IF('Données projet'!$A$62&gt;35,AI51+AH52-AQ51,IF(A52&lt;'Données projet'!$A$62,$AF$205^A52,IF(A52='Données projet'!$A$62,'Données projet'!$B$62,AI51+AH52-AQ51)))</f>
        <v>220.375</v>
      </c>
      <c r="AJ52" s="13">
        <f>AI52*VLOOKUP('Données projet'!$B$10,Paramètres!$A$1:$I$89,3,0)*VLOOKUP('Données projet'!$B$10,Paramètres!$A$1:$I$89,5,0)</f>
        <v>131.78425000000001</v>
      </c>
      <c r="AK52" s="13">
        <f t="shared" si="35"/>
        <v>34.408319457025534</v>
      </c>
      <c r="AL52" s="20">
        <f t="shared" si="4"/>
        <v>289.45205847098617</v>
      </c>
      <c r="AM52" s="59">
        <f t="shared" si="5"/>
        <v>582.78539180431949</v>
      </c>
      <c r="AN52" s="59">
        <f ca="1">AVERAGE(OFFSET($AM$3,0,0,'Données projet'!$E$10+1,1))-AVERAGE(OFFSET($H$3,0,0,'Données projet'!$E$10+1,1))</f>
        <v>141.22849894256314</v>
      </c>
      <c r="AO52" s="59">
        <f t="shared" si="36"/>
        <v>156.12101479343704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5.0487743782523218</v>
      </c>
      <c r="AV52" s="21">
        <f>EXP(-LN(2)/25)*AV51+(1-EXP(-LN(2)/25))/(LN(2)/25)*Calculateur!AQ52*Calculateur!AS52*VLOOKUP('Données projet'!$B$10,Paramètres!$A$1:$I$89,3,0)*0.475*44/12</f>
        <v>3.556286431770507</v>
      </c>
      <c r="AW52" s="21">
        <f>EXP(-LN(2)/2)*AW51+(1-EXP(-LN(2)/2))/(LN(2)/2)*AQ52*AT52*VLOOKUP('Données projet'!$B$10,Paramètres!$A$1:$I$89,3,0)*0.475*44/12</f>
        <v>4.0851589335973593E-3</v>
      </c>
      <c r="AX52" s="21">
        <f t="shared" si="6"/>
        <v>8.609145968956426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196.75</v>
      </c>
      <c r="BE52" s="13">
        <f>BD52*VLOOKUP('Données projet'!$B$11,Paramètres!$A$1:$I$89,3,0)*VLOOKUP('Données projet'!$B$11,Paramètres!$A$1:$I$89,5,0)</f>
        <v>86.96350000000001</v>
      </c>
      <c r="BF52" s="13">
        <f t="shared" si="37"/>
        <v>23.831437921766884</v>
      </c>
      <c r="BG52" s="20">
        <f t="shared" si="7"/>
        <v>192.96785021374399</v>
      </c>
      <c r="BH52" s="59">
        <f t="shared" si="8"/>
        <v>486.3011835470773</v>
      </c>
      <c r="BI52" s="59">
        <f ca="1">AVERAGE(OFFSET($BH$3,0,0,'Données projet'!$E$11+1,1))-AVERAGE(OFFSET($H$3,0,0,'Données projet'!$E$11+1,1))</f>
        <v>114.25511901730295</v>
      </c>
      <c r="BJ52" s="59">
        <f t="shared" si="38"/>
        <v>180.96261947642182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2.3464045773153299</v>
      </c>
      <c r="BQ52" s="21">
        <f>EXP(-LN(2)/25)*BQ51+(1-EXP(-LN(2)/25))/(LN(2)/25)*Calculateur!BL52*Calculateur!BN52*VLOOKUP('Données projet'!$B$11,Paramètres!$A$1:$I$89,3,0)*0.475*44/12</f>
        <v>10.51980811609069</v>
      </c>
      <c r="BR52" s="21">
        <f>EXP(-LN(2)/2)*BR51+(1-EXP(-LN(2)/2))/(LN(2)/2)*BL52*BO52*VLOOKUP('Données projet'!$B$11,Paramètres!$A$1:$I$89,3,0)*0.475*44/12</f>
        <v>9.4355424809354146E-3</v>
      </c>
      <c r="BS52" s="22">
        <f t="shared" si="9"/>
        <v>12.875648235886954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10.375</v>
      </c>
      <c r="BY52" s="12">
        <f>IF('Données projet'!$A$114&gt;35,BY51+BX52-CG51,IF(A52&lt;'Données projet'!$A$114,$BV$205^A52,IF(A52='Données projet'!$A$114,'Données projet'!$B$114,BY51+BX52-CG51)))</f>
        <v>238.87499999999991</v>
      </c>
      <c r="BZ52" s="13">
        <f>BY52*VLOOKUP('Données projet'!$B$12,Paramètres!$A$1:$I$89,3,0)*VLOOKUP('Données projet'!$B$12,Paramètres!$A$1:$I$89,5,0)</f>
        <v>186.32249999999993</v>
      </c>
      <c r="CA52" s="13">
        <f t="shared" si="39"/>
        <v>46.725987276254116</v>
      </c>
      <c r="CB52" s="20">
        <f t="shared" si="10"/>
        <v>405.8927820061424</v>
      </c>
      <c r="CC52" s="59">
        <f t="shared" si="11"/>
        <v>699.22611533947565</v>
      </c>
      <c r="CD52" s="59">
        <f ca="1">AVERAGE(OFFSET($CC$3,0,0,'Données projet'!$E$12+1,1))-AVERAGE(OFFSET($H$3,0,0,'Données projet'!$E$12+1,1))</f>
        <v>216.95993967070063</v>
      </c>
      <c r="CE52" s="59">
        <f t="shared" si="40"/>
        <v>208.79744153433245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3.5464246231531522</v>
      </c>
      <c r="CL52" s="21">
        <f>EXP(-LN(2)/25)*CL51+(1-EXP(-LN(2)/25))/(LN(2)/25)*Calculateur!CG52*Calculateur!CI52*VLOOKUP('Données projet'!$B$12,Paramètres!$A$1:$I$89,3,0)*0.475*44/12</f>
        <v>3.7894253103648414</v>
      </c>
      <c r="CM52" s="21">
        <f>EXP(-LN(2)/2)*CM51+(1-EXP(-LN(2)/2))/(LN(2)/2)*CG52*CJ52*VLOOKUP('Données projet'!$B$12,Paramètres!$A$1:$I$89,3,0)*0.475*44/12</f>
        <v>1.7036969418203827E-3</v>
      </c>
      <c r="CN52" s="22">
        <f t="shared" si="12"/>
        <v>7.3375536304598139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10.375</v>
      </c>
      <c r="CT52" s="12">
        <f>IF('Données projet'!$A$140&gt;35,CT51+CS52-DB51,IF(A52&lt;'Données projet'!$A$140,$CQ$205^A52,IF(A52='Données projet'!$A$140,'Données projet'!$B$140,CT51+CS52-DB51)))</f>
        <v>238.87499999999991</v>
      </c>
      <c r="CU52" s="17">
        <f>CT52*VLOOKUP('Données projet'!$B$13,Paramètres!$A$1:$I$89,3,0)*VLOOKUP('Données projet'!$B$13,Paramètres!$A$1:$I$89,5,0)</f>
        <v>160.23734999999994</v>
      </c>
      <c r="CV52" s="13">
        <f t="shared" si="41"/>
        <v>40.896045742271099</v>
      </c>
      <c r="CW52" s="20">
        <f t="shared" si="13"/>
        <v>350.3073309177887</v>
      </c>
      <c r="CX52" s="59">
        <f t="shared" si="14"/>
        <v>643.64066425112196</v>
      </c>
      <c r="CY52" s="59">
        <f ca="1">AVERAGE(OFFSET($CX$3,0,0,'Données projet'!$E$13+1,1))-AVERAGE(OFFSET($H$3,0,0,'Données projet'!$E$13+1,1))</f>
        <v>181.32837315090507</v>
      </c>
      <c r="CZ52" s="59">
        <f t="shared" si="42"/>
        <v>175.03267817980338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3.7592101005423375</v>
      </c>
      <c r="DG52" s="21">
        <f>EXP(-LN(2)/25)*DG51+(1-EXP(-LN(2)/25))/(LN(2)/25)*Calculateur!DB52*Calculateur!DD52*VLOOKUP('Données projet'!$B$13,Paramètres!$A$1:$I$89,3,0)*0.475*44/12</f>
        <v>4.0167908289867338</v>
      </c>
      <c r="DH52" s="21">
        <f>EXP(-LN(2)/2)*DH51+(1-EXP(-LN(2)/2))/(LN(2)/2)*DB52*DE52*VLOOKUP('Données projet'!$B$13,Paramètres!$A$1:$I$89,3,0)*0.475*44/12</f>
        <v>1.4651793699655285E-3</v>
      </c>
      <c r="DI52" s="22">
        <f t="shared" si="15"/>
        <v>7.7774661088990369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9.8000000000000007</v>
      </c>
      <c r="DO52" s="12">
        <f>IF('Données projet'!$A$166&gt;35,DO51+DN52-DW51,IF(A52&lt;'Données projet'!$A$166,$DL$205^A52,IF(A52='Données projet'!$A$166,'Données projet'!$B$166,DO51+DN52-DW51)))</f>
        <v>293.19999999999993</v>
      </c>
      <c r="DP52" s="17">
        <f>DO52*VLOOKUP('Données projet'!$B$14,Paramètres!$A$1:$I$89,3,0)*VLOOKUP('Données projet'!$B$14,Paramètres!$A$1:$I$89,5,0)</f>
        <v>233.26991999999993</v>
      </c>
      <c r="DQ52" s="13">
        <f t="shared" si="43"/>
        <v>56.989132736134763</v>
      </c>
      <c r="DR52" s="20">
        <f t="shared" si="16"/>
        <v>505.53451684876785</v>
      </c>
      <c r="DS52" s="59">
        <f t="shared" si="17"/>
        <v>798.86785018210117</v>
      </c>
      <c r="DT52" s="59">
        <f ca="1">AVERAGE(OFFSET($DS$3,0,0,'Données projet'!$E$14+1,1))-AVERAGE(OFFSET($H$3,0,0,'Données projet'!$E$14+1,1))</f>
        <v>325.72928944930294</v>
      </c>
      <c r="DU52" s="59">
        <f t="shared" si="44"/>
        <v>318.38876834819752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11.884788065496515</v>
      </c>
      <c r="EB52" s="21">
        <f>EXP(-LN(2)/25)*EB51+(1-EXP(-LN(2)/25))/(LN(2)/25)*Calculateur!DW52*Calculateur!DY52*VLOOKUP('Données projet'!$B$14,Paramètres!$A$1:$I$89,3,0)*0.475*44/12</f>
        <v>12.21139377115281</v>
      </c>
      <c r="EC52" s="21">
        <f>EXP(-LN(2)/2)*EC51+(1-EXP(-LN(2)/2))/(LN(2)/2)*DW52*DZ52*VLOOKUP('Données projet'!$B$14,Paramètres!$A$1:$I$89,3,0)*0.475*44/12</f>
        <v>1.6337648364738243E-2</v>
      </c>
      <c r="ED52" s="22">
        <f t="shared" si="18"/>
        <v>24.112519485014065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</v>
      </c>
      <c r="EJ52" s="12">
        <f>IF('Données projet'!$A$192&gt;35,EJ51+EI52-ER51,IF(A52&lt;'Données projet'!$A$192,$EG$205^A52,IF(A52='Données projet'!$A$192,'Données projet'!$B$192,EJ51+EI52-ER51)))</f>
        <v>220.00000000000003</v>
      </c>
      <c r="EK52" s="17">
        <f>EJ52*VLOOKUP('Données projet'!$B$15,Paramètres!$A$1:$I$89,3,0)*VLOOKUP('Données projet'!$B$15,Paramètres!$A$1:$I$89,5,0)</f>
        <v>223.08000000000004</v>
      </c>
      <c r="EL52" s="13">
        <f t="shared" si="45"/>
        <v>54.783765878062667</v>
      </c>
      <c r="EM52" s="20">
        <f t="shared" si="19"/>
        <v>483.94605890429256</v>
      </c>
      <c r="EN52" s="59">
        <f t="shared" si="20"/>
        <v>777.27939223762587</v>
      </c>
      <c r="EO52" s="59">
        <f ca="1">AVERAGE(OFFSET($EN$3,0,0,'Données projet'!$E$15+1,1))-AVERAGE(OFFSET($H$3,0,0,'Données projet'!$E$15+1,1))</f>
        <v>384.50065773787549</v>
      </c>
      <c r="EP52" s="59">
        <f t="shared" si="46"/>
        <v>231.92898690465887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5.6220413549131676</v>
      </c>
      <c r="EW52" s="21">
        <f>EXP(-LN(2)/25)*EW51+(1-EXP(-LN(2)/25))/(LN(2)/25)*Calculateur!ER52*Calculateur!ET52*VLOOKUP('Données projet'!$B$15,Paramètres!$A$1:$I$89,3,0)*0.475*44/12</f>
        <v>6.197256937227877</v>
      </c>
      <c r="EX52" s="21">
        <f>EXP(-LN(2)/2)*EX51+(1-EXP(-LN(2)/2))/(LN(2)/2)*ER52*EU52*VLOOKUP('Données projet'!$B$15,Paramètres!$A$1:$I$89,3,0)*0.475*44/12</f>
        <v>1.320977471759904E-2</v>
      </c>
      <c r="EY52" s="22">
        <f t="shared" si="21"/>
        <v>11.832508066858644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</v>
      </c>
      <c r="FE52" s="12">
        <f>IF('Données projet'!$A$218&gt;35,FE51+FD52-FM51,IF(A52&lt;'Données projet'!$A$218,$FB$205^A52,IF(A52='Données projet'!$A$218,'Données projet'!$B$218,FE51+FD52-FM51)))</f>
        <v>220.00000000000003</v>
      </c>
      <c r="FF52" s="17">
        <f>FE52*VLOOKUP('Données projet'!$B$16,Paramètres!$A$1:$I$89,3,0)*VLOOKUP('Données projet'!$B$16,Paramètres!$A$1:$I$89,5,0)</f>
        <v>199.05600000000001</v>
      </c>
      <c r="FG52" s="13">
        <f t="shared" si="47"/>
        <v>49.536648006253934</v>
      </c>
      <c r="FH52" s="20">
        <f t="shared" si="22"/>
        <v>432.96552861089231</v>
      </c>
      <c r="FI52" s="59">
        <f t="shared" si="23"/>
        <v>726.29886194422556</v>
      </c>
      <c r="FJ52" s="59">
        <f ca="1">AVERAGE(OFFSET($FI$3,0,0,'Données projet'!$E$16+1,1))-AVERAGE(OFFSET($H$3,0,0,'Données projet'!$E$16+1,1))</f>
        <v>326.46362829268969</v>
      </c>
      <c r="FK52" s="59">
        <f t="shared" si="48"/>
        <v>203.5274665601915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5.0165907474609783</v>
      </c>
      <c r="FR52" s="21">
        <f>EXP(-LN(2)/25)*FR51+(1-EXP(-LN(2)/25))/(LN(2)/25)*Calculateur!FM52*Calculateur!FO52*VLOOKUP('Données projet'!$B$16,Paramètres!$A$1:$I$89,3,0)*0.475*44/12</f>
        <v>5.5298600362956423</v>
      </c>
      <c r="FS52" s="21">
        <f>EXP(-LN(2)/2)*FS51+(1-EXP(-LN(2)/2))/(LN(2)/2)*FM52*FP52*VLOOKUP('Données projet'!$B$16,Paramètres!$A$1:$I$89,3,0)*0.475*44/12</f>
        <v>1.1787183594165297E-2</v>
      </c>
      <c r="FT52" s="22">
        <f t="shared" si="24"/>
        <v>10.558237967350786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</v>
      </c>
      <c r="FZ52" s="12">
        <f>IF('Données projet'!$A$244&gt;35,FZ51+FY52-GH51,IF(A52&lt;'Données projet'!$A$244,$FW$205^A52,IF(A52='Données projet'!$A$244,'Données projet'!$B$244,FZ51+FY52-GH51)))</f>
        <v>220.00000000000003</v>
      </c>
      <c r="GA52" s="17">
        <f>FZ52*VLOOKUP('Données projet'!$B$17,Paramètres!$A$1:$I$89,3,0)*VLOOKUP('Données projet'!$B$17,Paramètres!$A$1:$I$89,5,0)</f>
        <v>212.78400000000002</v>
      </c>
      <c r="GB52" s="13">
        <f t="shared" si="49"/>
        <v>52.543492641808065</v>
      </c>
      <c r="GC52" s="20">
        <f t="shared" si="25"/>
        <v>462.11204968448237</v>
      </c>
      <c r="GD52" s="59">
        <f t="shared" si="26"/>
        <v>755.44538301781563</v>
      </c>
      <c r="GE52" s="59">
        <f ca="1">AVERAGE(OFFSET($GD$3,0,0,'Données projet'!$E$17+1,1))-AVERAGE(OFFSET($H$3,0,0,'Données projet'!$E$17+1,1))</f>
        <v>353.24082990916918</v>
      </c>
      <c r="GF52" s="59">
        <f t="shared" si="50"/>
        <v>219.76562717496353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5.3625625231479441</v>
      </c>
      <c r="GM52" s="21">
        <f>EXP(-LN(2)/25)*GM51+(1-EXP(-LN(2)/25))/(LN(2)/25)*Calculateur!GH52*Calculateur!GJ52*VLOOKUP('Données projet'!$B$17,Paramètres!$A$1:$I$89,3,0)*0.475*44/12</f>
        <v>5.9112296939712055</v>
      </c>
      <c r="GN52" s="21">
        <f>EXP(-LN(2)/2)*GN51+(1-EXP(-LN(2)/2))/(LN(2)/2)*GH52*GK52*VLOOKUP('Données projet'!$B$17,Paramètres!$A$1:$I$89,3,0)*0.475*44/12</f>
        <v>1.260009280755601E-2</v>
      </c>
      <c r="GO52" s="21">
        <f t="shared" si="27"/>
        <v>11.286392309926706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378.17323480030268</v>
      </c>
      <c r="T53" s="59">
        <f t="shared" si="34"/>
        <v>471.89239871617241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2.9642134185233253</v>
      </c>
      <c r="AA53" s="21">
        <f>EXP(-LN(2)/25)*AA52+(1-EXP(-LN(2)/25))/(LN(2)/25)*Calculateur!V53*Calculateur!X53*VLOOKUP('Données projet'!$B$9,Paramètres!$A$1:$I$89,3,0)*0.475*44/12</f>
        <v>11.947264357548965</v>
      </c>
      <c r="AB53" s="21">
        <f>EXP(-LN(2)/2)*AB52+(1-EXP(-LN(2)/2))/(LN(2)/2)*V53*Y53*VLOOKUP('Données projet'!$B$9,Paramètres!$A$1:$I$89,3,0)*0.475*44/12</f>
        <v>1.0215420831126318E-2</v>
      </c>
      <c r="AC53" s="22">
        <f t="shared" si="3"/>
        <v>14.921693196903417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5.125</v>
      </c>
      <c r="AI53" s="13">
        <f>IF('Données projet'!$A$62&gt;35,AI52+AH53-AQ52,IF(A53&lt;'Données projet'!$A$62,$AF$205^A53,IF(A53='Données projet'!$A$62,'Données projet'!$B$62,AI52+AH53-AQ52)))</f>
        <v>225.5</v>
      </c>
      <c r="AJ53" s="13">
        <f>AI53*VLOOKUP('Données projet'!$B$10,Paramètres!$A$1:$I$89,3,0)*VLOOKUP('Données projet'!$B$10,Paramètres!$A$1:$I$89,5,0)</f>
        <v>134.84900000000002</v>
      </c>
      <c r="AK53" s="13">
        <f t="shared" si="35"/>
        <v>35.114421608496684</v>
      </c>
      <c r="AL53" s="20">
        <f t="shared" si="4"/>
        <v>296.01962596813172</v>
      </c>
      <c r="AM53" s="59">
        <f t="shared" si="5"/>
        <v>589.35295930146503</v>
      </c>
      <c r="AN53" s="59">
        <f ca="1">AVERAGE(OFFSET($AM$3,0,0,'Données projet'!$E$10+1,1))-AVERAGE(OFFSET($H$3,0,0,'Données projet'!$E$10+1,1))</f>
        <v>141.22849894256314</v>
      </c>
      <c r="AO53" s="59">
        <f t="shared" si="36"/>
        <v>156.12101479343704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4.9497709921430939</v>
      </c>
      <c r="AV53" s="21">
        <f>EXP(-LN(2)/25)*AV52+(1-EXP(-LN(2)/25))/(LN(2)/25)*Calculateur!AQ53*Calculateur!AS53*VLOOKUP('Données projet'!$B$10,Paramètres!$A$1:$I$89,3,0)*0.475*44/12</f>
        <v>3.4590395922767669</v>
      </c>
      <c r="AW53" s="21">
        <f>EXP(-LN(2)/2)*AW52+(1-EXP(-LN(2)/2))/(LN(2)/2)*AQ53*AT53*VLOOKUP('Données projet'!$B$10,Paramètres!$A$1:$I$89,3,0)*0.475*44/12</f>
        <v>2.8886435841714978E-3</v>
      </c>
      <c r="AX53" s="21">
        <f t="shared" si="6"/>
        <v>8.4116992280040321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206.5</v>
      </c>
      <c r="BE53" s="13">
        <f>BD53*VLOOKUP('Données projet'!$B$11,Paramètres!$A$1:$I$89,3,0)*VLOOKUP('Données projet'!$B$11,Paramètres!$A$1:$I$89,5,0)</f>
        <v>91.27300000000001</v>
      </c>
      <c r="BF53" s="13">
        <f t="shared" si="37"/>
        <v>24.871990522187609</v>
      </c>
      <c r="BG53" s="20">
        <f t="shared" si="7"/>
        <v>202.28585849281009</v>
      </c>
      <c r="BH53" s="59">
        <f t="shared" si="8"/>
        <v>495.61919182614338</v>
      </c>
      <c r="BI53" s="59">
        <f ca="1">AVERAGE(OFFSET($BH$3,0,0,'Données projet'!$E$11+1,1))-AVERAGE(OFFSET($H$3,0,0,'Données projet'!$E$11+1,1))</f>
        <v>114.25511901730295</v>
      </c>
      <c r="BJ53" s="59">
        <f t="shared" si="38"/>
        <v>180.96261947642182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2.3003930147196527</v>
      </c>
      <c r="BQ53" s="21">
        <f>EXP(-LN(2)/25)*BQ52+(1-EXP(-LN(2)/25))/(LN(2)/25)*Calculateur!BL53*Calculateur!BN53*VLOOKUP('Données projet'!$B$11,Paramètres!$A$1:$I$89,3,0)*0.475*44/12</f>
        <v>10.232143409943525</v>
      </c>
      <c r="BR53" s="21">
        <f>EXP(-LN(2)/2)*BR52+(1-EXP(-LN(2)/2))/(LN(2)/2)*BL53*BO53*VLOOKUP('Données projet'!$B$11,Paramètres!$A$1:$I$89,3,0)*0.475*44/12</f>
        <v>6.6719360724431728E-3</v>
      </c>
      <c r="BS53" s="22">
        <f t="shared" si="9"/>
        <v>12.539208360735621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10.375</v>
      </c>
      <c r="BY53" s="12">
        <f>IF('Données projet'!$A$114&gt;35,BY52+BX53-CG52,IF(A53&lt;'Données projet'!$A$114,$BV$205^A53,IF(A53='Données projet'!$A$114,'Données projet'!$B$114,BY52+BX53-CG52)))</f>
        <v>249.24999999999991</v>
      </c>
      <c r="BZ53" s="13">
        <f>BY53*VLOOKUP('Données projet'!$B$12,Paramètres!$A$1:$I$89,3,0)*VLOOKUP('Données projet'!$B$12,Paramètres!$A$1:$I$89,5,0)</f>
        <v>194.41499999999994</v>
      </c>
      <c r="CA53" s="13">
        <f t="shared" si="39"/>
        <v>48.514737888684927</v>
      </c>
      <c r="CB53" s="20">
        <f t="shared" si="10"/>
        <v>423.10262682279273</v>
      </c>
      <c r="CC53" s="59">
        <f t="shared" si="11"/>
        <v>716.43596015612604</v>
      </c>
      <c r="CD53" s="59">
        <f ca="1">AVERAGE(OFFSET($CC$3,0,0,'Données projet'!$E$12+1,1))-AVERAGE(OFFSET($H$3,0,0,'Données projet'!$E$12+1,1))</f>
        <v>216.95993967070063</v>
      </c>
      <c r="CE53" s="59">
        <f t="shared" si="40"/>
        <v>208.79744153433245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3.4768813993985499</v>
      </c>
      <c r="CL53" s="21">
        <f>EXP(-LN(2)/25)*CL52+(1-EXP(-LN(2)/25))/(LN(2)/25)*Calculateur!CG53*Calculateur!CI53*VLOOKUP('Données projet'!$B$12,Paramètres!$A$1:$I$89,3,0)*0.475*44/12</f>
        <v>3.6858032759756987</v>
      </c>
      <c r="CM53" s="21">
        <f>EXP(-LN(2)/2)*CM52+(1-EXP(-LN(2)/2))/(LN(2)/2)*CG53*CJ53*VLOOKUP('Données projet'!$B$12,Paramètres!$A$1:$I$89,3,0)*0.475*44/12</f>
        <v>1.2046956606479755E-3</v>
      </c>
      <c r="CN53" s="22">
        <f t="shared" si="12"/>
        <v>7.1638893710348963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10.375</v>
      </c>
      <c r="CT53" s="12">
        <f>IF('Données projet'!$A$140&gt;35,CT52+CS53-DB52,IF(A53&lt;'Données projet'!$A$140,$CQ$205^A53,IF(A53='Données projet'!$A$140,'Données projet'!$B$140,CT52+CS53-DB52)))</f>
        <v>249.24999999999991</v>
      </c>
      <c r="CU53" s="17">
        <f>CT53*VLOOKUP('Données projet'!$B$13,Paramètres!$A$1:$I$89,3,0)*VLOOKUP('Données projet'!$B$13,Paramètres!$A$1:$I$89,5,0)</f>
        <v>167.19689999999994</v>
      </c>
      <c r="CV53" s="13">
        <f t="shared" si="41"/>
        <v>42.461616233804868</v>
      </c>
      <c r="CW53" s="20">
        <f t="shared" si="13"/>
        <v>365.15524910721001</v>
      </c>
      <c r="CX53" s="59">
        <f t="shared" si="14"/>
        <v>658.48858244054327</v>
      </c>
      <c r="CY53" s="59">
        <f ca="1">AVERAGE(OFFSET($CX$3,0,0,'Données projet'!$E$13+1,1))-AVERAGE(OFFSET($H$3,0,0,'Données projet'!$E$13+1,1))</f>
        <v>181.32837315090507</v>
      </c>
      <c r="CZ53" s="59">
        <f t="shared" si="42"/>
        <v>175.03267817980338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3.6854942833624595</v>
      </c>
      <c r="DG53" s="21">
        <f>EXP(-LN(2)/25)*DG52+(1-EXP(-LN(2)/25))/(LN(2)/25)*Calculateur!DB53*Calculateur!DD53*VLOOKUP('Données projet'!$B$13,Paramètres!$A$1:$I$89,3,0)*0.475*44/12</f>
        <v>3.9069514725342422</v>
      </c>
      <c r="DH53" s="21">
        <f>EXP(-LN(2)/2)*DH52+(1-EXP(-LN(2)/2))/(LN(2)/2)*DB53*DE53*VLOOKUP('Données projet'!$B$13,Paramètres!$A$1:$I$89,3,0)*0.475*44/12</f>
        <v>1.0360382681572585E-3</v>
      </c>
      <c r="DI53" s="22">
        <f t="shared" si="15"/>
        <v>7.5934817941648589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303</v>
      </c>
      <c r="DM53" s="12">
        <f>VLOOKUP(A53,'Données projet'!$A$165:$I$185,9,0)</f>
        <v>9.8000000000000007</v>
      </c>
      <c r="DN53" s="12">
        <f t="array" ref="DN53">INDEX(DM:DM,MIN(IF(ISNUMBER(DM53:DM249),ROW(DM53:DM249),"")))</f>
        <v>9.8000000000000007</v>
      </c>
      <c r="DO53" s="12">
        <f>IF('Données projet'!$A$166&gt;35,DO52+DN53-DW52,IF(A53&lt;'Données projet'!$A$166,$DL$205^A53,IF(A53='Données projet'!$A$166,'Données projet'!$B$166,DO52+DN53-DW52)))</f>
        <v>302.99999999999994</v>
      </c>
      <c r="DP53" s="17">
        <f>DO53*VLOOKUP('Données projet'!$B$14,Paramètres!$A$1:$I$89,3,0)*VLOOKUP('Données projet'!$B$14,Paramètres!$A$1:$I$89,5,0)</f>
        <v>241.06679999999997</v>
      </c>
      <c r="DQ53" s="13">
        <f t="shared" si="43"/>
        <v>58.668998418543559</v>
      </c>
      <c r="DR53" s="20">
        <f t="shared" si="16"/>
        <v>522.03984891229663</v>
      </c>
      <c r="DS53" s="59">
        <f t="shared" si="17"/>
        <v>815.37318224563001</v>
      </c>
      <c r="DT53" s="59">
        <f ca="1">AVERAGE(OFFSET($DS$3,0,0,'Données projet'!$E$14+1,1))-AVERAGE(OFFSET($H$3,0,0,'Données projet'!$E$14+1,1))</f>
        <v>325.72928944930294</v>
      </c>
      <c r="DU53" s="59">
        <f t="shared" si="44"/>
        <v>318.38876834819752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11.651734620537068</v>
      </c>
      <c r="EB53" s="21">
        <f>EXP(-LN(2)/25)*EB52+(1-EXP(-LN(2)/25))/(LN(2)/25)*Calculateur!DW53*Calculateur!DY53*VLOOKUP('Données projet'!$B$14,Paramètres!$A$1:$I$89,3,0)*0.475*44/12</f>
        <v>11.877472566311347</v>
      </c>
      <c r="EC53" s="21">
        <f>EXP(-LN(2)/2)*EC52+(1-EXP(-LN(2)/2))/(LN(2)/2)*DW53*DZ53*VLOOKUP('Données projet'!$B$14,Paramètres!$A$1:$I$89,3,0)*0.475*44/12</f>
        <v>1.1552461947347721E-2</v>
      </c>
      <c r="ED53" s="22">
        <f t="shared" si="18"/>
        <v>23.540759648795763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231</v>
      </c>
      <c r="EH53" s="12">
        <f>VLOOKUP(A53,'Données projet'!$A$191:$I$211,9,0)</f>
        <v>11</v>
      </c>
      <c r="EI53" s="12">
        <f t="array" ref="EI53">INDEX(EH:EH,MIN(IF(ISNUMBER(EH53:EH249),ROW(EH53:EH249),"")))</f>
        <v>11</v>
      </c>
      <c r="EJ53" s="12">
        <f>IF('Données projet'!$A$192&gt;35,EJ52+EI53-ER52,IF(A53&lt;'Données projet'!$A$192,$EG$205^A53,IF(A53='Données projet'!$A$192,'Données projet'!$B$192,EJ52+EI53-ER52)))</f>
        <v>231.00000000000003</v>
      </c>
      <c r="EK53" s="17">
        <f>EJ53*VLOOKUP('Données projet'!$B$15,Paramètres!$A$1:$I$89,3,0)*VLOOKUP('Données projet'!$B$15,Paramètres!$A$1:$I$89,5,0)</f>
        <v>234.23400000000007</v>
      </c>
      <c r="EL53" s="13">
        <f t="shared" si="45"/>
        <v>57.197197133603488</v>
      </c>
      <c r="EM53" s="20">
        <f t="shared" si="19"/>
        <v>507.57600167435953</v>
      </c>
      <c r="EN53" s="59">
        <f t="shared" si="20"/>
        <v>800.90933500769279</v>
      </c>
      <c r="EO53" s="59">
        <f ca="1">AVERAGE(OFFSET($EN$3,0,0,'Données projet'!$E$15+1,1))-AVERAGE(OFFSET($H$3,0,0,'Données projet'!$E$15+1,1))</f>
        <v>384.50065773787549</v>
      </c>
      <c r="EP53" s="59">
        <f t="shared" si="46"/>
        <v>231.92898690465887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28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5.5117965530499511</v>
      </c>
      <c r="EW53" s="21">
        <f>EXP(-LN(2)/25)*EW52+(1-EXP(-LN(2)/25))/(LN(2)/25)*Calculateur!ER53*Calculateur!ET53*VLOOKUP('Données projet'!$B$15,Paramètres!$A$1:$I$89,3,0)*0.475*44/12</f>
        <v>6.0277926203798025</v>
      </c>
      <c r="EX53" s="21">
        <f>EXP(-LN(2)/2)*EX52+(1-EXP(-LN(2)/2))/(LN(2)/2)*ER53*EU53*VLOOKUP('Données projet'!$B$15,Paramètres!$A$1:$I$89,3,0)*0.475*44/12</f>
        <v>9.3407212807608917E-3</v>
      </c>
      <c r="EY53" s="22">
        <f t="shared" si="21"/>
        <v>11.548929894710515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231</v>
      </c>
      <c r="FC53" s="12">
        <f>VLOOKUP(A53,'Données projet'!$A$217:$I$237,9,0)</f>
        <v>11</v>
      </c>
      <c r="FD53" s="12">
        <f t="array" ref="FD53">INDEX(FC:FC,MIN(IF(ISNUMBER(FC53:FC249),ROW(FC53:FC249),"")))</f>
        <v>11</v>
      </c>
      <c r="FE53" s="12">
        <f>IF('Données projet'!$A$218&gt;35,FE52+FD53-FM52,IF(A53&lt;'Données projet'!$A$218,$FB$205^A53,IF(A53='Données projet'!$A$218,'Données projet'!$B$218,FE52+FD53-FM52)))</f>
        <v>231.00000000000003</v>
      </c>
      <c r="FF53" s="17">
        <f>FE53*VLOOKUP('Données projet'!$B$16,Paramètres!$A$1:$I$89,3,0)*VLOOKUP('Données projet'!$B$16,Paramètres!$A$1:$I$89,5,0)</f>
        <v>209.00880000000004</v>
      </c>
      <c r="FG53" s="13">
        <f t="shared" si="47"/>
        <v>51.718923953824252</v>
      </c>
      <c r="FH53" s="20">
        <f t="shared" si="22"/>
        <v>454.10078588624395</v>
      </c>
      <c r="FI53" s="59">
        <f t="shared" si="23"/>
        <v>747.43411921957727</v>
      </c>
      <c r="FJ53" s="59">
        <f ca="1">AVERAGE(OFFSET($FI$3,0,0,'Données projet'!$E$16+1,1))-AVERAGE(OFFSET($H$3,0,0,'Données projet'!$E$16+1,1))</f>
        <v>326.46362829268969</v>
      </c>
      <c r="FK53" s="59">
        <f t="shared" si="48"/>
        <v>203.5274665601915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28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4.9182184627214927</v>
      </c>
      <c r="FR53" s="21">
        <f>EXP(-LN(2)/25)*FR52+(1-EXP(-LN(2)/25))/(LN(2)/25)*Calculateur!FM53*Calculateur!FO53*VLOOKUP('Données projet'!$B$16,Paramètres!$A$1:$I$89,3,0)*0.475*44/12</f>
        <v>5.378645722800437</v>
      </c>
      <c r="FS53" s="21">
        <f>EXP(-LN(2)/2)*FS52+(1-EXP(-LN(2)/2))/(LN(2)/2)*FM53*FP53*VLOOKUP('Données projet'!$B$16,Paramètres!$A$1:$I$89,3,0)*0.475*44/12</f>
        <v>8.334797450525103E-3</v>
      </c>
      <c r="FT53" s="22">
        <f t="shared" si="24"/>
        <v>10.305198982972454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231</v>
      </c>
      <c r="FX53" s="12">
        <f>VLOOKUP(A53,'Données projet'!$A$243:$I$263,9,0)</f>
        <v>11</v>
      </c>
      <c r="FY53" s="12">
        <f t="array" ref="FY53">INDEX(FX:FX,MIN(IF(ISNUMBER(FX53:FX249),ROW(FX53:FX249),"")))</f>
        <v>11</v>
      </c>
      <c r="FZ53" s="12">
        <f>IF('Données projet'!$A$244&gt;35,FZ52+FY53-GH52,IF(A53&lt;'Données projet'!$A$244,$FW$205^A53,IF(A53='Données projet'!$A$244,'Données projet'!$B$244,FZ52+FY53-GH52)))</f>
        <v>231.00000000000003</v>
      </c>
      <c r="GA53" s="17">
        <f>FZ53*VLOOKUP('Données projet'!$B$17,Paramètres!$A$1:$I$89,3,0)*VLOOKUP('Données projet'!$B$17,Paramètres!$A$1:$I$89,5,0)</f>
        <v>223.42320000000004</v>
      </c>
      <c r="GB53" s="13">
        <f t="shared" si="49"/>
        <v>54.858231422257631</v>
      </c>
      <c r="GC53" s="20">
        <f t="shared" si="25"/>
        <v>484.67349306043207</v>
      </c>
      <c r="GD53" s="59">
        <f t="shared" si="26"/>
        <v>778.00682639376532</v>
      </c>
      <c r="GE53" s="59">
        <f ca="1">AVERAGE(OFFSET($GD$3,0,0,'Données projet'!$E$17+1,1))-AVERAGE(OFFSET($H$3,0,0,'Données projet'!$E$17+1,1))</f>
        <v>353.24082990916918</v>
      </c>
      <c r="GF53" s="59">
        <f t="shared" si="50"/>
        <v>219.76562717496353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28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5.2574059429091831</v>
      </c>
      <c r="GM53" s="21">
        <f>EXP(-LN(2)/25)*GM52+(1-EXP(-LN(2)/25))/(LN(2)/25)*Calculateur!GH53*Calculateur!GJ53*VLOOKUP('Données projet'!$B$17,Paramètres!$A$1:$I$89,3,0)*0.475*44/12</f>
        <v>5.7495868071315037</v>
      </c>
      <c r="GN53" s="21">
        <f>EXP(-LN(2)/2)*GN52+(1-EXP(-LN(2)/2))/(LN(2)/2)*GH53*GK53*VLOOKUP('Données projet'!$B$17,Paramètres!$A$1:$I$89,3,0)*0.475*44/12</f>
        <v>8.9096110678026988E-3</v>
      </c>
      <c r="GO53" s="21">
        <f t="shared" si="27"/>
        <v>11.015902361108491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378.17323480030268</v>
      </c>
      <c r="T54" s="59">
        <f t="shared" si="34"/>
        <v>471.89239871617241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2.906087001377744</v>
      </c>
      <c r="AA54" s="21">
        <f>EXP(-LN(2)/25)*AA53+(1-EXP(-LN(2)/25))/(LN(2)/25)*Calculateur!V54*Calculateur!X54*VLOOKUP('Données projet'!$B$9,Paramètres!$A$1:$I$89,3,0)*0.475*44/12</f>
        <v>11.620565785412461</v>
      </c>
      <c r="AB54" s="21">
        <f>EXP(-LN(2)/2)*AB53+(1-EXP(-LN(2)/2))/(LN(2)/2)*V54*Y54*VLOOKUP('Données projet'!$B$9,Paramètres!$A$1:$I$89,3,0)*0.475*44/12</f>
        <v>7.223393342363737E-3</v>
      </c>
      <c r="AC54" s="22">
        <f t="shared" si="3"/>
        <v>14.533876180132568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5.125</v>
      </c>
      <c r="AI54" s="13">
        <f>IF('Données projet'!$A$62&gt;35,AI53+AH54-AQ53,IF(A54&lt;'Données projet'!$A$62,$AF$205^A54,IF(A54='Données projet'!$A$62,'Données projet'!$B$62,AI53+AH54-AQ53)))</f>
        <v>230.625</v>
      </c>
      <c r="AJ54" s="13">
        <f>AI54*VLOOKUP('Données projet'!$B$10,Paramètres!$A$1:$I$89,3,0)*VLOOKUP('Données projet'!$B$10,Paramètres!$A$1:$I$89,5,0)</f>
        <v>137.91375000000002</v>
      </c>
      <c r="AK54" s="13">
        <f t="shared" si="35"/>
        <v>35.818658097691937</v>
      </c>
      <c r="AL54" s="20">
        <f t="shared" si="4"/>
        <v>302.58394410348018</v>
      </c>
      <c r="AM54" s="59">
        <f t="shared" si="5"/>
        <v>595.91727743681349</v>
      </c>
      <c r="AN54" s="59">
        <f ca="1">AVERAGE(OFFSET($AM$3,0,0,'Données projet'!$E$10+1,1))-AVERAGE(OFFSET($H$3,0,0,'Données projet'!$E$10+1,1))</f>
        <v>141.22849894256314</v>
      </c>
      <c r="AO54" s="59">
        <f t="shared" si="36"/>
        <v>156.12101479343704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4.8527090020493651</v>
      </c>
      <c r="AV54" s="21">
        <f>EXP(-LN(2)/25)*AV53+(1-EXP(-LN(2)/25))/(LN(2)/25)*Calculateur!AQ54*Calculateur!AS54*VLOOKUP('Données projet'!$B$10,Paramètres!$A$1:$I$89,3,0)*0.475*44/12</f>
        <v>3.3644519727229723</v>
      </c>
      <c r="AW54" s="21">
        <f>EXP(-LN(2)/2)*AW53+(1-EXP(-LN(2)/2))/(LN(2)/2)*AQ54*AT54*VLOOKUP('Données projet'!$B$10,Paramètres!$A$1:$I$89,3,0)*0.475*44/12</f>
        <v>2.0425794667986797E-3</v>
      </c>
      <c r="AX54" s="21">
        <f t="shared" si="6"/>
        <v>8.2192035542391366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216.25</v>
      </c>
      <c r="BE54" s="13">
        <f>BD54*VLOOKUP('Données projet'!$B$11,Paramètres!$A$1:$I$89,3,0)*VLOOKUP('Données projet'!$B$11,Paramètres!$A$1:$I$89,5,0)</f>
        <v>95.58250000000001</v>
      </c>
      <c r="BF54" s="13">
        <f t="shared" si="37"/>
        <v>25.906837814277726</v>
      </c>
      <c r="BG54" s="20">
        <f t="shared" si="7"/>
        <v>211.59393002653371</v>
      </c>
      <c r="BH54" s="59">
        <f t="shared" si="8"/>
        <v>504.92726335986703</v>
      </c>
      <c r="BI54" s="59">
        <f ca="1">AVERAGE(OFFSET($BH$3,0,0,'Données projet'!$E$11+1,1))-AVERAGE(OFFSET($H$3,0,0,'Données projet'!$E$11+1,1))</f>
        <v>114.25511901730295</v>
      </c>
      <c r="BJ54" s="59">
        <f t="shared" si="38"/>
        <v>180.96261947642182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2.2552837108021948</v>
      </c>
      <c r="BQ54" s="21">
        <f>EXP(-LN(2)/25)*BQ53+(1-EXP(-LN(2)/25))/(LN(2)/25)*Calculateur!BL54*Calculateur!BN54*VLOOKUP('Données projet'!$B$11,Paramètres!$A$1:$I$89,3,0)*0.475*44/12</f>
        <v>9.9523449103135828</v>
      </c>
      <c r="BR54" s="21">
        <f>EXP(-LN(2)/2)*BR53+(1-EXP(-LN(2)/2))/(LN(2)/2)*BL54*BO54*VLOOKUP('Données projet'!$B$11,Paramètres!$A$1:$I$89,3,0)*0.475*44/12</f>
        <v>4.7177712404677082E-3</v>
      </c>
      <c r="BS54" s="22">
        <f t="shared" si="9"/>
        <v>12.212346392356245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10.375</v>
      </c>
      <c r="BY54" s="12">
        <f>IF('Données projet'!$A$114&gt;35,BY53+BX54-CG53,IF(A54&lt;'Données projet'!$A$114,$BV$205^A54,IF(A54='Données projet'!$A$114,'Données projet'!$B$114,BY53+BX54-CG53)))</f>
        <v>259.62499999999989</v>
      </c>
      <c r="BZ54" s="13">
        <f>BY54*VLOOKUP('Données projet'!$B$12,Paramètres!$A$1:$I$89,3,0)*VLOOKUP('Données projet'!$B$12,Paramètres!$A$1:$I$89,5,0)</f>
        <v>202.50749999999991</v>
      </c>
      <c r="CA54" s="13">
        <f t="shared" si="39"/>
        <v>50.294840086606349</v>
      </c>
      <c r="CB54" s="20">
        <f t="shared" si="10"/>
        <v>440.29740898417253</v>
      </c>
      <c r="CC54" s="59">
        <f t="shared" si="11"/>
        <v>733.63074231750579</v>
      </c>
      <c r="CD54" s="59">
        <f ca="1">AVERAGE(OFFSET($CC$3,0,0,'Données projet'!$E$12+1,1))-AVERAGE(OFFSET($H$3,0,0,'Données projet'!$E$12+1,1))</f>
        <v>216.95993967070063</v>
      </c>
      <c r="CE54" s="59">
        <f t="shared" si="40"/>
        <v>208.79744153433245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3.4087018758445975</v>
      </c>
      <c r="CL54" s="21">
        <f>EXP(-LN(2)/25)*CL53+(1-EXP(-LN(2)/25))/(LN(2)/25)*Calculateur!CG54*Calculateur!CI54*VLOOKUP('Données projet'!$B$12,Paramètres!$A$1:$I$89,3,0)*0.475*44/12</f>
        <v>3.5850147915661728</v>
      </c>
      <c r="CM54" s="21">
        <f>EXP(-LN(2)/2)*CM53+(1-EXP(-LN(2)/2))/(LN(2)/2)*CG54*CJ54*VLOOKUP('Données projet'!$B$12,Paramètres!$A$1:$I$89,3,0)*0.475*44/12</f>
        <v>8.5184847091019137E-4</v>
      </c>
      <c r="CN54" s="22">
        <f t="shared" si="12"/>
        <v>6.9945685158816806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10.375</v>
      </c>
      <c r="CT54" s="12">
        <f>IF('Données projet'!$A$140&gt;35,CT53+CS54-DB53,IF(A54&lt;'Données projet'!$A$140,$CQ$205^A54,IF(A54='Données projet'!$A$140,'Données projet'!$B$140,CT53+CS54-DB53)))</f>
        <v>259.62499999999989</v>
      </c>
      <c r="CU54" s="17">
        <f>CT54*VLOOKUP('Données projet'!$B$13,Paramètres!$A$1:$I$89,3,0)*VLOOKUP('Données projet'!$B$13,Paramètres!$A$1:$I$89,5,0)</f>
        <v>174.15644999999992</v>
      </c>
      <c r="CV54" s="13">
        <f t="shared" si="41"/>
        <v>44.019617362421101</v>
      </c>
      <c r="CW54" s="20">
        <f t="shared" si="13"/>
        <v>379.9899839895499</v>
      </c>
      <c r="CX54" s="59">
        <f t="shared" si="14"/>
        <v>673.32331732288321</v>
      </c>
      <c r="CY54" s="59">
        <f ca="1">AVERAGE(OFFSET($CX$3,0,0,'Données projet'!$E$13+1,1))-AVERAGE(OFFSET($H$3,0,0,'Données projet'!$E$13+1,1))</f>
        <v>181.32837315090507</v>
      </c>
      <c r="CZ54" s="59">
        <f t="shared" si="42"/>
        <v>175.03267817980338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3.6132239883952701</v>
      </c>
      <c r="DG54" s="21">
        <f>EXP(-LN(2)/25)*DG53+(1-EXP(-LN(2)/25))/(LN(2)/25)*Calculateur!DB54*Calculateur!DD54*VLOOKUP('Données projet'!$B$13,Paramètres!$A$1:$I$89,3,0)*0.475*44/12</f>
        <v>3.8001156790601449</v>
      </c>
      <c r="DH54" s="21">
        <f>EXP(-LN(2)/2)*DH53+(1-EXP(-LN(2)/2))/(LN(2)/2)*DB54*DE54*VLOOKUP('Données projet'!$B$13,Paramètres!$A$1:$I$89,3,0)*0.475*44/12</f>
        <v>7.3258968498276426E-4</v>
      </c>
      <c r="DI54" s="22">
        <f t="shared" si="15"/>
        <v>7.4140722571403979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8.4</v>
      </c>
      <c r="DO54" s="12">
        <f>IF('Données projet'!$A$166&gt;35,DO53+DN54-DW53,IF(A54&lt;'Données projet'!$A$166,$DL$205^A54,IF(A54='Données projet'!$A$166,'Données projet'!$B$166,DO53+DN54-DW53)))</f>
        <v>290.39999999999992</v>
      </c>
      <c r="DP54" s="17">
        <f>DO54*VLOOKUP('Données projet'!$B$14,Paramètres!$A$1:$I$89,3,0)*VLOOKUP('Données projet'!$B$14,Paramètres!$A$1:$I$89,5,0)</f>
        <v>231.04223999999994</v>
      </c>
      <c r="DQ54" s="13">
        <f t="shared" si="43"/>
        <v>56.507978852931409</v>
      </c>
      <c r="DR54" s="20">
        <f t="shared" si="16"/>
        <v>500.81663116885539</v>
      </c>
      <c r="DS54" s="59">
        <f t="shared" si="17"/>
        <v>794.14996450218871</v>
      </c>
      <c r="DT54" s="59">
        <f ca="1">AVERAGE(OFFSET($DS$3,0,0,'Données projet'!$E$14+1,1))-AVERAGE(OFFSET($H$3,0,0,'Données projet'!$E$14+1,1))</f>
        <v>325.72928944930294</v>
      </c>
      <c r="DU54" s="59">
        <f t="shared" si="44"/>
        <v>318.38876834819752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11.423251211484711</v>
      </c>
      <c r="EB54" s="21">
        <f>EXP(-LN(2)/25)*EB53+(1-EXP(-LN(2)/25))/(LN(2)/25)*Calculateur!DW54*Calculateur!DY54*VLOOKUP('Données projet'!$B$14,Paramètres!$A$1:$I$89,3,0)*0.475*44/12</f>
        <v>11.552682454376427</v>
      </c>
      <c r="EC54" s="21">
        <f>EXP(-LN(2)/2)*EC53+(1-EXP(-LN(2)/2))/(LN(2)/2)*DW54*DZ54*VLOOKUP('Données projet'!$B$14,Paramètres!$A$1:$I$89,3,0)*0.475*44/12</f>
        <v>8.1688241823691214E-3</v>
      </c>
      <c r="ED54" s="22">
        <f t="shared" si="18"/>
        <v>22.984102490043508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10.199999999999999</v>
      </c>
      <c r="EJ54" s="12">
        <f>IF('Données projet'!$A$192&gt;35,EJ53+EI54-ER53,IF(A54&lt;'Données projet'!$A$192,$EG$205^A54,IF(A54='Données projet'!$A$192,'Données projet'!$B$192,EJ53+EI54-ER53)))</f>
        <v>213.20000000000002</v>
      </c>
      <c r="EK54" s="17">
        <f>EJ54*VLOOKUP('Données projet'!$B$15,Paramètres!$A$1:$I$89,3,0)*VLOOKUP('Données projet'!$B$15,Paramètres!$A$1:$I$89,5,0)</f>
        <v>216.18480000000002</v>
      </c>
      <c r="EL54" s="13">
        <f t="shared" si="45"/>
        <v>53.284828478170375</v>
      </c>
      <c r="EM54" s="20">
        <f t="shared" si="19"/>
        <v>469.3262695994801</v>
      </c>
      <c r="EN54" s="59">
        <f t="shared" si="20"/>
        <v>762.65960293281341</v>
      </c>
      <c r="EO54" s="59">
        <f ca="1">AVERAGE(OFFSET($EN$3,0,0,'Données projet'!$E$15+1,1))-AVERAGE(OFFSET($H$3,0,0,'Données projet'!$E$15+1,1))</f>
        <v>384.50065773787549</v>
      </c>
      <c r="EP54" s="59">
        <f t="shared" si="46"/>
        <v>231.92898690465887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5.4037135845085826</v>
      </c>
      <c r="EW54" s="21">
        <f>EXP(-LN(2)/25)*EW53+(1-EXP(-LN(2)/25))/(LN(2)/25)*Calculateur!ER54*Calculateur!ET54*VLOOKUP('Données projet'!$B$15,Paramètres!$A$1:$I$89,3,0)*0.475*44/12</f>
        <v>5.8629623141876799</v>
      </c>
      <c r="EX54" s="21">
        <f>EXP(-LN(2)/2)*EX53+(1-EXP(-LN(2)/2))/(LN(2)/2)*ER54*EU54*VLOOKUP('Données projet'!$B$15,Paramètres!$A$1:$I$89,3,0)*0.475*44/12</f>
        <v>6.6048873587995199E-3</v>
      </c>
      <c r="EY54" s="22">
        <f t="shared" si="21"/>
        <v>11.273280786055063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10.199999999999999</v>
      </c>
      <c r="FE54" s="12">
        <f>IF('Données projet'!$A$218&gt;35,FE53+FD54-FM53,IF(A54&lt;'Données projet'!$A$218,$FB$205^A54,IF(A54='Données projet'!$A$218,'Données projet'!$B$218,FE53+FD54-FM53)))</f>
        <v>213.20000000000002</v>
      </c>
      <c r="FF54" s="17">
        <f>FE54*VLOOKUP('Données projet'!$B$16,Paramètres!$A$1:$I$89,3,0)*VLOOKUP('Données projet'!$B$16,Paramètres!$A$1:$I$89,5,0)</f>
        <v>192.90336000000002</v>
      </c>
      <c r="FG54" s="13">
        <f t="shared" si="47"/>
        <v>48.181276881765257</v>
      </c>
      <c r="FH54" s="20">
        <f t="shared" si="22"/>
        <v>419.88907590240791</v>
      </c>
      <c r="FI54" s="59">
        <f t="shared" si="23"/>
        <v>713.22240923574122</v>
      </c>
      <c r="FJ54" s="59">
        <f ca="1">AVERAGE(OFFSET($FI$3,0,0,'Données projet'!$E$16+1,1))-AVERAGE(OFFSET($H$3,0,0,'Données projet'!$E$16+1,1))</f>
        <v>326.46362829268969</v>
      </c>
      <c r="FK54" s="59">
        <f t="shared" si="48"/>
        <v>203.5274665601915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4.8217751984845787</v>
      </c>
      <c r="FR54" s="21">
        <f>EXP(-LN(2)/25)*FR53+(1-EXP(-LN(2)/25))/(LN(2)/25)*Calculateur!FM54*Calculateur!FO54*VLOOKUP('Données projet'!$B$16,Paramètres!$A$1:$I$89,3,0)*0.475*44/12</f>
        <v>5.2315663726597732</v>
      </c>
      <c r="FS54" s="21">
        <f>EXP(-LN(2)/2)*FS53+(1-EXP(-LN(2)/2))/(LN(2)/2)*FM54*FP54*VLOOKUP('Données projet'!$B$16,Paramètres!$A$1:$I$89,3,0)*0.475*44/12</f>
        <v>5.8935917970826483E-3</v>
      </c>
      <c r="FT54" s="22">
        <f t="shared" si="24"/>
        <v>10.059235162941434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10.199999999999999</v>
      </c>
      <c r="FZ54" s="12">
        <f>IF('Données projet'!$A$244&gt;35,FZ53+FY54-GH53,IF(A54&lt;'Données projet'!$A$244,$FW$205^A54,IF(A54='Données projet'!$A$244,'Données projet'!$B$244,FZ53+FY54-GH53)))</f>
        <v>213.20000000000002</v>
      </c>
      <c r="GA54" s="17">
        <f>FZ54*VLOOKUP('Données projet'!$B$17,Paramètres!$A$1:$I$89,3,0)*VLOOKUP('Données projet'!$B$17,Paramètres!$A$1:$I$89,5,0)</f>
        <v>206.20704000000001</v>
      </c>
      <c r="GB54" s="13">
        <f t="shared" si="49"/>
        <v>51.105851308113081</v>
      </c>
      <c r="GC54" s="20">
        <f t="shared" si="25"/>
        <v>448.15328569496359</v>
      </c>
      <c r="GD54" s="59">
        <f t="shared" si="26"/>
        <v>741.4866190282969</v>
      </c>
      <c r="GE54" s="59">
        <f ca="1">AVERAGE(OFFSET($GD$3,0,0,'Données projet'!$E$17+1,1))-AVERAGE(OFFSET($H$3,0,0,'Données projet'!$E$17+1,1))</f>
        <v>353.24082990916918</v>
      </c>
      <c r="GF54" s="59">
        <f t="shared" si="50"/>
        <v>219.76562717496353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5.1543114190697237</v>
      </c>
      <c r="GM54" s="21">
        <f>EXP(-LN(2)/25)*GM53+(1-EXP(-LN(2)/25))/(LN(2)/25)*Calculateur!GH54*Calculateur!GJ54*VLOOKUP('Données projet'!$B$17,Paramètres!$A$1:$I$89,3,0)*0.475*44/12</f>
        <v>5.5923640535328634</v>
      </c>
      <c r="GN54" s="21">
        <f>EXP(-LN(2)/2)*GN53+(1-EXP(-LN(2)/2))/(LN(2)/2)*GH54*GK54*VLOOKUP('Données projet'!$B$17,Paramètres!$A$1:$I$89,3,0)*0.475*44/12</f>
        <v>6.3000464037780051E-3</v>
      </c>
      <c r="GO54" s="21">
        <f t="shared" si="27"/>
        <v>10.752975519006364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378.17323480030268</v>
      </c>
      <c r="T55" s="59">
        <f t="shared" si="34"/>
        <v>471.89239871617241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2.8491004078187738</v>
      </c>
      <c r="AA55" s="21">
        <f>EXP(-LN(2)/25)*AA54+(1-EXP(-LN(2)/25))/(LN(2)/25)*Calculateur!V55*Calculateur!X55*VLOOKUP('Données projet'!$B$9,Paramètres!$A$1:$I$89,3,0)*0.475*44/12</f>
        <v>11.302800802911362</v>
      </c>
      <c r="AB55" s="21">
        <f>EXP(-LN(2)/2)*AB54+(1-EXP(-LN(2)/2))/(LN(2)/2)*V55*Y55*VLOOKUP('Données projet'!$B$9,Paramètres!$A$1:$I$89,3,0)*0.475*44/12</f>
        <v>5.1077104155631591E-3</v>
      </c>
      <c r="AC55" s="22">
        <f t="shared" si="3"/>
        <v>14.1570089211457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5.125</v>
      </c>
      <c r="AI55" s="13">
        <f>IF('Données projet'!$A$62&gt;35,AI54+AH55-AQ54,IF(A55&lt;'Données projet'!$A$62,$AF$205^A55,IF(A55='Données projet'!$A$62,'Données projet'!$B$62,AI54+AH55-AQ54)))</f>
        <v>235.75</v>
      </c>
      <c r="AJ55" s="13">
        <f>AI55*VLOOKUP('Données projet'!$B$10,Paramètres!$A$1:$I$89,3,0)*VLOOKUP('Données projet'!$B$10,Paramètres!$A$1:$I$89,5,0)</f>
        <v>140.97850000000003</v>
      </c>
      <c r="AK55" s="13">
        <f t="shared" si="35"/>
        <v>36.521075157496767</v>
      </c>
      <c r="AL55" s="20">
        <f t="shared" si="4"/>
        <v>309.14509339930686</v>
      </c>
      <c r="AM55" s="59">
        <f t="shared" si="5"/>
        <v>602.47842673264017</v>
      </c>
      <c r="AN55" s="59">
        <f ca="1">AVERAGE(OFFSET($AM$3,0,0,'Données projet'!$E$10+1,1))-AVERAGE(OFFSET($H$3,0,0,'Données projet'!$E$10+1,1))</f>
        <v>141.22849894256314</v>
      </c>
      <c r="AO55" s="59">
        <f t="shared" si="36"/>
        <v>156.12101479343704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4.7575503383794064</v>
      </c>
      <c r="AV55" s="21">
        <f>EXP(-LN(2)/25)*AV54+(1-EXP(-LN(2)/25))/(LN(2)/25)*Calculateur!AQ55*Calculateur!AS55*VLOOKUP('Données projet'!$B$10,Paramètres!$A$1:$I$89,3,0)*0.475*44/12</f>
        <v>3.272450856600023</v>
      </c>
      <c r="AW55" s="21">
        <f>EXP(-LN(2)/2)*AW54+(1-EXP(-LN(2)/2))/(LN(2)/2)*AQ55*AT55*VLOOKUP('Données projet'!$B$10,Paramètres!$A$1:$I$89,3,0)*0.475*44/12</f>
        <v>1.4443217920857489E-3</v>
      </c>
      <c r="AX55" s="21">
        <f t="shared" si="6"/>
        <v>8.031445516771516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226</v>
      </c>
      <c r="BE55" s="13">
        <f>BD55*VLOOKUP('Données projet'!$B$11,Paramètres!$A$1:$I$89,3,0)*VLOOKUP('Données projet'!$B$11,Paramètres!$A$1:$I$89,5,0)</f>
        <v>99.89200000000001</v>
      </c>
      <c r="BF55" s="13">
        <f t="shared" si="37"/>
        <v>26.936266419730103</v>
      </c>
      <c r="BG55" s="20">
        <f t="shared" si="7"/>
        <v>220.89256401436327</v>
      </c>
      <c r="BH55" s="59">
        <f t="shared" si="8"/>
        <v>514.22589734769656</v>
      </c>
      <c r="BI55" s="59">
        <f ca="1">AVERAGE(OFFSET($BH$3,0,0,'Données projet'!$E$11+1,1))-AVERAGE(OFFSET($H$3,0,0,'Données projet'!$E$11+1,1))</f>
        <v>114.25511901730295</v>
      </c>
      <c r="BJ55" s="59">
        <f t="shared" si="38"/>
        <v>180.96261947642182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2.2110589728205996</v>
      </c>
      <c r="BQ55" s="21">
        <f>EXP(-LN(2)/25)*BQ54+(1-EXP(-LN(2)/25))/(LN(2)/25)*Calculateur!BL55*Calculateur!BN55*VLOOKUP('Données projet'!$B$11,Paramètres!$A$1:$I$89,3,0)*0.475*44/12</f>
        <v>9.6801975153699846</v>
      </c>
      <c r="BR55" s="21">
        <f>EXP(-LN(2)/2)*BR54+(1-EXP(-LN(2)/2))/(LN(2)/2)*BL55*BO55*VLOOKUP('Données projet'!$B$11,Paramètres!$A$1:$I$89,3,0)*0.475*44/12</f>
        <v>3.3359680362215868E-3</v>
      </c>
      <c r="BS55" s="22">
        <f t="shared" si="9"/>
        <v>11.894592456226807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270</v>
      </c>
      <c r="BW55" s="12">
        <f>VLOOKUP(A55,'Données projet'!$A$113:$I$133,9,0)</f>
        <v>10.375</v>
      </c>
      <c r="BX55" s="12">
        <f t="array" ref="BX55">INDEX(BW:BW,MIN(IF(ISNUMBER(BW55:BW251),ROW(BW55:BW251),"")))</f>
        <v>10.375</v>
      </c>
      <c r="BY55" s="12">
        <f>IF('Données projet'!$A$114&gt;35,BY54+BX55-CG54,IF(A55&lt;'Données projet'!$A$114,$BV$205^A55,IF(A55='Données projet'!$A$114,'Données projet'!$B$114,BY54+BX55-CG54)))</f>
        <v>269.99999999999989</v>
      </c>
      <c r="BZ55" s="13">
        <f>BY55*VLOOKUP('Données projet'!$B$12,Paramètres!$A$1:$I$89,3,0)*VLOOKUP('Données projet'!$B$12,Paramètres!$A$1:$I$89,5,0)</f>
        <v>210.59999999999991</v>
      </c>
      <c r="CA55" s="13">
        <f t="shared" si="39"/>
        <v>52.066679014659961</v>
      </c>
      <c r="CB55" s="20">
        <f t="shared" si="10"/>
        <v>457.47779928386586</v>
      </c>
      <c r="CC55" s="59">
        <f t="shared" si="11"/>
        <v>750.81113261719918</v>
      </c>
      <c r="CD55" s="59">
        <f ca="1">AVERAGE(OFFSET($CC$3,0,0,'Données projet'!$E$12+1,1))-AVERAGE(OFFSET($H$3,0,0,'Données projet'!$E$12+1,1))</f>
        <v>216.95993967070063</v>
      </c>
      <c r="CE55" s="59">
        <f t="shared" si="40"/>
        <v>208.79744153433245</v>
      </c>
      <c r="CF55" s="15">
        <f>IF(ISNA(VLOOKUP(A55,'Données projet'!$A$113:$I$133,3,0)),0,VLOOKUP(A55,'Données projet'!$A$113:$I$133,3,0))</f>
        <v>7</v>
      </c>
      <c r="CG55" s="15">
        <f>IF(ISNA(VLOOKUP(A55,'Données projet'!$A$113:$I$133,4,0)),0,VLOOKUP(A55,'Données projet'!$A$113:$I$133,4,0))</f>
        <v>48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3.3418593111621346</v>
      </c>
      <c r="CL55" s="21">
        <f>EXP(-LN(2)/25)*CL54+(1-EXP(-LN(2)/25))/(LN(2)/25)*Calculateur!CG55*Calculateur!CI55*VLOOKUP('Données projet'!$B$12,Paramètres!$A$1:$I$89,3,0)*0.475*44/12</f>
        <v>3.4869823735630616</v>
      </c>
      <c r="CM55" s="21">
        <f>EXP(-LN(2)/2)*CM54+(1-EXP(-LN(2)/2))/(LN(2)/2)*CG55*CJ55*VLOOKUP('Données projet'!$B$12,Paramètres!$A$1:$I$89,3,0)*0.475*44/12</f>
        <v>6.0234783032398777E-4</v>
      </c>
      <c r="CN55" s="22">
        <f t="shared" si="12"/>
        <v>6.8294440325555206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270</v>
      </c>
      <c r="CR55" s="12">
        <f>VLOOKUP(A55,'Données projet'!$A$139:$I$159,9,0)</f>
        <v>10.375</v>
      </c>
      <c r="CS55" s="12">
        <f t="array" ref="CS55">INDEX(CR:CR,MIN(IF(ISNUMBER(CR55:CR251),ROW(CR55:CR251),"")))</f>
        <v>10.375</v>
      </c>
      <c r="CT55" s="12">
        <f>IF('Données projet'!$A$140&gt;35,CT54+CS55-DB54,IF(A55&lt;'Données projet'!$A$140,$CQ$205^A55,IF(A55='Données projet'!$A$140,'Données projet'!$B$140,CT54+CS55-DB54)))</f>
        <v>269.99999999999989</v>
      </c>
      <c r="CU55" s="17">
        <f>CT55*VLOOKUP('Données projet'!$B$13,Paramètres!$A$1:$I$89,3,0)*VLOOKUP('Données projet'!$B$13,Paramètres!$A$1:$I$89,5,0)</f>
        <v>181.11599999999993</v>
      </c>
      <c r="CV55" s="13">
        <f t="shared" si="41"/>
        <v>45.570386218758216</v>
      </c>
      <c r="CW55" s="20">
        <f t="shared" si="13"/>
        <v>394.81212266433704</v>
      </c>
      <c r="CX55" s="59">
        <f t="shared" si="14"/>
        <v>688.1454559976703</v>
      </c>
      <c r="CY55" s="59">
        <f ca="1">AVERAGE(OFFSET($CX$3,0,0,'Données projet'!$E$13+1,1))-AVERAGE(OFFSET($H$3,0,0,'Données projet'!$E$13+1,1))</f>
        <v>181.32837315090507</v>
      </c>
      <c r="CZ55" s="59">
        <f t="shared" si="42"/>
        <v>175.03267817980338</v>
      </c>
      <c r="DA55" s="15">
        <f>IF(ISNA(VLOOKUP(A55,'Données projet'!$A$139:$I$159,3,0)),0,VLOOKUP(A55,'Données projet'!$A$139:$I$159,3,0))</f>
        <v>7</v>
      </c>
      <c r="DB55" s="15">
        <f>IF(ISNA(VLOOKUP(A55,'Données projet'!$A$139:$I$159,4,0)),0,VLOOKUP(A55,'Données projet'!$A$139:$I$159,4,0))</f>
        <v>48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3.5423708698318599</v>
      </c>
      <c r="DG55" s="21">
        <f>EXP(-LN(2)/25)*DG54+(1-EXP(-LN(2)/25))/(LN(2)/25)*Calculateur!DB55*Calculateur!DD55*VLOOKUP('Données projet'!$B$13,Paramètres!$A$1:$I$89,3,0)*0.475*44/12</f>
        <v>3.6962013159768468</v>
      </c>
      <c r="DH55" s="21">
        <f>EXP(-LN(2)/2)*DH54+(1-EXP(-LN(2)/2))/(LN(2)/2)*DB55*DE55*VLOOKUP('Données projet'!$B$13,Paramètres!$A$1:$I$89,3,0)*0.475*44/12</f>
        <v>5.1801913407862926E-4</v>
      </c>
      <c r="DI55" s="22">
        <f t="shared" si="15"/>
        <v>7.2390902049427854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8.4</v>
      </c>
      <c r="DO55" s="12">
        <f>IF('Données projet'!$A$166&gt;35,DO54+DN55-DW54,IF(A55&lt;'Données projet'!$A$166,$DL$205^A55,IF(A55='Données projet'!$A$166,'Données projet'!$B$166,DO54+DN55-DW54)))</f>
        <v>298.7999999999999</v>
      </c>
      <c r="DP55" s="17">
        <f>DO55*VLOOKUP('Données projet'!$B$14,Paramètres!$A$1:$I$89,3,0)*VLOOKUP('Données projet'!$B$14,Paramètres!$A$1:$I$89,5,0)</f>
        <v>237.72527999999994</v>
      </c>
      <c r="DQ55" s="13">
        <f t="shared" si="43"/>
        <v>57.949842464086196</v>
      </c>
      <c r="DR55" s="20">
        <f t="shared" si="16"/>
        <v>514.96750495828326</v>
      </c>
      <c r="DS55" s="59">
        <f t="shared" si="17"/>
        <v>808.30083829161663</v>
      </c>
      <c r="DT55" s="59">
        <f ca="1">AVERAGE(OFFSET($DS$3,0,0,'Données projet'!$E$14+1,1))-AVERAGE(OFFSET($H$3,0,0,'Données projet'!$E$14+1,1))</f>
        <v>325.72928944930294</v>
      </c>
      <c r="DU55" s="59">
        <f t="shared" si="44"/>
        <v>318.38876834819752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11.199248222722751</v>
      </c>
      <c r="EB55" s="21">
        <f>EXP(-LN(2)/25)*EB54+(1-EXP(-LN(2)/25))/(LN(2)/25)*Calculateur!DW55*Calculateur!DY55*VLOOKUP('Données projet'!$B$14,Paramètres!$A$1:$I$89,3,0)*0.475*44/12</f>
        <v>11.236773745132338</v>
      </c>
      <c r="EC55" s="21">
        <f>EXP(-LN(2)/2)*EC54+(1-EXP(-LN(2)/2))/(LN(2)/2)*DW55*DZ55*VLOOKUP('Données projet'!$B$14,Paramètres!$A$1:$I$89,3,0)*0.475*44/12</f>
        <v>5.7762309736738605E-3</v>
      </c>
      <c r="ED55" s="22">
        <f t="shared" si="18"/>
        <v>22.441798198828764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10.199999999999999</v>
      </c>
      <c r="EJ55" s="12">
        <f>IF('Données projet'!$A$192&gt;35,EJ54+EI55-ER54,IF(A55&lt;'Données projet'!$A$192,$EG$205^A55,IF(A55='Données projet'!$A$192,'Données projet'!$B$192,EJ54+EI55-ER54)))</f>
        <v>223.4</v>
      </c>
      <c r="EK55" s="17">
        <f>EJ55*VLOOKUP('Données projet'!$B$15,Paramètres!$A$1:$I$89,3,0)*VLOOKUP('Données projet'!$B$15,Paramètres!$A$1:$I$89,5,0)</f>
        <v>226.52760000000001</v>
      </c>
      <c r="EL55" s="13">
        <f t="shared" si="45"/>
        <v>55.531204013656371</v>
      </c>
      <c r="EM55" s="20">
        <f t="shared" si="19"/>
        <v>491.25241699045142</v>
      </c>
      <c r="EN55" s="59">
        <f t="shared" si="20"/>
        <v>784.58575032378474</v>
      </c>
      <c r="EO55" s="59">
        <f ca="1">AVERAGE(OFFSET($EN$3,0,0,'Données projet'!$E$15+1,1))-AVERAGE(OFFSET($H$3,0,0,'Données projet'!$E$15+1,1))</f>
        <v>384.50065773787549</v>
      </c>
      <c r="EP55" s="59">
        <f t="shared" si="46"/>
        <v>231.92898690465887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5.2977500570562093</v>
      </c>
      <c r="EW55" s="21">
        <f>EXP(-LN(2)/25)*EW54+(1-EXP(-LN(2)/25))/(LN(2)/25)*Calculateur!ER55*Calculateur!ET55*VLOOKUP('Données projet'!$B$15,Paramètres!$A$1:$I$89,3,0)*0.475*44/12</f>
        <v>5.70263930138643</v>
      </c>
      <c r="EX55" s="21">
        <f>EXP(-LN(2)/2)*EX54+(1-EXP(-LN(2)/2))/(LN(2)/2)*ER55*EU55*VLOOKUP('Données projet'!$B$15,Paramètres!$A$1:$I$89,3,0)*0.475*44/12</f>
        <v>4.6703606403804459E-3</v>
      </c>
      <c r="EY55" s="22">
        <f t="shared" si="21"/>
        <v>11.00505971908302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10.199999999999999</v>
      </c>
      <c r="FE55" s="12">
        <f>IF('Données projet'!$A$218&gt;35,FE54+FD55-FM54,IF(A55&lt;'Données projet'!$A$218,$FB$205^A55,IF(A55='Données projet'!$A$218,'Données projet'!$B$218,FE54+FD55-FM54)))</f>
        <v>223.4</v>
      </c>
      <c r="FF55" s="17">
        <f>FE55*VLOOKUP('Données projet'!$B$16,Paramètres!$A$1:$I$89,3,0)*VLOOKUP('Données projet'!$B$16,Paramètres!$A$1:$I$89,5,0)</f>
        <v>202.13232000000002</v>
      </c>
      <c r="FG55" s="13">
        <f t="shared" si="47"/>
        <v>50.212497488959627</v>
      </c>
      <c r="FH55" s="20">
        <f t="shared" si="22"/>
        <v>439.50055712660469</v>
      </c>
      <c r="FI55" s="59">
        <f t="shared" si="23"/>
        <v>732.83389045993795</v>
      </c>
      <c r="FJ55" s="59">
        <f ca="1">AVERAGE(OFFSET($FI$3,0,0,'Données projet'!$E$16+1,1))-AVERAGE(OFFSET($H$3,0,0,'Données projet'!$E$16+1,1))</f>
        <v>326.46362829268969</v>
      </c>
      <c r="FK55" s="59">
        <f t="shared" si="48"/>
        <v>203.5274665601915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4.7272231278347681</v>
      </c>
      <c r="FR55" s="21">
        <f>EXP(-LN(2)/25)*FR54+(1-EXP(-LN(2)/25))/(LN(2)/25)*Calculateur!FM55*Calculateur!FO55*VLOOKUP('Données projet'!$B$16,Paramètres!$A$1:$I$89,3,0)*0.475*44/12</f>
        <v>5.0885089150832732</v>
      </c>
      <c r="FS55" s="21">
        <f>EXP(-LN(2)/2)*FS54+(1-EXP(-LN(2)/2))/(LN(2)/2)*FM55*FP55*VLOOKUP('Données projet'!$B$16,Paramètres!$A$1:$I$89,3,0)*0.475*44/12</f>
        <v>4.1673987252625515E-3</v>
      </c>
      <c r="FT55" s="22">
        <f t="shared" si="24"/>
        <v>9.8198994416433045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10.199999999999999</v>
      </c>
      <c r="FZ55" s="12">
        <f>IF('Données projet'!$A$244&gt;35,FZ54+FY55-GH54,IF(A55&lt;'Données projet'!$A$244,$FW$205^A55,IF(A55='Données projet'!$A$244,'Données projet'!$B$244,FZ54+FY55-GH54)))</f>
        <v>223.4</v>
      </c>
      <c r="GA55" s="17">
        <f>FZ55*VLOOKUP('Données projet'!$B$17,Paramètres!$A$1:$I$89,3,0)*VLOOKUP('Données projet'!$B$17,Paramètres!$A$1:$I$89,5,0)</f>
        <v>216.07248000000001</v>
      </c>
      <c r="GB55" s="13">
        <f t="shared" si="49"/>
        <v>53.260365780197098</v>
      </c>
      <c r="GC55" s="20">
        <f t="shared" si="25"/>
        <v>469.08803973384329</v>
      </c>
      <c r="GD55" s="59">
        <f t="shared" si="26"/>
        <v>762.42137306717655</v>
      </c>
      <c r="GE55" s="59">
        <f ca="1">AVERAGE(OFFSET($GD$3,0,0,'Données projet'!$E$17+1,1))-AVERAGE(OFFSET($H$3,0,0,'Données projet'!$E$17+1,1))</f>
        <v>353.24082990916918</v>
      </c>
      <c r="GF55" s="59">
        <f t="shared" si="50"/>
        <v>219.76562717496353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5.053238515961306</v>
      </c>
      <c r="GM55" s="21">
        <f>EXP(-LN(2)/25)*GM54+(1-EXP(-LN(2)/25))/(LN(2)/25)*Calculateur!GH55*Calculateur!GJ55*VLOOKUP('Données projet'!$B$17,Paramètres!$A$1:$I$89,3,0)*0.475*44/12</f>
        <v>5.4394405643993631</v>
      </c>
      <c r="GN55" s="21">
        <f>EXP(-LN(2)/2)*GN54+(1-EXP(-LN(2)/2))/(LN(2)/2)*GH55*GK55*VLOOKUP('Données projet'!$B$17,Paramètres!$A$1:$I$89,3,0)*0.475*44/12</f>
        <v>4.4548055339013494E-3</v>
      </c>
      <c r="GO55" s="21">
        <f t="shared" si="27"/>
        <v>10.497133885894572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378.17323480030268</v>
      </c>
      <c r="T56" s="59">
        <f t="shared" si="34"/>
        <v>471.89239871617241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2.7932312866011051</v>
      </c>
      <c r="AA56" s="21">
        <f>EXP(-LN(2)/25)*AA55+(1-EXP(-LN(2)/25))/(LN(2)/25)*Calculateur!V56*Calculateur!X56*VLOOKUP('Données projet'!$B$9,Paramètres!$A$1:$I$89,3,0)*0.475*44/12</f>
        <v>10.993725120567289</v>
      </c>
      <c r="AB56" s="21">
        <f>EXP(-LN(2)/2)*AB55+(1-EXP(-LN(2)/2))/(LN(2)/2)*V56*Y56*VLOOKUP('Données projet'!$B$9,Paramètres!$A$1:$I$89,3,0)*0.475*44/12</f>
        <v>3.6116966711818685E-3</v>
      </c>
      <c r="AC56" s="22">
        <f t="shared" si="3"/>
        <v>13.790568103839576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5.125</v>
      </c>
      <c r="AI56" s="13">
        <f>IF('Données projet'!$A$62&gt;35,AI55+AH56-AQ55,IF(A56&lt;'Données projet'!$A$62,$AF$205^A56,IF(A56='Données projet'!$A$62,'Données projet'!$B$62,AI55+AH56-AQ55)))</f>
        <v>240.875</v>
      </c>
      <c r="AJ56" s="13">
        <f>AI56*VLOOKUP('Données projet'!$B$10,Paramètres!$A$1:$I$89,3,0)*VLOOKUP('Données projet'!$B$10,Paramètres!$A$1:$I$89,5,0)</f>
        <v>144.04325000000003</v>
      </c>
      <c r="AK56" s="13">
        <f t="shared" si="35"/>
        <v>37.221716895868184</v>
      </c>
      <c r="AL56" s="20">
        <f t="shared" si="4"/>
        <v>315.70315067697044</v>
      </c>
      <c r="AM56" s="59">
        <f t="shared" si="5"/>
        <v>609.03648401030375</v>
      </c>
      <c r="AN56" s="59">
        <f ca="1">AVERAGE(OFFSET($AM$3,0,0,'Données projet'!$E$10+1,1))-AVERAGE(OFFSET($H$3,0,0,'Données projet'!$E$10+1,1))</f>
        <v>141.22849894256314</v>
      </c>
      <c r="AO56" s="59">
        <f t="shared" si="36"/>
        <v>156.12101479343704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4.6642576780629614</v>
      </c>
      <c r="AV56" s="21">
        <f>EXP(-LN(2)/25)*AV55+(1-EXP(-LN(2)/25))/(LN(2)/25)*Calculateur!AQ56*Calculateur!AS56*VLOOKUP('Données projet'!$B$10,Paramètres!$A$1:$I$89,3,0)*0.475*44/12</f>
        <v>3.1829655158355843</v>
      </c>
      <c r="AW56" s="21">
        <f>EXP(-LN(2)/2)*AW55+(1-EXP(-LN(2)/2))/(LN(2)/2)*AQ56*AT56*VLOOKUP('Données projet'!$B$10,Paramètres!$A$1:$I$89,3,0)*0.475*44/12</f>
        <v>1.0212897333993398E-3</v>
      </c>
      <c r="AX56" s="21">
        <f t="shared" si="6"/>
        <v>7.8482444836319454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235.75</v>
      </c>
      <c r="BE56" s="13">
        <f>BD56*VLOOKUP('Données projet'!$B$11,Paramètres!$A$1:$I$89,3,0)*VLOOKUP('Données projet'!$B$11,Paramètres!$A$1:$I$89,5,0)</f>
        <v>104.20150000000001</v>
      </c>
      <c r="BF56" s="13">
        <f t="shared" si="37"/>
        <v>27.960536830974792</v>
      </c>
      <c r="BG56" s="20">
        <f t="shared" si="7"/>
        <v>230.18221414728112</v>
      </c>
      <c r="BH56" s="59">
        <f t="shared" si="8"/>
        <v>523.51554748061449</v>
      </c>
      <c r="BI56" s="59">
        <f ca="1">AVERAGE(OFFSET($BH$3,0,0,'Données projet'!$E$11+1,1))-AVERAGE(OFFSET($H$3,0,0,'Données projet'!$E$11+1,1))</f>
        <v>114.25511901730295</v>
      </c>
      <c r="BJ56" s="59">
        <f t="shared" si="38"/>
        <v>180.96261947642182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2.1677014549763967</v>
      </c>
      <c r="BQ56" s="21">
        <f>EXP(-LN(2)/25)*BQ55+(1-EXP(-LN(2)/25))/(LN(2)/25)*Calculateur!BL56*Calculateur!BN56*VLOOKUP('Données projet'!$B$11,Paramètres!$A$1:$I$89,3,0)*0.475*44/12</f>
        <v>9.4154920052527302</v>
      </c>
      <c r="BR56" s="21">
        <f>EXP(-LN(2)/2)*BR55+(1-EXP(-LN(2)/2))/(LN(2)/2)*BL56*BO56*VLOOKUP('Données projet'!$B$11,Paramètres!$A$1:$I$89,3,0)*0.475*44/12</f>
        <v>2.3588856202338545E-3</v>
      </c>
      <c r="BS56" s="22">
        <f t="shared" si="9"/>
        <v>11.585552345849361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231.37499999999989</v>
      </c>
      <c r="BZ56" s="13">
        <f>BY56*VLOOKUP('Données projet'!$B$12,Paramètres!$A$1:$I$89,3,0)*VLOOKUP('Données projet'!$B$12,Paramètres!$A$1:$I$89,5,0)</f>
        <v>180.47249999999991</v>
      </c>
      <c r="CA56" s="13">
        <f t="shared" si="39"/>
        <v>45.427292666837829</v>
      </c>
      <c r="CB56" s="20">
        <f t="shared" si="10"/>
        <v>393.44213889474241</v>
      </c>
      <c r="CC56" s="59">
        <f t="shared" si="11"/>
        <v>686.77547222807573</v>
      </c>
      <c r="CD56" s="59">
        <f ca="1">AVERAGE(OFFSET($CC$3,0,0,'Données projet'!$E$12+1,1))-AVERAGE(OFFSET($H$3,0,0,'Données projet'!$E$12+1,1))</f>
        <v>216.95993967070063</v>
      </c>
      <c r="CE56" s="59">
        <f t="shared" si="40"/>
        <v>208.79744153433245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3.2763274884031564</v>
      </c>
      <c r="CL56" s="21">
        <f>EXP(-LN(2)/25)*CL55+(1-EXP(-LN(2)/25))/(LN(2)/25)*Calculateur!CG56*Calculateur!CI56*VLOOKUP('Données projet'!$B$12,Paramètres!$A$1:$I$89,3,0)*0.475*44/12</f>
        <v>3.3916306571855461</v>
      </c>
      <c r="CM56" s="21">
        <f>EXP(-LN(2)/2)*CM55+(1-EXP(-LN(2)/2))/(LN(2)/2)*CG56*CJ56*VLOOKUP('Données projet'!$B$12,Paramètres!$A$1:$I$89,3,0)*0.475*44/12</f>
        <v>4.2592423545509568E-4</v>
      </c>
      <c r="CN56" s="22">
        <f t="shared" si="12"/>
        <v>6.6683840698241577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9.375</v>
      </c>
      <c r="CT56" s="12">
        <f>IF('Données projet'!$A$140&gt;35,CT55+CS56-DB55,IF(A56&lt;'Données projet'!$A$140,$CQ$205^A56,IF(A56='Données projet'!$A$140,'Données projet'!$B$140,CT55+CS56-DB55)))</f>
        <v>231.37499999999989</v>
      </c>
      <c r="CU56" s="17">
        <f>CT56*VLOOKUP('Données projet'!$B$13,Paramètres!$A$1:$I$89,3,0)*VLOOKUP('Données projet'!$B$13,Paramètres!$A$1:$I$89,5,0)</f>
        <v>155.20634999999993</v>
      </c>
      <c r="CV56" s="13">
        <f t="shared" si="41"/>
        <v>39.759387594463078</v>
      </c>
      <c r="CW56" s="20">
        <f t="shared" si="13"/>
        <v>339.5653263103564</v>
      </c>
      <c r="CX56" s="59">
        <f t="shared" si="14"/>
        <v>632.89865964368971</v>
      </c>
      <c r="CY56" s="59">
        <f ca="1">AVERAGE(OFFSET($CX$3,0,0,'Données projet'!$E$13+1,1))-AVERAGE(OFFSET($H$3,0,0,'Données projet'!$E$13+1,1))</f>
        <v>181.32837315090507</v>
      </c>
      <c r="CZ56" s="59">
        <f t="shared" si="42"/>
        <v>175.03267817980338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3.4729071377073431</v>
      </c>
      <c r="DG56" s="21">
        <f>EXP(-LN(2)/25)*DG55+(1-EXP(-LN(2)/25))/(LN(2)/25)*Calculateur!DB56*Calculateur!DD56*VLOOKUP('Données projet'!$B$13,Paramètres!$A$1:$I$89,3,0)*0.475*44/12</f>
        <v>3.5951284966166805</v>
      </c>
      <c r="DH56" s="21">
        <f>EXP(-LN(2)/2)*DH55+(1-EXP(-LN(2)/2))/(LN(2)/2)*DB56*DE56*VLOOKUP('Données projet'!$B$13,Paramètres!$A$1:$I$89,3,0)*0.475*44/12</f>
        <v>3.6629484249138213E-4</v>
      </c>
      <c r="DI56" s="22">
        <f t="shared" si="15"/>
        <v>7.068401929166515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8.4</v>
      </c>
      <c r="DO56" s="12">
        <f>IF('Données projet'!$A$166&gt;35,DO55+DN56-DW55,IF(A56&lt;'Données projet'!$A$166,$DL$205^A56,IF(A56='Données projet'!$A$166,'Données projet'!$B$166,DO55+DN56-DW55)))</f>
        <v>307.19999999999987</v>
      </c>
      <c r="DP56" s="17">
        <f>DO56*VLOOKUP('Données projet'!$B$14,Paramètres!$A$1:$I$89,3,0)*VLOOKUP('Données projet'!$B$14,Paramètres!$A$1:$I$89,5,0)</f>
        <v>244.40831999999992</v>
      </c>
      <c r="DQ56" s="13">
        <f t="shared" si="43"/>
        <v>59.38699493610541</v>
      </c>
      <c r="DR56" s="20">
        <f t="shared" si="16"/>
        <v>529.11017351371675</v>
      </c>
      <c r="DS56" s="59">
        <f t="shared" si="17"/>
        <v>822.44350684705</v>
      </c>
      <c r="DT56" s="59">
        <f ca="1">AVERAGE(OFFSET($DS$3,0,0,'Données projet'!$E$14+1,1))-AVERAGE(OFFSET($H$3,0,0,'Données projet'!$E$14+1,1))</f>
        <v>325.72928944930294</v>
      </c>
      <c r="DU56" s="59">
        <f t="shared" si="44"/>
        <v>318.38876834819752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10.979637795942082</v>
      </c>
      <c r="EB56" s="21">
        <f>EXP(-LN(2)/25)*EB55+(1-EXP(-LN(2)/25))/(LN(2)/25)*Calculateur!DW56*Calculateur!DY56*VLOOKUP('Données projet'!$B$14,Paramètres!$A$1:$I$89,3,0)*0.475*44/12</f>
        <v>10.929503576155444</v>
      </c>
      <c r="EC56" s="21">
        <f>EXP(-LN(2)/2)*EC55+(1-EXP(-LN(2)/2))/(LN(2)/2)*DW56*DZ56*VLOOKUP('Données projet'!$B$14,Paramètres!$A$1:$I$89,3,0)*0.475*44/12</f>
        <v>4.0844120911845607E-3</v>
      </c>
      <c r="ED56" s="22">
        <f t="shared" si="18"/>
        <v>21.913225784188711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10.199999999999999</v>
      </c>
      <c r="EJ56" s="12">
        <f>IF('Données projet'!$A$192&gt;35,EJ55+EI56-ER55,IF(A56&lt;'Données projet'!$A$192,$EG$205^A56,IF(A56='Données projet'!$A$192,'Données projet'!$B$192,EJ55+EI56-ER55)))</f>
        <v>233.6</v>
      </c>
      <c r="EK56" s="17">
        <f>EJ56*VLOOKUP('Données projet'!$B$15,Paramètres!$A$1:$I$89,3,0)*VLOOKUP('Données projet'!$B$15,Paramètres!$A$1:$I$89,5,0)</f>
        <v>236.87040000000002</v>
      </c>
      <c r="EL56" s="13">
        <f t="shared" si="45"/>
        <v>57.765668276484661</v>
      </c>
      <c r="EM56" s="20">
        <f t="shared" si="19"/>
        <v>513.15781891487757</v>
      </c>
      <c r="EN56" s="59">
        <f t="shared" si="20"/>
        <v>806.49115224821094</v>
      </c>
      <c r="EO56" s="59">
        <f ca="1">AVERAGE(OFFSET($EN$3,0,0,'Données projet'!$E$15+1,1))-AVERAGE(OFFSET($H$3,0,0,'Données projet'!$E$15+1,1))</f>
        <v>384.50065773787549</v>
      </c>
      <c r="EP56" s="59">
        <f t="shared" si="46"/>
        <v>231.92898690465887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5.1938644097458067</v>
      </c>
      <c r="EW56" s="21">
        <f>EXP(-LN(2)/25)*EW55+(1-EXP(-LN(2)/25))/(LN(2)/25)*Calculateur!ER56*Calculateur!ET56*VLOOKUP('Données projet'!$B$15,Paramètres!$A$1:$I$89,3,0)*0.475*44/12</f>
        <v>5.5467003298012507</v>
      </c>
      <c r="EX56" s="21">
        <f>EXP(-LN(2)/2)*EX55+(1-EXP(-LN(2)/2))/(LN(2)/2)*ER56*EU56*VLOOKUP('Données projet'!$B$15,Paramètres!$A$1:$I$89,3,0)*0.475*44/12</f>
        <v>3.3024436793997599E-3</v>
      </c>
      <c r="EY56" s="22">
        <f t="shared" si="21"/>
        <v>10.743867183226458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10.199999999999999</v>
      </c>
      <c r="FE56" s="12">
        <f>IF('Données projet'!$A$218&gt;35,FE55+FD56-FM55,IF(A56&lt;'Données projet'!$A$218,$FB$205^A56,IF(A56='Données projet'!$A$218,'Données projet'!$B$218,FE55+FD56-FM55)))</f>
        <v>233.6</v>
      </c>
      <c r="FF56" s="17">
        <f>FE56*VLOOKUP('Données projet'!$B$16,Paramètres!$A$1:$I$89,3,0)*VLOOKUP('Données projet'!$B$16,Paramètres!$A$1:$I$89,5,0)</f>
        <v>211.36127999999999</v>
      </c>
      <c r="FG56" s="13">
        <f t="shared" si="47"/>
        <v>52.232947669705631</v>
      </c>
      <c r="FH56" s="20">
        <f t="shared" si="22"/>
        <v>459.09327985807062</v>
      </c>
      <c r="FI56" s="59">
        <f t="shared" si="23"/>
        <v>752.42661319140393</v>
      </c>
      <c r="FJ56" s="59">
        <f ca="1">AVERAGE(OFFSET($FI$3,0,0,'Données projet'!$E$16+1,1))-AVERAGE(OFFSET($H$3,0,0,'Données projet'!$E$16+1,1))</f>
        <v>326.46362829268969</v>
      </c>
      <c r="FK56" s="59">
        <f t="shared" si="48"/>
        <v>203.5274665601915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4.6345251656193316</v>
      </c>
      <c r="FR56" s="21">
        <f>EXP(-LN(2)/25)*FR55+(1-EXP(-LN(2)/25))/(LN(2)/25)*Calculateur!FM56*Calculateur!FO56*VLOOKUP('Données projet'!$B$16,Paramètres!$A$1:$I$89,3,0)*0.475*44/12</f>
        <v>4.9493633712072675</v>
      </c>
      <c r="FS56" s="21">
        <f>EXP(-LN(2)/2)*FS55+(1-EXP(-LN(2)/2))/(LN(2)/2)*FM56*FP56*VLOOKUP('Données projet'!$B$16,Paramètres!$A$1:$I$89,3,0)*0.475*44/12</f>
        <v>2.9467958985413241E-3</v>
      </c>
      <c r="FT56" s="22">
        <f t="shared" si="24"/>
        <v>9.5868353327251405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10.199999999999999</v>
      </c>
      <c r="FZ56" s="12">
        <f>IF('Données projet'!$A$244&gt;35,FZ55+FY56-GH55,IF(A56&lt;'Données projet'!$A$244,$FW$205^A56,IF(A56='Données projet'!$A$244,'Données projet'!$B$244,FZ55+FY56-GH55)))</f>
        <v>233.6</v>
      </c>
      <c r="GA56" s="17">
        <f>FZ56*VLOOKUP('Données projet'!$B$17,Paramètres!$A$1:$I$89,3,0)*VLOOKUP('Données projet'!$B$17,Paramètres!$A$1:$I$89,5,0)</f>
        <v>225.93791999999999</v>
      </c>
      <c r="GB56" s="13">
        <f t="shared" si="49"/>
        <v>55.403456067447962</v>
      </c>
      <c r="GC56" s="20">
        <f t="shared" si="25"/>
        <v>490.00289665080521</v>
      </c>
      <c r="GD56" s="59">
        <f t="shared" si="26"/>
        <v>783.33622998413853</v>
      </c>
      <c r="GE56" s="59">
        <f ca="1">AVERAGE(OFFSET($GD$3,0,0,'Données projet'!$E$17+1,1))-AVERAGE(OFFSET($H$3,0,0,'Données projet'!$E$17+1,1))</f>
        <v>353.24082990916918</v>
      </c>
      <c r="GF56" s="59">
        <f t="shared" si="50"/>
        <v>219.76562717496353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4.9541475908344603</v>
      </c>
      <c r="GM56" s="21">
        <f>EXP(-LN(2)/25)*GM55+(1-EXP(-LN(2)/25))/(LN(2)/25)*Calculateur!GH56*Calculateur!GJ56*VLOOKUP('Données projet'!$B$17,Paramètres!$A$1:$I$89,3,0)*0.475*44/12</f>
        <v>5.2906987761181155</v>
      </c>
      <c r="GN56" s="21">
        <f>EXP(-LN(2)/2)*GN55+(1-EXP(-LN(2)/2))/(LN(2)/2)*GH56*GK56*VLOOKUP('Données projet'!$B$17,Paramètres!$A$1:$I$89,3,0)*0.475*44/12</f>
        <v>3.1500232018890025E-3</v>
      </c>
      <c r="GO56" s="21">
        <f t="shared" si="27"/>
        <v>10.247996390154464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378.17323480030268</v>
      </c>
      <c r="T57" s="59">
        <f t="shared" si="34"/>
        <v>471.89239871617241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2.7384577247737156</v>
      </c>
      <c r="AA57" s="21">
        <f>EXP(-LN(2)/25)*AA56+(1-EXP(-LN(2)/25))/(LN(2)/25)*Calculateur!V57*Calculateur!X57*VLOOKUP('Données projet'!$B$9,Paramètres!$A$1:$I$89,3,0)*0.475*44/12</f>
        <v>10.693101129010499</v>
      </c>
      <c r="AB57" s="21">
        <f>EXP(-LN(2)/2)*AB56+(1-EXP(-LN(2)/2))/(LN(2)/2)*V57*Y57*VLOOKUP('Données projet'!$B$9,Paramètres!$A$1:$I$89,3,0)*0.475*44/12</f>
        <v>2.5538552077815795E-3</v>
      </c>
      <c r="AC57" s="22">
        <f t="shared" si="3"/>
        <v>13.434112708991995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246</v>
      </c>
      <c r="AG57" s="12">
        <f>VLOOKUP(A57,'Données projet'!$A$61:$I$81,9,0)</f>
        <v>5.125</v>
      </c>
      <c r="AH57" s="12">
        <f t="array" ref="AH57">INDEX(AG:AG,MIN(IF(ISNUMBER(AG57:AG253),ROW(AG57:AG253),"")))</f>
        <v>5.125</v>
      </c>
      <c r="AI57" s="13">
        <f>IF('Données projet'!$A$62&gt;35,AI56+AH57-AQ56,IF(A57&lt;'Données projet'!$A$62,$AF$205^A57,IF(A57='Données projet'!$A$62,'Données projet'!$B$62,AI56+AH57-AQ56)))</f>
        <v>246</v>
      </c>
      <c r="AJ57" s="13">
        <f>AI57*VLOOKUP('Données projet'!$B$10,Paramètres!$A$1:$I$89,3,0)*VLOOKUP('Données projet'!$B$10,Paramètres!$A$1:$I$89,5,0)</f>
        <v>147.10800000000003</v>
      </c>
      <c r="AK57" s="13">
        <f t="shared" si="35"/>
        <v>37.920625436598897</v>
      </c>
      <c r="AL57" s="20">
        <f t="shared" si="4"/>
        <v>322.25818930207646</v>
      </c>
      <c r="AM57" s="59">
        <f t="shared" si="5"/>
        <v>615.59152263540977</v>
      </c>
      <c r="AN57" s="59">
        <f ca="1">AVERAGE(OFFSET($AM$3,0,0,'Données projet'!$E$10+1,1))-AVERAGE(OFFSET($H$3,0,0,'Données projet'!$E$10+1,1))</f>
        <v>141.22849894256314</v>
      </c>
      <c r="AO57" s="59">
        <f t="shared" si="36"/>
        <v>156.12101479343704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22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4.5727944299124186</v>
      </c>
      <c r="AV57" s="21">
        <f>EXP(-LN(2)/25)*AV56+(1-EXP(-LN(2)/25))/(LN(2)/25)*Calculateur!AQ57*Calculateur!AS57*VLOOKUP('Données projet'!$B$10,Paramètres!$A$1:$I$89,3,0)*0.475*44/12</f>
        <v>3.0959271564201787</v>
      </c>
      <c r="AW57" s="21">
        <f>EXP(-LN(2)/2)*AW56+(1-EXP(-LN(2)/2))/(LN(2)/2)*AQ57*AT57*VLOOKUP('Données projet'!$B$10,Paramètres!$A$1:$I$89,3,0)*0.475*44/12</f>
        <v>7.2216089604287446E-4</v>
      </c>
      <c r="AX57" s="21">
        <f t="shared" si="6"/>
        <v>7.6694437472286401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245.5</v>
      </c>
      <c r="BE57" s="13">
        <f>BD57*VLOOKUP('Données projet'!$B$11,Paramètres!$A$1:$I$89,3,0)*VLOOKUP('Données projet'!$B$11,Paramètres!$A$1:$I$89,5,0)</f>
        <v>108.51100000000002</v>
      </c>
      <c r="BF57" s="13">
        <f t="shared" si="37"/>
        <v>28.97988677475761</v>
      </c>
      <c r="BG57" s="20">
        <f t="shared" si="7"/>
        <v>239.46329446603622</v>
      </c>
      <c r="BH57" s="59">
        <f t="shared" si="8"/>
        <v>532.7966277993695</v>
      </c>
      <c r="BI57" s="59">
        <f ca="1">AVERAGE(OFFSET($BH$3,0,0,'Données projet'!$E$11+1,1))-AVERAGE(OFFSET($H$3,0,0,'Données projet'!$E$11+1,1))</f>
        <v>114.25511901730295</v>
      </c>
      <c r="BJ57" s="59">
        <f t="shared" si="38"/>
        <v>180.96261947642182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2.1251941516116437</v>
      </c>
      <c r="BQ57" s="21">
        <f>EXP(-LN(2)/25)*BQ56+(1-EXP(-LN(2)/25))/(LN(2)/25)*Calculateur!BL57*Calculateur!BN57*VLOOKUP('Données projet'!$B$11,Paramètres!$A$1:$I$89,3,0)*0.475*44/12</f>
        <v>9.1580248812298883</v>
      </c>
      <c r="BR57" s="21">
        <f>EXP(-LN(2)/2)*BR56+(1-EXP(-LN(2)/2))/(LN(2)/2)*BL57*BO57*VLOOKUP('Données projet'!$B$11,Paramètres!$A$1:$I$89,3,0)*0.475*44/12</f>
        <v>1.6679840181107936E-3</v>
      </c>
      <c r="BS57" s="22">
        <f t="shared" si="9"/>
        <v>11.284887016859644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9.375</v>
      </c>
      <c r="BY57" s="12">
        <f>IF('Données projet'!$A$114&gt;35,BY56+BX57-CG56,IF(A57&lt;'Données projet'!$A$114,$BV$205^A57,IF(A57='Données projet'!$A$114,'Données projet'!$B$114,BY56+BX57-CG56)))</f>
        <v>240.74999999999989</v>
      </c>
      <c r="BZ57" s="13">
        <f>BY57*VLOOKUP('Données projet'!$B$12,Paramètres!$A$1:$I$89,3,0)*VLOOKUP('Données projet'!$B$12,Paramètres!$A$1:$I$89,5,0)</f>
        <v>187.78499999999991</v>
      </c>
      <c r="CA57" s="13">
        <f t="shared" si="39"/>
        <v>47.049914090154054</v>
      </c>
      <c r="CB57" s="20">
        <f t="shared" si="10"/>
        <v>409.0041420403515</v>
      </c>
      <c r="CC57" s="59">
        <f t="shared" si="11"/>
        <v>702.33747537368481</v>
      </c>
      <c r="CD57" s="59">
        <f ca="1">AVERAGE(OFFSET($CC$3,0,0,'Données projet'!$E$12+1,1))-AVERAGE(OFFSET($H$3,0,0,'Données projet'!$E$12+1,1))</f>
        <v>216.95993967070063</v>
      </c>
      <c r="CE57" s="59">
        <f t="shared" si="40"/>
        <v>208.79744153433245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3.2120807047180167</v>
      </c>
      <c r="CL57" s="21">
        <f>EXP(-LN(2)/25)*CL56+(1-EXP(-LN(2)/25))/(LN(2)/25)*Calculateur!CG57*Calculateur!CI57*VLOOKUP('Données projet'!$B$12,Paramètres!$A$1:$I$89,3,0)*0.475*44/12</f>
        <v>3.2988863385067027</v>
      </c>
      <c r="CM57" s="21">
        <f>EXP(-LN(2)/2)*CM56+(1-EXP(-LN(2)/2))/(LN(2)/2)*CG57*CJ57*VLOOKUP('Données projet'!$B$12,Paramètres!$A$1:$I$89,3,0)*0.475*44/12</f>
        <v>3.0117391516199389E-4</v>
      </c>
      <c r="CN57" s="22">
        <f t="shared" si="12"/>
        <v>6.5112682171398806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9.375</v>
      </c>
      <c r="CT57" s="12">
        <f>IF('Données projet'!$A$140&gt;35,CT56+CS57-DB56,IF(A57&lt;'Données projet'!$A$140,$CQ$205^A57,IF(A57='Données projet'!$A$140,'Données projet'!$B$140,CT56+CS57-DB56)))</f>
        <v>240.74999999999989</v>
      </c>
      <c r="CU57" s="17">
        <f>CT57*VLOOKUP('Données projet'!$B$13,Paramètres!$A$1:$I$89,3,0)*VLOOKUP('Données projet'!$B$13,Paramètres!$A$1:$I$89,5,0)</f>
        <v>161.49509999999992</v>
      </c>
      <c r="CV57" s="13">
        <f t="shared" si="41"/>
        <v>41.179556622845517</v>
      </c>
      <c r="CW57" s="20">
        <f t="shared" si="13"/>
        <v>352.9916936181225</v>
      </c>
      <c r="CX57" s="59">
        <f t="shared" si="14"/>
        <v>646.32502695145581</v>
      </c>
      <c r="CY57" s="59">
        <f ca="1">AVERAGE(OFFSET($CX$3,0,0,'Données projet'!$E$13+1,1))-AVERAGE(OFFSET($H$3,0,0,'Données projet'!$E$13+1,1))</f>
        <v>181.32837315090507</v>
      </c>
      <c r="CZ57" s="59">
        <f t="shared" si="42"/>
        <v>175.03267817980338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3.4048055470010947</v>
      </c>
      <c r="DG57" s="21">
        <f>EXP(-LN(2)/25)*DG56+(1-EXP(-LN(2)/25))/(LN(2)/25)*Calculateur!DB57*Calculateur!DD57*VLOOKUP('Données projet'!$B$13,Paramètres!$A$1:$I$89,3,0)*0.475*44/12</f>
        <v>3.4968195188171065</v>
      </c>
      <c r="DH57" s="21">
        <f>EXP(-LN(2)/2)*DH56+(1-EXP(-LN(2)/2))/(LN(2)/2)*DB57*DE57*VLOOKUP('Données projet'!$B$13,Paramètres!$A$1:$I$89,3,0)*0.475*44/12</f>
        <v>2.5900956703931463E-4</v>
      </c>
      <c r="DI57" s="22">
        <f t="shared" si="15"/>
        <v>6.9018840753852411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8.4</v>
      </c>
      <c r="DO57" s="12">
        <f>IF('Données projet'!$A$166&gt;35,DO56+DN57-DW56,IF(A57&lt;'Données projet'!$A$166,$DL$205^A57,IF(A57='Données projet'!$A$166,'Données projet'!$B$166,DO56+DN57-DW56)))</f>
        <v>315.59999999999985</v>
      </c>
      <c r="DP57" s="17">
        <f>DO57*VLOOKUP('Données projet'!$B$14,Paramètres!$A$1:$I$89,3,0)*VLOOKUP('Données projet'!$B$14,Paramètres!$A$1:$I$89,5,0)</f>
        <v>251.0913599999999</v>
      </c>
      <c r="DQ57" s="13">
        <f t="shared" si="43"/>
        <v>60.81957989149403</v>
      </c>
      <c r="DR57" s="20">
        <f t="shared" si="16"/>
        <v>543.24488697768527</v>
      </c>
      <c r="DS57" s="59">
        <f t="shared" si="17"/>
        <v>836.57822031101864</v>
      </c>
      <c r="DT57" s="59">
        <f ca="1">AVERAGE(OFFSET($DS$3,0,0,'Données projet'!$E$14+1,1))-AVERAGE(OFFSET($H$3,0,0,'Données projet'!$E$14+1,1))</f>
        <v>325.72928944930294</v>
      </c>
      <c r="DU57" s="59">
        <f t="shared" si="44"/>
        <v>318.38876834819752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10.764333795681448</v>
      </c>
      <c r="EB57" s="21">
        <f>EXP(-LN(2)/25)*EB56+(1-EXP(-LN(2)/25))/(LN(2)/25)*Calculateur!DW57*Calculateur!DY57*VLOOKUP('Données projet'!$B$14,Paramètres!$A$1:$I$89,3,0)*0.475*44/12</f>
        <v>10.63063572610786</v>
      </c>
      <c r="EC57" s="21">
        <f>EXP(-LN(2)/2)*EC56+(1-EXP(-LN(2)/2))/(LN(2)/2)*DW57*DZ57*VLOOKUP('Données projet'!$B$14,Paramètres!$A$1:$I$89,3,0)*0.475*44/12</f>
        <v>2.8881154868369303E-3</v>
      </c>
      <c r="ED57" s="22">
        <f t="shared" si="18"/>
        <v>21.397857637276143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10.199999999999999</v>
      </c>
      <c r="EJ57" s="12">
        <f>IF('Données projet'!$A$192&gt;35,EJ56+EI57-ER56,IF(A57&lt;'Données projet'!$A$192,$EG$205^A57,IF(A57='Données projet'!$A$192,'Données projet'!$B$192,EJ56+EI57-ER56)))</f>
        <v>243.79999999999998</v>
      </c>
      <c r="EK57" s="17">
        <f>EJ57*VLOOKUP('Données projet'!$B$15,Paramètres!$A$1:$I$89,3,0)*VLOOKUP('Données projet'!$B$15,Paramètres!$A$1:$I$89,5,0)</f>
        <v>247.2132</v>
      </c>
      <c r="EL57" s="13">
        <f t="shared" si="45"/>
        <v>59.988800807398761</v>
      </c>
      <c r="EM57" s="20">
        <f t="shared" si="19"/>
        <v>535.04348473955281</v>
      </c>
      <c r="EN57" s="59">
        <f t="shared" si="20"/>
        <v>828.37681807288618</v>
      </c>
      <c r="EO57" s="59">
        <f ca="1">AVERAGE(OFFSET($EN$3,0,0,'Données projet'!$E$15+1,1))-AVERAGE(OFFSET($H$3,0,0,'Données projet'!$E$15+1,1))</f>
        <v>384.50065773787549</v>
      </c>
      <c r="EP57" s="59">
        <f t="shared" si="46"/>
        <v>231.92898690465887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5.0920158966151732</v>
      </c>
      <c r="EW57" s="21">
        <f>EXP(-LN(2)/25)*EW56+(1-EXP(-LN(2)/25))/(LN(2)/25)*Calculateur!ER57*Calculateur!ET57*VLOOKUP('Données projet'!$B$15,Paramètres!$A$1:$I$89,3,0)*0.475*44/12</f>
        <v>5.3950255175945427</v>
      </c>
      <c r="EX57" s="21">
        <f>EXP(-LN(2)/2)*EX56+(1-EXP(-LN(2)/2))/(LN(2)/2)*ER57*EU57*VLOOKUP('Données projet'!$B$15,Paramètres!$A$1:$I$89,3,0)*0.475*44/12</f>
        <v>2.3351803201902229E-3</v>
      </c>
      <c r="EY57" s="22">
        <f t="shared" si="21"/>
        <v>10.489376594529906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10.199999999999999</v>
      </c>
      <c r="FE57" s="12">
        <f>IF('Données projet'!$A$218&gt;35,FE56+FD57-FM56,IF(A57&lt;'Données projet'!$A$218,$FB$205^A57,IF(A57='Données projet'!$A$218,'Données projet'!$B$218,FE56+FD57-FM56)))</f>
        <v>243.79999999999998</v>
      </c>
      <c r="FF57" s="17">
        <f>FE57*VLOOKUP('Données projet'!$B$16,Paramètres!$A$1:$I$89,3,0)*VLOOKUP('Données projet'!$B$16,Paramètres!$A$1:$I$89,5,0)</f>
        <v>220.59023999999997</v>
      </c>
      <c r="FG57" s="13">
        <f t="shared" si="47"/>
        <v>54.24315145708789</v>
      </c>
      <c r="FH57" s="20">
        <f t="shared" si="22"/>
        <v>478.66815678776129</v>
      </c>
      <c r="FI57" s="59">
        <f t="shared" si="23"/>
        <v>772.00149012109455</v>
      </c>
      <c r="FJ57" s="59">
        <f ca="1">AVERAGE(OFFSET($FI$3,0,0,'Données projet'!$E$16+1,1))-AVERAGE(OFFSET($H$3,0,0,'Données projet'!$E$16+1,1))</f>
        <v>326.46362829268969</v>
      </c>
      <c r="FK57" s="59">
        <f t="shared" si="48"/>
        <v>203.5274665601915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4.5436449539027661</v>
      </c>
      <c r="FR57" s="21">
        <f>EXP(-LN(2)/25)*FR56+(1-EXP(-LN(2)/25))/(LN(2)/25)*Calculateur!FM57*Calculateur!FO57*VLOOKUP('Données projet'!$B$16,Paramètres!$A$1:$I$89,3,0)*0.475*44/12</f>
        <v>4.8140227695458968</v>
      </c>
      <c r="FS57" s="21">
        <f>EXP(-LN(2)/2)*FS56+(1-EXP(-LN(2)/2))/(LN(2)/2)*FM57*FP57*VLOOKUP('Données projet'!$B$16,Paramètres!$A$1:$I$89,3,0)*0.475*44/12</f>
        <v>2.0836993626312758E-3</v>
      </c>
      <c r="FT57" s="22">
        <f t="shared" si="24"/>
        <v>9.3597514228112946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10.199999999999999</v>
      </c>
      <c r="FZ57" s="12">
        <f>IF('Données projet'!$A$244&gt;35,FZ56+FY57-GH56,IF(A57&lt;'Données projet'!$A$244,$FW$205^A57,IF(A57='Données projet'!$A$244,'Données projet'!$B$244,FZ56+FY57-GH56)))</f>
        <v>243.79999999999998</v>
      </c>
      <c r="GA57" s="17">
        <f>FZ57*VLOOKUP('Données projet'!$B$17,Paramètres!$A$1:$I$89,3,0)*VLOOKUP('Données projet'!$B$17,Paramètres!$A$1:$I$89,5,0)</f>
        <v>235.80335999999997</v>
      </c>
      <c r="GB57" s="13">
        <f t="shared" si="49"/>
        <v>57.53567801144218</v>
      </c>
      <c r="GC57" s="20">
        <f t="shared" si="25"/>
        <v>510.89882453659499</v>
      </c>
      <c r="GD57" s="59">
        <f t="shared" si="26"/>
        <v>804.2321578699283</v>
      </c>
      <c r="GE57" s="59">
        <f ca="1">AVERAGE(OFFSET($GD$3,0,0,'Données projet'!$E$17+1,1))-AVERAGE(OFFSET($H$3,0,0,'Données projet'!$E$17+1,1))</f>
        <v>353.24082990916918</v>
      </c>
      <c r="GF57" s="59">
        <f t="shared" si="50"/>
        <v>219.76562717496353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4.8569997783098557</v>
      </c>
      <c r="GM57" s="21">
        <f>EXP(-LN(2)/25)*GM56+(1-EXP(-LN(2)/25))/(LN(2)/25)*Calculateur!GH57*Calculateur!GJ57*VLOOKUP('Données projet'!$B$17,Paramètres!$A$1:$I$89,3,0)*0.475*44/12</f>
        <v>5.1460243398594088</v>
      </c>
      <c r="GN57" s="21">
        <f>EXP(-LN(2)/2)*GN56+(1-EXP(-LN(2)/2))/(LN(2)/2)*GH57*GK57*VLOOKUP('Données projet'!$B$17,Paramètres!$A$1:$I$89,3,0)*0.475*44/12</f>
        <v>2.2274027669506747E-3</v>
      </c>
      <c r="GO57" s="21">
        <f t="shared" si="27"/>
        <v>10.005251520936215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378.17323480030268</v>
      </c>
      <c r="T58" s="59">
        <f t="shared" si="34"/>
        <v>471.89239871617241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2.6847582390851872</v>
      </c>
      <c r="AA58" s="21">
        <f>EXP(-LN(2)/25)*AA57+(1-EXP(-LN(2)/25))/(LN(2)/25)*Calculateur!V58*Calculateur!X58*VLOOKUP('Données projet'!$B$9,Paramètres!$A$1:$I$89,3,0)*0.475*44/12</f>
        <v>10.400697716311958</v>
      </c>
      <c r="AB58" s="21">
        <f>EXP(-LN(2)/2)*AB57+(1-EXP(-LN(2)/2))/(LN(2)/2)*V58*Y58*VLOOKUP('Données projet'!$B$9,Paramètres!$A$1:$I$89,3,0)*0.475*44/12</f>
        <v>1.8058483355909343E-3</v>
      </c>
      <c r="AC58" s="22">
        <f t="shared" si="3"/>
        <v>13.087261803732737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2.125</v>
      </c>
      <c r="AI58" s="13">
        <f>IF('Données projet'!$A$62&gt;35,AI57+AH58-AQ57,IF(A58&lt;'Données projet'!$A$62,$AF$205^A58,IF(A58='Données projet'!$A$62,'Données projet'!$B$62,AI57+AH58-AQ57)))</f>
        <v>226.125</v>
      </c>
      <c r="AJ58" s="13">
        <f>AI58*VLOOKUP('Données projet'!$B$10,Paramètres!$A$1:$I$89,3,0)*VLOOKUP('Données projet'!$B$10,Paramètres!$A$1:$I$89,5,0)</f>
        <v>135.22274999999999</v>
      </c>
      <c r="AK58" s="13">
        <f t="shared" si="35"/>
        <v>35.200403047414646</v>
      </c>
      <c r="AL58" s="20">
        <f t="shared" si="4"/>
        <v>296.82032489091381</v>
      </c>
      <c r="AM58" s="59">
        <f t="shared" si="5"/>
        <v>590.15365822424712</v>
      </c>
      <c r="AN58" s="59">
        <f ca="1">AVERAGE(OFFSET($AM$3,0,0,'Données projet'!$E$10+1,1))-AVERAGE(OFFSET($H$3,0,0,'Données projet'!$E$10+1,1))</f>
        <v>141.22849894256314</v>
      </c>
      <c r="AO58" s="59">
        <f t="shared" si="36"/>
        <v>156.12101479343704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4.4831247202710349</v>
      </c>
      <c r="AV58" s="21">
        <f>EXP(-LN(2)/25)*AV57+(1-EXP(-LN(2)/25))/(LN(2)/25)*Calculateur!AQ58*Calculateur!AS58*VLOOKUP('Données projet'!$B$10,Paramètres!$A$1:$I$89,3,0)*0.475*44/12</f>
        <v>3.0112688655201354</v>
      </c>
      <c r="AW58" s="21">
        <f>EXP(-LN(2)/2)*AW57+(1-EXP(-LN(2)/2))/(LN(2)/2)*AQ58*AT58*VLOOKUP('Données projet'!$B$10,Paramètres!$A$1:$I$89,3,0)*0.475*44/12</f>
        <v>5.1064486669966992E-4</v>
      </c>
      <c r="AX58" s="21">
        <f t="shared" si="6"/>
        <v>7.4949042306578706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255.25</v>
      </c>
      <c r="BE58" s="13">
        <f>BD58*VLOOKUP('Données projet'!$B$11,Paramètres!$A$1:$I$89,3,0)*VLOOKUP('Données projet'!$B$11,Paramètres!$A$1:$I$89,5,0)</f>
        <v>112.82050000000002</v>
      </c>
      <c r="BF58" s="13">
        <f t="shared" si="37"/>
        <v>29.994534026343672</v>
      </c>
      <c r="BG58" s="20">
        <f t="shared" si="7"/>
        <v>248.73618426254862</v>
      </c>
      <c r="BH58" s="59">
        <f t="shared" si="8"/>
        <v>542.06951759588196</v>
      </c>
      <c r="BI58" s="59">
        <f ca="1">AVERAGE(OFFSET($BH$3,0,0,'Données projet'!$E$11+1,1))-AVERAGE(OFFSET($H$3,0,0,'Données projet'!$E$11+1,1))</f>
        <v>114.25511901730295</v>
      </c>
      <c r="BJ58" s="59">
        <f t="shared" si="38"/>
        <v>180.96261947642182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2.0835203905389785</v>
      </c>
      <c r="BQ58" s="21">
        <f>EXP(-LN(2)/25)*BQ57+(1-EXP(-LN(2)/25))/(LN(2)/25)*Calculateur!BL58*Calculateur!BN58*VLOOKUP('Données projet'!$B$11,Paramètres!$A$1:$I$89,3,0)*0.475*44/12</f>
        <v>8.9075982092530595</v>
      </c>
      <c r="BR58" s="21">
        <f>EXP(-LN(2)/2)*BR57+(1-EXP(-LN(2)/2))/(LN(2)/2)*BL58*BO58*VLOOKUP('Données projet'!$B$11,Paramètres!$A$1:$I$89,3,0)*0.475*44/12</f>
        <v>1.1794428101169273E-3</v>
      </c>
      <c r="BS58" s="22">
        <f t="shared" si="9"/>
        <v>10.992298042602155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9.375</v>
      </c>
      <c r="BY58" s="12">
        <f>IF('Données projet'!$A$114&gt;35,BY57+BX58-CG57,IF(A58&lt;'Données projet'!$A$114,$BV$205^A58,IF(A58='Données projet'!$A$114,'Données projet'!$B$114,BY57+BX58-CG57)))</f>
        <v>250.12499999999989</v>
      </c>
      <c r="BZ58" s="13">
        <f>BY58*VLOOKUP('Données projet'!$B$12,Paramètres!$A$1:$I$89,3,0)*VLOOKUP('Données projet'!$B$12,Paramètres!$A$1:$I$89,5,0)</f>
        <v>195.09749999999991</v>
      </c>
      <c r="CA58" s="13">
        <f t="shared" si="39"/>
        <v>48.66519532492579</v>
      </c>
      <c r="CB58" s="20">
        <f t="shared" si="10"/>
        <v>424.55336102424553</v>
      </c>
      <c r="CC58" s="59">
        <f t="shared" si="11"/>
        <v>717.88669435757879</v>
      </c>
      <c r="CD58" s="59">
        <f ca="1">AVERAGE(OFFSET($CC$3,0,0,'Données projet'!$E$12+1,1))-AVERAGE(OFFSET($H$3,0,0,'Données projet'!$E$12+1,1))</f>
        <v>216.95993967070063</v>
      </c>
      <c r="CE58" s="59">
        <f t="shared" si="40"/>
        <v>208.79744153433245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3.1490937612742735</v>
      </c>
      <c r="CL58" s="21">
        <f>EXP(-LN(2)/25)*CL57+(1-EXP(-LN(2)/25))/(LN(2)/25)*Calculateur!CG58*Calculateur!CI58*VLOOKUP('Données projet'!$B$12,Paramètres!$A$1:$I$89,3,0)*0.475*44/12</f>
        <v>3.208678118099344</v>
      </c>
      <c r="CM58" s="21">
        <f>EXP(-LN(2)/2)*CM57+(1-EXP(-LN(2)/2))/(LN(2)/2)*CG58*CJ58*VLOOKUP('Données projet'!$B$12,Paramètres!$A$1:$I$89,3,0)*0.475*44/12</f>
        <v>2.1296211772754784E-4</v>
      </c>
      <c r="CN58" s="22">
        <f t="shared" si="12"/>
        <v>6.3579848414913442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9.375</v>
      </c>
      <c r="CT58" s="12">
        <f>IF('Données projet'!$A$140&gt;35,CT57+CS58-DB57,IF(A58&lt;'Données projet'!$A$140,$CQ$205^A58,IF(A58='Données projet'!$A$140,'Données projet'!$B$140,CT57+CS58-DB57)))</f>
        <v>250.12499999999989</v>
      </c>
      <c r="CU58" s="17">
        <f>CT58*VLOOKUP('Données projet'!$B$13,Paramètres!$A$1:$I$89,3,0)*VLOOKUP('Données projet'!$B$13,Paramètres!$A$1:$I$89,5,0)</f>
        <v>167.78384999999992</v>
      </c>
      <c r="CV58" s="13">
        <f t="shared" si="41"/>
        <v>42.593301288598774</v>
      </c>
      <c r="CW58" s="20">
        <f t="shared" si="13"/>
        <v>366.40687182764276</v>
      </c>
      <c r="CX58" s="59">
        <f t="shared" si="14"/>
        <v>659.74020516097607</v>
      </c>
      <c r="CY58" s="59">
        <f ca="1">AVERAGE(OFFSET($CX$3,0,0,'Données projet'!$E$13+1,1))-AVERAGE(OFFSET($H$3,0,0,'Données projet'!$E$13+1,1))</f>
        <v>181.32837315090507</v>
      </c>
      <c r="CZ58" s="59">
        <f t="shared" si="42"/>
        <v>175.03267817980338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3.3380393869507272</v>
      </c>
      <c r="DG58" s="21">
        <f>EXP(-LN(2)/25)*DG57+(1-EXP(-LN(2)/25))/(LN(2)/25)*Calculateur!DB58*Calculateur!DD58*VLOOKUP('Données projet'!$B$13,Paramètres!$A$1:$I$89,3,0)*0.475*44/12</f>
        <v>3.4011988051853064</v>
      </c>
      <c r="DH58" s="21">
        <f>EXP(-LN(2)/2)*DH57+(1-EXP(-LN(2)/2))/(LN(2)/2)*DB58*DE58*VLOOKUP('Données projet'!$B$13,Paramètres!$A$1:$I$89,3,0)*0.475*44/12</f>
        <v>1.8314742124569107E-4</v>
      </c>
      <c r="DI58" s="22">
        <f t="shared" si="15"/>
        <v>6.7394213395572793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324</v>
      </c>
      <c r="DM58" s="12">
        <f>VLOOKUP(A58,'Données projet'!$A$165:$I$185,9,0)</f>
        <v>8.4</v>
      </c>
      <c r="DN58" s="12">
        <f t="array" ref="DN58">INDEX(DM:DM,MIN(IF(ISNUMBER(DM58:DM254),ROW(DM58:DM254),"")))</f>
        <v>8.4</v>
      </c>
      <c r="DO58" s="12">
        <f>IF('Données projet'!$A$166&gt;35,DO57+DN58-DW57,IF(A58&lt;'Données projet'!$A$166,$DL$205^A58,IF(A58='Données projet'!$A$166,'Données projet'!$B$166,DO57+DN58-DW57)))</f>
        <v>323.99999999999983</v>
      </c>
      <c r="DP58" s="17">
        <f>DO58*VLOOKUP('Données projet'!$B$14,Paramètres!$A$1:$I$89,3,0)*VLOOKUP('Données projet'!$B$14,Paramètres!$A$1:$I$89,5,0)</f>
        <v>257.7743999999999</v>
      </c>
      <c r="DQ58" s="13">
        <f t="shared" si="43"/>
        <v>62.247732872134243</v>
      </c>
      <c r="DR58" s="20">
        <f t="shared" si="16"/>
        <v>557.37188141896695</v>
      </c>
      <c r="DS58" s="59">
        <f t="shared" si="17"/>
        <v>850.70521475230021</v>
      </c>
      <c r="DT58" s="59">
        <f ca="1">AVERAGE(OFFSET($DS$3,0,0,'Données projet'!$E$14+1,1))-AVERAGE(OFFSET($H$3,0,0,'Données projet'!$E$14+1,1))</f>
        <v>325.72928944930294</v>
      </c>
      <c r="DU58" s="59">
        <f t="shared" si="44"/>
        <v>318.38876834819752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18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10.553251775543451</v>
      </c>
      <c r="EB58" s="21">
        <f>EXP(-LN(2)/25)*EB57+(1-EXP(-LN(2)/25))/(LN(2)/25)*Calculateur!DW58*Calculateur!DY58*VLOOKUP('Données projet'!$B$14,Paramètres!$A$1:$I$89,3,0)*0.475*44/12</f>
        <v>10.339940433136604</v>
      </c>
      <c r="EC58" s="21">
        <f>EXP(-LN(2)/2)*EC57+(1-EXP(-LN(2)/2))/(LN(2)/2)*DW58*DZ58*VLOOKUP('Données projet'!$B$14,Paramètres!$A$1:$I$89,3,0)*0.475*44/12</f>
        <v>2.0422060455922804E-3</v>
      </c>
      <c r="ED58" s="22">
        <f t="shared" si="18"/>
        <v>20.895234414725646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254</v>
      </c>
      <c r="EH58" s="12">
        <f>VLOOKUP(A58,'Données projet'!$A$191:$I$211,9,0)</f>
        <v>10.199999999999999</v>
      </c>
      <c r="EI58" s="12">
        <f t="array" ref="EI58">INDEX(EH:EH,MIN(IF(ISNUMBER(EH58:EH254),ROW(EH58:EH254),"")))</f>
        <v>10.199999999999999</v>
      </c>
      <c r="EJ58" s="12">
        <f>IF('Données projet'!$A$192&gt;35,EJ57+EI58-ER57,IF(A58&lt;'Données projet'!$A$192,$EG$205^A58,IF(A58='Données projet'!$A$192,'Données projet'!$B$192,EJ57+EI58-ER57)))</f>
        <v>253.99999999999997</v>
      </c>
      <c r="EK58" s="17">
        <f>EJ58*VLOOKUP('Données projet'!$B$15,Paramètres!$A$1:$I$89,3,0)*VLOOKUP('Données projet'!$B$15,Paramètres!$A$1:$I$89,5,0)</f>
        <v>257.55599999999998</v>
      </c>
      <c r="EL58" s="13">
        <f t="shared" si="45"/>
        <v>62.201129910568184</v>
      </c>
      <c r="EM58" s="20">
        <f t="shared" si="19"/>
        <v>556.91033459423954</v>
      </c>
      <c r="EN58" s="59">
        <f t="shared" si="20"/>
        <v>850.24366792757291</v>
      </c>
      <c r="EO58" s="59">
        <f ca="1">AVERAGE(OFFSET($EN$3,0,0,'Données projet'!$E$15+1,1))-AVERAGE(OFFSET($H$3,0,0,'Données projet'!$E$15+1,1))</f>
        <v>384.50065773787549</v>
      </c>
      <c r="EP58" s="59">
        <f t="shared" si="46"/>
        <v>231.92898690465887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28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4.9921645707055724</v>
      </c>
      <c r="EW58" s="21">
        <f>EXP(-LN(2)/25)*EW57+(1-EXP(-LN(2)/25))/(LN(2)/25)*Calculateur!ER58*Calculateur!ET58*VLOOKUP('Données projet'!$B$15,Paramètres!$A$1:$I$89,3,0)*0.475*44/12</f>
        <v>5.2474982611038588</v>
      </c>
      <c r="EX58" s="21">
        <f>EXP(-LN(2)/2)*EX57+(1-EXP(-LN(2)/2))/(LN(2)/2)*ER58*EU58*VLOOKUP('Données projet'!$B$15,Paramètres!$A$1:$I$89,3,0)*0.475*44/12</f>
        <v>1.65122183969988E-3</v>
      </c>
      <c r="EY58" s="22">
        <f t="shared" si="21"/>
        <v>10.24131405364913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254</v>
      </c>
      <c r="FC58" s="12">
        <f>VLOOKUP(A58,'Données projet'!$A$217:$I$237,9,0)</f>
        <v>10.199999999999999</v>
      </c>
      <c r="FD58" s="12">
        <f t="array" ref="FD58">INDEX(FC:FC,MIN(IF(ISNUMBER(FC58:FC254),ROW(FC58:FC254),"")))</f>
        <v>10.199999999999999</v>
      </c>
      <c r="FE58" s="12">
        <f>IF('Données projet'!$A$218&gt;35,FE57+FD58-FM57,IF(A58&lt;'Données projet'!$A$218,$FB$205^A58,IF(A58='Données projet'!$A$218,'Données projet'!$B$218,FE57+FD58-FM57)))</f>
        <v>253.99999999999997</v>
      </c>
      <c r="FF58" s="17">
        <f>FE58*VLOOKUP('Données projet'!$B$16,Paramètres!$A$1:$I$89,3,0)*VLOOKUP('Données projet'!$B$16,Paramètres!$A$1:$I$89,5,0)</f>
        <v>229.81919999999997</v>
      </c>
      <c r="FG58" s="13">
        <f t="shared" si="47"/>
        <v>56.243586554989342</v>
      </c>
      <c r="FH58" s="20">
        <f t="shared" si="22"/>
        <v>498.22601991660639</v>
      </c>
      <c r="FI58" s="59">
        <f t="shared" si="23"/>
        <v>791.5593532499397</v>
      </c>
      <c r="FJ58" s="59">
        <f ca="1">AVERAGE(OFFSET($FI$3,0,0,'Données projet'!$E$16+1,1))-AVERAGE(OFFSET($H$3,0,0,'Données projet'!$E$16+1,1))</f>
        <v>326.46362829268969</v>
      </c>
      <c r="FK58" s="59">
        <f t="shared" si="48"/>
        <v>203.5274665601915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28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4.4545468477065064</v>
      </c>
      <c r="FR58" s="21">
        <f>EXP(-LN(2)/25)*FR57+(1-EXP(-LN(2)/25))/(LN(2)/25)*Calculateur!FM58*Calculateur!FO58*VLOOKUP('Données projet'!$B$16,Paramètres!$A$1:$I$89,3,0)*0.475*44/12</f>
        <v>4.6823830637542097</v>
      </c>
      <c r="FS58" s="21">
        <f>EXP(-LN(2)/2)*FS57+(1-EXP(-LN(2)/2))/(LN(2)/2)*FM58*FP58*VLOOKUP('Données projet'!$B$16,Paramètres!$A$1:$I$89,3,0)*0.475*44/12</f>
        <v>1.4733979492706621E-3</v>
      </c>
      <c r="FT58" s="22">
        <f t="shared" si="24"/>
        <v>9.1384033094099859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254</v>
      </c>
      <c r="FX58" s="12">
        <f>VLOOKUP(A58,'Données projet'!$A$243:$I$263,9,0)</f>
        <v>10.199999999999999</v>
      </c>
      <c r="FY58" s="12">
        <f t="array" ref="FY58">INDEX(FX:FX,MIN(IF(ISNUMBER(FX58:FX254),ROW(FX58:FX254),"")))</f>
        <v>10.199999999999999</v>
      </c>
      <c r="FZ58" s="12">
        <f>IF('Données projet'!$A$244&gt;35,FZ57+FY58-GH57,IF(A58&lt;'Données projet'!$A$244,$FW$205^A58,IF(A58='Données projet'!$A$244,'Données projet'!$B$244,FZ57+FY58-GH57)))</f>
        <v>253.99999999999997</v>
      </c>
      <c r="GA58" s="17">
        <f>FZ58*VLOOKUP('Données projet'!$B$17,Paramètres!$A$1:$I$89,3,0)*VLOOKUP('Données projet'!$B$17,Paramètres!$A$1:$I$89,5,0)</f>
        <v>245.6688</v>
      </c>
      <c r="GB58" s="13">
        <f t="shared" si="49"/>
        <v>59.657538312400263</v>
      </c>
      <c r="GC58" s="20">
        <f t="shared" si="25"/>
        <v>531.77670589409706</v>
      </c>
      <c r="GD58" s="59">
        <f t="shared" si="26"/>
        <v>825.11003922743043</v>
      </c>
      <c r="GE58" s="59">
        <f ca="1">AVERAGE(OFFSET($GD$3,0,0,'Données projet'!$E$17+1,1))-AVERAGE(OFFSET($H$3,0,0,'Données projet'!$E$17+1,1))</f>
        <v>353.24082990916918</v>
      </c>
      <c r="GF58" s="59">
        <f t="shared" si="50"/>
        <v>219.76562717496353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28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4.7617569751345439</v>
      </c>
      <c r="GM58" s="21">
        <f>EXP(-LN(2)/25)*GM57+(1-EXP(-LN(2)/25))/(LN(2)/25)*Calculateur!GH58*Calculateur!GJ58*VLOOKUP('Données projet'!$B$17,Paramètres!$A$1:$I$89,3,0)*0.475*44/12</f>
        <v>5.0053060336682949</v>
      </c>
      <c r="GN58" s="21">
        <f>EXP(-LN(2)/2)*GN57+(1-EXP(-LN(2)/2))/(LN(2)/2)*GH58*GK58*VLOOKUP('Données projet'!$B$17,Paramètres!$A$1:$I$89,3,0)*0.475*44/12</f>
        <v>1.5750116009445013E-3</v>
      </c>
      <c r="GO58" s="21">
        <f t="shared" si="27"/>
        <v>9.7686380204037846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378.17323480030268</v>
      </c>
      <c r="T59" s="59">
        <f t="shared" si="34"/>
        <v>471.89239871617241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2.6321117675575589</v>
      </c>
      <c r="AA59" s="21">
        <f>EXP(-LN(2)/25)*AA58+(1-EXP(-LN(2)/25))/(LN(2)/25)*Calculateur!V59*Calculateur!X59*VLOOKUP('Données projet'!$B$9,Paramètres!$A$1:$I$89,3,0)*0.475*44/12</f>
        <v>10.116290090310486</v>
      </c>
      <c r="AB59" s="21">
        <f>EXP(-LN(2)/2)*AB58+(1-EXP(-LN(2)/2))/(LN(2)/2)*V59*Y59*VLOOKUP('Données projet'!$B$9,Paramètres!$A$1:$I$89,3,0)*0.475*44/12</f>
        <v>1.2769276038907898E-3</v>
      </c>
      <c r="AC59" s="22">
        <f t="shared" si="3"/>
        <v>12.749678785471936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2.125</v>
      </c>
      <c r="AI59" s="13">
        <f>IF('Données projet'!$A$62&gt;35,AI58+AH59-AQ58,IF(A59&lt;'Données projet'!$A$62,$AF$205^A59,IF(A59='Données projet'!$A$62,'Données projet'!$B$62,AI58+AH59-AQ58)))</f>
        <v>228.25</v>
      </c>
      <c r="AJ59" s="13">
        <f>AI59*VLOOKUP('Données projet'!$B$10,Paramètres!$A$1:$I$89,3,0)*VLOOKUP('Données projet'!$B$10,Paramètres!$A$1:$I$89,5,0)</f>
        <v>136.49350000000001</v>
      </c>
      <c r="AK59" s="13">
        <f t="shared" si="35"/>
        <v>35.492533566506438</v>
      </c>
      <c r="AL59" s="20">
        <f t="shared" si="4"/>
        <v>299.54234179499872</v>
      </c>
      <c r="AM59" s="59">
        <f t="shared" si="5"/>
        <v>592.87567512833198</v>
      </c>
      <c r="AN59" s="59">
        <f ca="1">AVERAGE(OFFSET($AM$3,0,0,'Données projet'!$E$10+1,1))-AVERAGE(OFFSET($H$3,0,0,'Données projet'!$E$10+1,1))</f>
        <v>141.22849894256314</v>
      </c>
      <c r="AO59" s="59">
        <f t="shared" si="36"/>
        <v>156.12101479343704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4.3952133789425964</v>
      </c>
      <c r="AV59" s="21">
        <f>EXP(-LN(2)/25)*AV58+(1-EXP(-LN(2)/25))/(LN(2)/25)*Calculateur!AQ59*Calculateur!AS59*VLOOKUP('Données projet'!$B$10,Paramètres!$A$1:$I$89,3,0)*0.475*44/12</f>
        <v>2.9289255600367401</v>
      </c>
      <c r="AW59" s="21">
        <f>EXP(-LN(2)/2)*AW58+(1-EXP(-LN(2)/2))/(LN(2)/2)*AQ59*AT59*VLOOKUP('Données projet'!$B$10,Paramètres!$A$1:$I$89,3,0)*0.475*44/12</f>
        <v>3.6108044802143723E-4</v>
      </c>
      <c r="AX59" s="21">
        <f t="shared" si="6"/>
        <v>7.324500019427358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265</v>
      </c>
      <c r="BE59" s="13">
        <f>BD59*VLOOKUP('Données projet'!$B$11,Paramètres!$A$1:$I$89,3,0)*VLOOKUP('Données projet'!$B$11,Paramètres!$A$1:$I$89,5,0)</f>
        <v>117.13000000000001</v>
      </c>
      <c r="BF59" s="13">
        <f t="shared" si="37"/>
        <v>31.004678781642113</v>
      </c>
      <c r="BG59" s="20">
        <f t="shared" si="7"/>
        <v>258.00123221136005</v>
      </c>
      <c r="BH59" s="59">
        <f t="shared" si="8"/>
        <v>551.33456554469331</v>
      </c>
      <c r="BI59" s="59">
        <f ca="1">AVERAGE(OFFSET($BH$3,0,0,'Données projet'!$E$11+1,1))-AVERAGE(OFFSET($H$3,0,0,'Données projet'!$E$11+1,1))</f>
        <v>114.25511901730295</v>
      </c>
      <c r="BJ59" s="59">
        <f t="shared" si="38"/>
        <v>180.96261947642182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2.0426638265024644</v>
      </c>
      <c r="BQ59" s="21">
        <f>EXP(-LN(2)/25)*BQ58+(1-EXP(-LN(2)/25))/(LN(2)/25)*Calculateur!BL59*Calculateur!BN59*VLOOKUP('Données projet'!$B$11,Paramètres!$A$1:$I$89,3,0)*0.475*44/12</f>
        <v>8.6640194677908031</v>
      </c>
      <c r="BR59" s="21">
        <f>EXP(-LN(2)/2)*BR58+(1-EXP(-LN(2)/2))/(LN(2)/2)*BL59*BO59*VLOOKUP('Données projet'!$B$11,Paramètres!$A$1:$I$89,3,0)*0.475*44/12</f>
        <v>8.3399200905539682E-4</v>
      </c>
      <c r="BS59" s="22">
        <f t="shared" si="9"/>
        <v>10.707517286302322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9.375</v>
      </c>
      <c r="BY59" s="12">
        <f>IF('Données projet'!$A$114&gt;35,BY58+BX59-CG58,IF(A59&lt;'Données projet'!$A$114,$BV$205^A59,IF(A59='Données projet'!$A$114,'Données projet'!$B$114,BY58+BX59-CG58)))</f>
        <v>259.49999999999989</v>
      </c>
      <c r="BZ59" s="13">
        <f>BY59*VLOOKUP('Données projet'!$B$12,Paramètres!$A$1:$I$89,3,0)*VLOOKUP('Données projet'!$B$12,Paramètres!$A$1:$I$89,5,0)</f>
        <v>202.40999999999991</v>
      </c>
      <c r="CA59" s="13">
        <f t="shared" si="39"/>
        <v>50.273442991661817</v>
      </c>
      <c r="CB59" s="20">
        <f t="shared" si="10"/>
        <v>440.09032987714414</v>
      </c>
      <c r="CC59" s="59">
        <f t="shared" si="11"/>
        <v>733.42366321047746</v>
      </c>
      <c r="CD59" s="59">
        <f ca="1">AVERAGE(OFFSET($CC$3,0,0,'Données projet'!$E$12+1,1))-AVERAGE(OFFSET($H$3,0,0,'Données projet'!$E$12+1,1))</f>
        <v>216.95993967070063</v>
      </c>
      <c r="CE59" s="59">
        <f t="shared" si="40"/>
        <v>208.79744153433245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3.0873419533732203</v>
      </c>
      <c r="CL59" s="21">
        <f>EXP(-LN(2)/25)*CL58+(1-EXP(-LN(2)/25))/(LN(2)/25)*Calculateur!CG59*Calculateur!CI59*VLOOKUP('Données projet'!$B$12,Paramètres!$A$1:$I$89,3,0)*0.475*44/12</f>
        <v>3.1209366462228689</v>
      </c>
      <c r="CM59" s="21">
        <f>EXP(-LN(2)/2)*CM58+(1-EXP(-LN(2)/2))/(LN(2)/2)*CG59*CJ59*VLOOKUP('Données projet'!$B$12,Paramètres!$A$1:$I$89,3,0)*0.475*44/12</f>
        <v>1.5058695758099694E-4</v>
      </c>
      <c r="CN59" s="22">
        <f t="shared" si="12"/>
        <v>6.20842918655367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9.375</v>
      </c>
      <c r="CT59" s="12">
        <f>IF('Données projet'!$A$140&gt;35,CT58+CS59-DB58,IF(A59&lt;'Données projet'!$A$140,$CQ$205^A59,IF(A59='Données projet'!$A$140,'Données projet'!$B$140,CT58+CS59-DB58)))</f>
        <v>259.49999999999989</v>
      </c>
      <c r="CU59" s="17">
        <f>CT59*VLOOKUP('Données projet'!$B$13,Paramètres!$A$1:$I$89,3,0)*VLOOKUP('Données projet'!$B$13,Paramètres!$A$1:$I$89,5,0)</f>
        <v>174.07259999999994</v>
      </c>
      <c r="CV59" s="13">
        <f t="shared" si="41"/>
        <v>44.000889955583666</v>
      </c>
      <c r="CW59" s="20">
        <f t="shared" si="13"/>
        <v>379.81132833930809</v>
      </c>
      <c r="CX59" s="59">
        <f t="shared" si="14"/>
        <v>673.1446616726414</v>
      </c>
      <c r="CY59" s="59">
        <f ca="1">AVERAGE(OFFSET($CX$3,0,0,'Données projet'!$E$13+1,1))-AVERAGE(OFFSET($H$3,0,0,'Données projet'!$E$13+1,1))</f>
        <v>181.32837315090507</v>
      </c>
      <c r="CZ59" s="59">
        <f t="shared" si="42"/>
        <v>175.03267817980338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3.2725824705756108</v>
      </c>
      <c r="DG59" s="21">
        <f>EXP(-LN(2)/25)*DG58+(1-EXP(-LN(2)/25))/(LN(2)/25)*Calculateur!DB59*Calculateur!DD59*VLOOKUP('Données projet'!$B$13,Paramètres!$A$1:$I$89,3,0)*0.475*44/12</f>
        <v>3.3081928449962423</v>
      </c>
      <c r="DH59" s="21">
        <f>EXP(-LN(2)/2)*DH58+(1-EXP(-LN(2)/2))/(LN(2)/2)*DB59*DE59*VLOOKUP('Données projet'!$B$13,Paramètres!$A$1:$I$89,3,0)*0.475*44/12</f>
        <v>1.2950478351965732E-4</v>
      </c>
      <c r="DI59" s="22">
        <f t="shared" si="15"/>
        <v>6.5809048203553724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7.4</v>
      </c>
      <c r="DO59" s="12">
        <f>IF('Données projet'!$A$166&gt;35,DO58+DN59-DW58,IF(A59&lt;'Données projet'!$A$166,$DL$205^A59,IF(A59='Données projet'!$A$166,'Données projet'!$B$166,DO58+DN59-DW58)))</f>
        <v>313.39999999999981</v>
      </c>
      <c r="DP59" s="17">
        <f>DO59*VLOOKUP('Données projet'!$B$14,Paramètres!$A$1:$I$89,3,0)*VLOOKUP('Données projet'!$B$14,Paramètres!$A$1:$I$89,5,0)</f>
        <v>249.34103999999988</v>
      </c>
      <c r="DQ59" s="13">
        <f t="shared" si="43"/>
        <v>60.444812818312201</v>
      </c>
      <c r="DR59" s="20">
        <f t="shared" si="16"/>
        <v>539.54369365856019</v>
      </c>
      <c r="DS59" s="59">
        <f t="shared" si="17"/>
        <v>832.87702699189344</v>
      </c>
      <c r="DT59" s="59">
        <f ca="1">AVERAGE(OFFSET($DS$3,0,0,'Données projet'!$E$14+1,1))-AVERAGE(OFFSET($H$3,0,0,'Données projet'!$E$14+1,1))</f>
        <v>325.72928944930294</v>
      </c>
      <c r="DU59" s="59">
        <f t="shared" si="44"/>
        <v>318.38876834819752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10.346308945073041</v>
      </c>
      <c r="EB59" s="21">
        <f>EXP(-LN(2)/25)*EB58+(1-EXP(-LN(2)/25))/(LN(2)/25)*Calculateur!DW59*Calculateur!DY59*VLOOKUP('Données projet'!$B$14,Paramètres!$A$1:$I$89,3,0)*0.475*44/12</f>
        <v>10.057194218238649</v>
      </c>
      <c r="EC59" s="21">
        <f>EXP(-LN(2)/2)*EC58+(1-EXP(-LN(2)/2))/(LN(2)/2)*DW59*DZ59*VLOOKUP('Données projet'!$B$14,Paramètres!$A$1:$I$89,3,0)*0.475*44/12</f>
        <v>1.4440577434184651E-3</v>
      </c>
      <c r="ED59" s="22">
        <f t="shared" si="18"/>
        <v>20.40494722105511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9.4</v>
      </c>
      <c r="EJ59" s="12">
        <f>IF('Données projet'!$A$192&gt;35,EJ58+EI59-ER58,IF(A59&lt;'Données projet'!$A$192,$EG$205^A59,IF(A59='Données projet'!$A$192,'Données projet'!$B$192,EJ58+EI59-ER58)))</f>
        <v>235.39999999999998</v>
      </c>
      <c r="EK59" s="17">
        <f>EJ59*VLOOKUP('Données projet'!$B$15,Paramètres!$A$1:$I$89,3,0)*VLOOKUP('Données projet'!$B$15,Paramètres!$A$1:$I$89,5,0)</f>
        <v>238.69559999999998</v>
      </c>
      <c r="EL59" s="13">
        <f t="shared" si="45"/>
        <v>58.158793514165929</v>
      </c>
      <c r="EM59" s="20">
        <f t="shared" si="19"/>
        <v>517.02140203717238</v>
      </c>
      <c r="EN59" s="59">
        <f t="shared" si="20"/>
        <v>810.35473537050575</v>
      </c>
      <c r="EO59" s="59">
        <f ca="1">AVERAGE(OFFSET($EN$3,0,0,'Données projet'!$E$15+1,1))-AVERAGE(OFFSET($H$3,0,0,'Données projet'!$E$15+1,1))</f>
        <v>384.50065773787549</v>
      </c>
      <c r="EP59" s="59">
        <f t="shared" si="46"/>
        <v>231.92898690465887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4.894271268393763</v>
      </c>
      <c r="EW59" s="21">
        <f>EXP(-LN(2)/25)*EW58+(1-EXP(-LN(2)/25))/(LN(2)/25)*Calculateur!ER59*Calculateur!ET59*VLOOKUP('Données projet'!$B$15,Paramètres!$A$1:$I$89,3,0)*0.475*44/12</f>
        <v>5.1040051452000332</v>
      </c>
      <c r="EX59" s="21">
        <f>EXP(-LN(2)/2)*EX58+(1-EXP(-LN(2)/2))/(LN(2)/2)*ER59*EU59*VLOOKUP('Données projet'!$B$15,Paramètres!$A$1:$I$89,3,0)*0.475*44/12</f>
        <v>1.1675901600951115E-3</v>
      </c>
      <c r="EY59" s="22">
        <f t="shared" si="21"/>
        <v>9.9994440037538919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9.4</v>
      </c>
      <c r="FE59" s="12">
        <f>IF('Données projet'!$A$218&gt;35,FE58+FD59-FM58,IF(A59&lt;'Données projet'!$A$218,$FB$205^A59,IF(A59='Données projet'!$A$218,'Données projet'!$B$218,FE58+FD59-FM58)))</f>
        <v>235.39999999999998</v>
      </c>
      <c r="FF59" s="17">
        <f>FE59*VLOOKUP('Données projet'!$B$16,Paramètres!$A$1:$I$89,3,0)*VLOOKUP('Données projet'!$B$16,Paramètres!$A$1:$I$89,5,0)</f>
        <v>212.98991999999998</v>
      </c>
      <c r="FG59" s="13">
        <f t="shared" si="47"/>
        <v>52.588419883221171</v>
      </c>
      <c r="FH59" s="20">
        <f t="shared" si="22"/>
        <v>462.54894196327677</v>
      </c>
      <c r="FI59" s="59">
        <f t="shared" si="23"/>
        <v>755.88227529661003</v>
      </c>
      <c r="FJ59" s="59">
        <f ca="1">AVERAGE(OFFSET($FI$3,0,0,'Données projet'!$E$16+1,1))-AVERAGE(OFFSET($H$3,0,0,'Données projet'!$E$16+1,1))</f>
        <v>326.46362829268969</v>
      </c>
      <c r="FK59" s="59">
        <f t="shared" si="48"/>
        <v>203.5274665601915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4.3671959010282766</v>
      </c>
      <c r="FR59" s="21">
        <f>EXP(-LN(2)/25)*FR58+(1-EXP(-LN(2)/25))/(LN(2)/25)*Calculateur!FM59*Calculateur!FO59*VLOOKUP('Données projet'!$B$16,Paramètres!$A$1:$I$89,3,0)*0.475*44/12</f>
        <v>4.5543430526400268</v>
      </c>
      <c r="FS59" s="21">
        <f>EXP(-LN(2)/2)*FS58+(1-EXP(-LN(2)/2))/(LN(2)/2)*FM59*FP59*VLOOKUP('Données projet'!$B$16,Paramètres!$A$1:$I$89,3,0)*0.475*44/12</f>
        <v>1.0418496813156379E-3</v>
      </c>
      <c r="FT59" s="22">
        <f t="shared" si="24"/>
        <v>8.9225808033496197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9.4</v>
      </c>
      <c r="FZ59" s="12">
        <f>IF('Données projet'!$A$244&gt;35,FZ58+FY59-GH58,IF(A59&lt;'Données projet'!$A$244,$FW$205^A59,IF(A59='Données projet'!$A$244,'Données projet'!$B$244,FZ58+FY59-GH58)))</f>
        <v>235.39999999999998</v>
      </c>
      <c r="GA59" s="17">
        <f>FZ59*VLOOKUP('Données projet'!$B$17,Paramètres!$A$1:$I$89,3,0)*VLOOKUP('Données projet'!$B$17,Paramètres!$A$1:$I$89,5,0)</f>
        <v>227.67887999999996</v>
      </c>
      <c r="GB59" s="13">
        <f t="shared" si="49"/>
        <v>55.780505229774469</v>
      </c>
      <c r="GC59" s="20">
        <f t="shared" si="25"/>
        <v>493.69176260852379</v>
      </c>
      <c r="GD59" s="59">
        <f t="shared" si="26"/>
        <v>787.0250959418571</v>
      </c>
      <c r="GE59" s="59">
        <f ca="1">AVERAGE(OFFSET($GD$3,0,0,'Données projet'!$E$17+1,1))-AVERAGE(OFFSET($H$3,0,0,'Données projet'!$E$17+1,1))</f>
        <v>353.24082990916918</v>
      </c>
      <c r="GF59" s="59">
        <f t="shared" si="50"/>
        <v>219.76562717496353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4.6683818252371259</v>
      </c>
      <c r="GM59" s="21">
        <f>EXP(-LN(2)/25)*GM58+(1-EXP(-LN(2)/25))/(LN(2)/25)*Calculateur!GH59*Calculateur!GJ59*VLOOKUP('Données projet'!$B$17,Paramètres!$A$1:$I$89,3,0)*0.475*44/12</f>
        <v>4.868435676960031</v>
      </c>
      <c r="GN59" s="21">
        <f>EXP(-LN(2)/2)*GN58+(1-EXP(-LN(2)/2))/(LN(2)/2)*GH59*GK59*VLOOKUP('Données projet'!$B$17,Paramètres!$A$1:$I$89,3,0)*0.475*44/12</f>
        <v>1.1137013834753373E-3</v>
      </c>
      <c r="GO59" s="21">
        <f t="shared" si="27"/>
        <v>9.5379312035806318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378.17323480030268</v>
      </c>
      <c r="T60" s="59">
        <f t="shared" si="34"/>
        <v>471.89239871617241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2.5804976612254102</v>
      </c>
      <c r="AA60" s="21">
        <f>EXP(-LN(2)/25)*AA59+(1-EXP(-LN(2)/25))/(LN(2)/25)*Calculateur!V60*Calculateur!X60*VLOOKUP('Données projet'!$B$9,Paramètres!$A$1:$I$89,3,0)*0.475*44/12</f>
        <v>9.8396596057983707</v>
      </c>
      <c r="AB60" s="21">
        <f>EXP(-LN(2)/2)*AB59+(1-EXP(-LN(2)/2))/(LN(2)/2)*V60*Y60*VLOOKUP('Données projet'!$B$9,Paramètres!$A$1:$I$89,3,0)*0.475*44/12</f>
        <v>9.0292416779546713E-4</v>
      </c>
      <c r="AC60" s="22">
        <f t="shared" si="3"/>
        <v>12.421060191191575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2.125</v>
      </c>
      <c r="AI60" s="13">
        <f>IF('Données projet'!$A$62&gt;35,AI59+AH60-AQ59,IF(A60&lt;'Données projet'!$A$62,$AF$205^A60,IF(A60='Données projet'!$A$62,'Données projet'!$B$62,AI59+AH60-AQ59)))</f>
        <v>230.375</v>
      </c>
      <c r="AJ60" s="13">
        <f>AI60*VLOOKUP('Données projet'!$B$10,Paramètres!$A$1:$I$89,3,0)*VLOOKUP('Données projet'!$B$10,Paramètres!$A$1:$I$89,5,0)</f>
        <v>137.76425000000003</v>
      </c>
      <c r="AK60" s="13">
        <f t="shared" si="35"/>
        <v>35.784347676183451</v>
      </c>
      <c r="AL60" s="20">
        <f t="shared" si="4"/>
        <v>302.26380761935292</v>
      </c>
      <c r="AM60" s="59">
        <f t="shared" si="5"/>
        <v>595.59714095268623</v>
      </c>
      <c r="AN60" s="59">
        <f ca="1">AVERAGE(OFFSET($AM$3,0,0,'Données projet'!$E$10+1,1))-AVERAGE(OFFSET($H$3,0,0,'Données projet'!$E$10+1,1))</f>
        <v>141.22849894256314</v>
      </c>
      <c r="AO60" s="59">
        <f t="shared" si="36"/>
        <v>156.12101479343704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4.3090259253969849</v>
      </c>
      <c r="AV60" s="21">
        <f>EXP(-LN(2)/25)*AV59+(1-EXP(-LN(2)/25))/(LN(2)/25)*Calculateur!AQ60*Calculateur!AS60*VLOOKUP('Données projet'!$B$10,Paramètres!$A$1:$I$89,3,0)*0.475*44/12</f>
        <v>2.8488339365720345</v>
      </c>
      <c r="AW60" s="21">
        <f>EXP(-LN(2)/2)*AW59+(1-EXP(-LN(2)/2))/(LN(2)/2)*AQ60*AT60*VLOOKUP('Données projet'!$B$10,Paramètres!$A$1:$I$89,3,0)*0.475*44/12</f>
        <v>2.5532243334983496E-4</v>
      </c>
      <c r="AX60" s="21">
        <f t="shared" si="6"/>
        <v>7.1581151844023685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274.75</v>
      </c>
      <c r="BE60" s="13">
        <f>BD60*VLOOKUP('Données projet'!$B$11,Paramètres!$A$1:$I$89,3,0)*VLOOKUP('Données projet'!$B$11,Paramètres!$A$1:$I$89,5,0)</f>
        <v>121.43950000000001</v>
      </c>
      <c r="BF60" s="13">
        <f t="shared" si="37"/>
        <v>32.010505670412527</v>
      </c>
      <c r="BG60" s="20">
        <f t="shared" si="7"/>
        <v>267.25875987596851</v>
      </c>
      <c r="BH60" s="59">
        <f t="shared" si="8"/>
        <v>560.59209320930177</v>
      </c>
      <c r="BI60" s="59">
        <f ca="1">AVERAGE(OFFSET($BH$3,0,0,'Données projet'!$E$11+1,1))-AVERAGE(OFFSET($H$3,0,0,'Données projet'!$E$11+1,1))</f>
        <v>114.25511901730295</v>
      </c>
      <c r="BJ60" s="59">
        <f t="shared" si="38"/>
        <v>180.96261947642182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2.0026084347666626</v>
      </c>
      <c r="BQ60" s="21">
        <f>EXP(-LN(2)/25)*BQ59+(1-EXP(-LN(2)/25))/(LN(2)/25)*Calculateur!BL60*Calculateur!BN60*VLOOKUP('Données projet'!$B$11,Paramètres!$A$1:$I$89,3,0)*0.475*44/12</f>
        <v>8.4271013998230817</v>
      </c>
      <c r="BR60" s="21">
        <f>EXP(-LN(2)/2)*BR59+(1-EXP(-LN(2)/2))/(LN(2)/2)*BL60*BO60*VLOOKUP('Données projet'!$B$11,Paramètres!$A$1:$I$89,3,0)*0.475*44/12</f>
        <v>5.8972140505846363E-4</v>
      </c>
      <c r="BS60" s="22">
        <f t="shared" si="9"/>
        <v>10.430299555994802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9.375</v>
      </c>
      <c r="BY60" s="12">
        <f>IF('Données projet'!$A$114&gt;35,BY59+BX60-CG59,IF(A60&lt;'Données projet'!$A$114,$BV$205^A60,IF(A60='Données projet'!$A$114,'Données projet'!$B$114,BY59+BX60-CG59)))</f>
        <v>268.87499999999989</v>
      </c>
      <c r="BZ60" s="13">
        <f>BY60*VLOOKUP('Données projet'!$B$12,Paramètres!$A$1:$I$89,3,0)*VLOOKUP('Données projet'!$B$12,Paramètres!$A$1:$I$89,5,0)</f>
        <v>209.72249999999991</v>
      </c>
      <c r="CA60" s="13">
        <f t="shared" si="39"/>
        <v>51.874940300502246</v>
      </c>
      <c r="CB60" s="20">
        <f t="shared" si="10"/>
        <v>455.61554185670792</v>
      </c>
      <c r="CC60" s="59">
        <f t="shared" si="11"/>
        <v>748.94887519004124</v>
      </c>
      <c r="CD60" s="59">
        <f ca="1">AVERAGE(OFFSET($CC$3,0,0,'Données projet'!$E$12+1,1))-AVERAGE(OFFSET($H$3,0,0,'Données projet'!$E$12+1,1))</f>
        <v>216.95993967070063</v>
      </c>
      <c r="CE60" s="59">
        <f t="shared" si="40"/>
        <v>208.79744153433245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3.0268010607602229</v>
      </c>
      <c r="CL60" s="21">
        <f>EXP(-LN(2)/25)*CL59+(1-EXP(-LN(2)/25))/(LN(2)/25)*Calculateur!CG60*Calculateur!CI60*VLOOKUP('Données projet'!$B$12,Paramètres!$A$1:$I$89,3,0)*0.475*44/12</f>
        <v>3.0355944695089794</v>
      </c>
      <c r="CM60" s="21">
        <f>EXP(-LN(2)/2)*CM59+(1-EXP(-LN(2)/2))/(LN(2)/2)*CG60*CJ60*VLOOKUP('Données projet'!$B$12,Paramètres!$A$1:$I$89,3,0)*0.475*44/12</f>
        <v>1.0648105886377392E-4</v>
      </c>
      <c r="CN60" s="22">
        <f t="shared" si="12"/>
        <v>6.0625020113280659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9.375</v>
      </c>
      <c r="CT60" s="12">
        <f>IF('Données projet'!$A$140&gt;35,CT59+CS60-DB59,IF(A60&lt;'Données projet'!$A$140,$CQ$205^A60,IF(A60='Données projet'!$A$140,'Données projet'!$B$140,CT59+CS60-DB59)))</f>
        <v>268.87499999999989</v>
      </c>
      <c r="CU60" s="17">
        <f>CT60*VLOOKUP('Données projet'!$B$13,Paramètres!$A$1:$I$89,3,0)*VLOOKUP('Données projet'!$B$13,Paramètres!$A$1:$I$89,5,0)</f>
        <v>180.36134999999993</v>
      </c>
      <c r="CV60" s="13">
        <f t="shared" si="41"/>
        <v>45.402570498174285</v>
      </c>
      <c r="CW60" s="20">
        <f t="shared" si="13"/>
        <v>393.20549486765344</v>
      </c>
      <c r="CX60" s="59">
        <f t="shared" si="14"/>
        <v>686.5388282009867</v>
      </c>
      <c r="CY60" s="59">
        <f ca="1">AVERAGE(OFFSET($CX$3,0,0,'Données projet'!$E$13+1,1))-AVERAGE(OFFSET($H$3,0,0,'Données projet'!$E$13+1,1))</f>
        <v>181.32837315090507</v>
      </c>
      <c r="CZ60" s="59">
        <f t="shared" si="42"/>
        <v>175.03267817980338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3.2084091244058337</v>
      </c>
      <c r="DG60" s="21">
        <f>EXP(-LN(2)/25)*DG59+(1-EXP(-LN(2)/25))/(LN(2)/25)*Calculateur!DB60*Calculateur!DD60*VLOOKUP('Données projet'!$B$13,Paramètres!$A$1:$I$89,3,0)*0.475*44/12</f>
        <v>3.2177301376795193</v>
      </c>
      <c r="DH60" s="21">
        <f>EXP(-LN(2)/2)*DH59+(1-EXP(-LN(2)/2))/(LN(2)/2)*DB60*DE60*VLOOKUP('Données projet'!$B$13,Paramètres!$A$1:$I$89,3,0)*0.475*44/12</f>
        <v>9.1573710622845533E-5</v>
      </c>
      <c r="DI60" s="22">
        <f t="shared" si="15"/>
        <v>6.4262308357959759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7.4</v>
      </c>
      <c r="DO60" s="12">
        <f>IF('Données projet'!$A$166&gt;35,DO59+DN60-DW59,IF(A60&lt;'Données projet'!$A$166,$DL$205^A60,IF(A60='Données projet'!$A$166,'Données projet'!$B$166,DO59+DN60-DW59)))</f>
        <v>320.79999999999978</v>
      </c>
      <c r="DP60" s="17">
        <f>DO60*VLOOKUP('Données projet'!$B$14,Paramètres!$A$1:$I$89,3,0)*VLOOKUP('Données projet'!$B$14,Paramètres!$A$1:$I$89,5,0)</f>
        <v>255.22847999999985</v>
      </c>
      <c r="DQ60" s="13">
        <f t="shared" si="43"/>
        <v>61.704188876103551</v>
      </c>
      <c r="DR60" s="20">
        <f t="shared" si="16"/>
        <v>551.99106495921342</v>
      </c>
      <c r="DS60" s="59">
        <f t="shared" si="17"/>
        <v>845.32439829254668</v>
      </c>
      <c r="DT60" s="59">
        <f ca="1">AVERAGE(OFFSET($DS$3,0,0,'Données projet'!$E$14+1,1))-AVERAGE(OFFSET($H$3,0,0,'Données projet'!$E$14+1,1))</f>
        <v>325.72928944930294</v>
      </c>
      <c r="DU60" s="59">
        <f t="shared" si="44"/>
        <v>318.38876834819752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10.143424137285493</v>
      </c>
      <c r="EB60" s="21">
        <f>EXP(-LN(2)/25)*EB59+(1-EXP(-LN(2)/25))/(LN(2)/25)*Calculateur!DW60*Calculateur!DY60*VLOOKUP('Données projet'!$B$14,Paramètres!$A$1:$I$89,3,0)*0.475*44/12</f>
        <v>9.7821797134560562</v>
      </c>
      <c r="EC60" s="21">
        <f>EXP(-LN(2)/2)*EC59+(1-EXP(-LN(2)/2))/(LN(2)/2)*DW60*DZ60*VLOOKUP('Données projet'!$B$14,Paramètres!$A$1:$I$89,3,0)*0.475*44/12</f>
        <v>1.0211030227961402E-3</v>
      </c>
      <c r="ED60" s="22">
        <f t="shared" si="18"/>
        <v>19.926624953764346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9.4</v>
      </c>
      <c r="EJ60" s="12">
        <f>IF('Données projet'!$A$192&gt;35,EJ59+EI60-ER59,IF(A60&lt;'Données projet'!$A$192,$EG$205^A60,IF(A60='Données projet'!$A$192,'Données projet'!$B$192,EJ59+EI60-ER59)))</f>
        <v>244.79999999999998</v>
      </c>
      <c r="EK60" s="17">
        <f>EJ60*VLOOKUP('Données projet'!$B$15,Paramètres!$A$1:$I$89,3,0)*VLOOKUP('Données projet'!$B$15,Paramètres!$A$1:$I$89,5,0)</f>
        <v>248.22720000000001</v>
      </c>
      <c r="EL60" s="13">
        <f t="shared" si="45"/>
        <v>60.20616532763993</v>
      </c>
      <c r="EM60" s="20">
        <f t="shared" si="19"/>
        <v>537.18811127897277</v>
      </c>
      <c r="EN60" s="59">
        <f t="shared" si="20"/>
        <v>830.52144461230614</v>
      </c>
      <c r="EO60" s="59">
        <f ca="1">AVERAGE(OFFSET($EN$3,0,0,'Données projet'!$E$15+1,1))-AVERAGE(OFFSET($H$3,0,0,'Données projet'!$E$15+1,1))</f>
        <v>384.50065773787549</v>
      </c>
      <c r="EP60" s="59">
        <f t="shared" si="46"/>
        <v>231.92898690465887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4.7982975940312702</v>
      </c>
      <c r="EW60" s="21">
        <f>EXP(-LN(2)/25)*EW59+(1-EXP(-LN(2)/25))/(LN(2)/25)*Calculateur!ER60*Calculateur!ET60*VLOOKUP('Données projet'!$B$15,Paramètres!$A$1:$I$89,3,0)*0.475*44/12</f>
        <v>4.9644358560965731</v>
      </c>
      <c r="EX60" s="21">
        <f>EXP(-LN(2)/2)*EX59+(1-EXP(-LN(2)/2))/(LN(2)/2)*ER60*EU60*VLOOKUP('Données projet'!$B$15,Paramètres!$A$1:$I$89,3,0)*0.475*44/12</f>
        <v>8.2561091984993998E-4</v>
      </c>
      <c r="EY60" s="22">
        <f t="shared" si="21"/>
        <v>9.7635590610476939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9.4</v>
      </c>
      <c r="FE60" s="12">
        <f>IF('Données projet'!$A$218&gt;35,FE59+FD60-FM59,IF(A60&lt;'Données projet'!$A$218,$FB$205^A60,IF(A60='Données projet'!$A$218,'Données projet'!$B$218,FE59+FD60-FM59)))</f>
        <v>244.79999999999998</v>
      </c>
      <c r="FF60" s="17">
        <f>FE60*VLOOKUP('Données projet'!$B$16,Paramètres!$A$1:$I$89,3,0)*VLOOKUP('Données projet'!$B$16,Paramètres!$A$1:$I$89,5,0)</f>
        <v>221.49503999999999</v>
      </c>
      <c r="FG60" s="13">
        <f t="shared" si="47"/>
        <v>54.439697086174412</v>
      </c>
      <c r="FH60" s="20">
        <f t="shared" si="22"/>
        <v>480.58633375842032</v>
      </c>
      <c r="FI60" s="59">
        <f t="shared" si="23"/>
        <v>773.91966709175358</v>
      </c>
      <c r="FJ60" s="59">
        <f ca="1">AVERAGE(OFFSET($FI$3,0,0,'Données projet'!$E$16+1,1))-AVERAGE(OFFSET($H$3,0,0,'Données projet'!$E$16+1,1))</f>
        <v>326.46362829268969</v>
      </c>
      <c r="FK60" s="59">
        <f t="shared" si="48"/>
        <v>203.5274665601915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4.2815578531355909</v>
      </c>
      <c r="FR60" s="21">
        <f>EXP(-LN(2)/25)*FR59+(1-EXP(-LN(2)/25))/(LN(2)/25)*Calculateur!FM60*Calculateur!FO60*VLOOKUP('Données projet'!$B$16,Paramètres!$A$1:$I$89,3,0)*0.475*44/12</f>
        <v>4.4298043023630935</v>
      </c>
      <c r="FS60" s="21">
        <f>EXP(-LN(2)/2)*FS59+(1-EXP(-LN(2)/2))/(LN(2)/2)*FM60*FP60*VLOOKUP('Données projet'!$B$16,Paramètres!$A$1:$I$89,3,0)*0.475*44/12</f>
        <v>7.3669897463533103E-4</v>
      </c>
      <c r="FT60" s="22">
        <f t="shared" si="24"/>
        <v>8.712098854473318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9.4</v>
      </c>
      <c r="FZ60" s="12">
        <f>IF('Données projet'!$A$244&gt;35,FZ59+FY60-GH59,IF(A60&lt;'Données projet'!$A$244,$FW$205^A60,IF(A60='Données projet'!$A$244,'Données projet'!$B$244,FZ59+FY60-GH59)))</f>
        <v>244.79999999999998</v>
      </c>
      <c r="GA60" s="17">
        <f>FZ60*VLOOKUP('Données projet'!$B$17,Paramètres!$A$1:$I$89,3,0)*VLOOKUP('Données projet'!$B$17,Paramètres!$A$1:$I$89,5,0)</f>
        <v>236.77055999999999</v>
      </c>
      <c r="GB60" s="13">
        <f t="shared" si="49"/>
        <v>57.744153841586929</v>
      </c>
      <c r="GC60" s="20">
        <f t="shared" si="25"/>
        <v>512.94645994076382</v>
      </c>
      <c r="GD60" s="59">
        <f t="shared" si="26"/>
        <v>806.27979327409707</v>
      </c>
      <c r="GE60" s="59">
        <f ca="1">AVERAGE(OFFSET($GD$3,0,0,'Données projet'!$E$17+1,1))-AVERAGE(OFFSET($H$3,0,0,'Données projet'!$E$17+1,1))</f>
        <v>353.24082990916918</v>
      </c>
      <c r="GF60" s="59">
        <f t="shared" si="50"/>
        <v>219.76562717496353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4.5768377050759783</v>
      </c>
      <c r="GM60" s="21">
        <f>EXP(-LN(2)/25)*GM59+(1-EXP(-LN(2)/25))/(LN(2)/25)*Calculateur!GH60*Calculateur!GJ60*VLOOKUP('Données projet'!$B$17,Paramètres!$A$1:$I$89,3,0)*0.475*44/12</f>
        <v>4.7353080473536533</v>
      </c>
      <c r="GN60" s="21">
        <f>EXP(-LN(2)/2)*GN59+(1-EXP(-LN(2)/2))/(LN(2)/2)*GH60*GK60*VLOOKUP('Données projet'!$B$17,Paramètres!$A$1:$I$89,3,0)*0.475*44/12</f>
        <v>7.8750580047225063E-4</v>
      </c>
      <c r="GO60" s="21">
        <f t="shared" si="27"/>
        <v>9.312933258230105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378.17323480030268</v>
      </c>
      <c r="T61" s="59">
        <f t="shared" si="34"/>
        <v>471.89239871617241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2.5298956760369387</v>
      </c>
      <c r="AA61" s="21">
        <f>EXP(-LN(2)/25)*AA60+(1-EXP(-LN(2)/25))/(LN(2)/25)*Calculateur!V61*Calculateur!X61*VLOOKUP('Données projet'!$B$9,Paramètres!$A$1:$I$89,3,0)*0.475*44/12</f>
        <v>9.5705935964326052</v>
      </c>
      <c r="AB61" s="21">
        <f>EXP(-LN(2)/2)*AB60+(1-EXP(-LN(2)/2))/(LN(2)/2)*V61*Y61*VLOOKUP('Données projet'!$B$9,Paramètres!$A$1:$I$89,3,0)*0.475*44/12</f>
        <v>6.3846380194539489E-4</v>
      </c>
      <c r="AC61" s="22">
        <f t="shared" si="3"/>
        <v>12.101127736271488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2.125</v>
      </c>
      <c r="AI61" s="13">
        <f>IF('Données projet'!$A$62&gt;35,AI60+AH61-AQ60,IF(A61&lt;'Données projet'!$A$62,$AF$205^A61,IF(A61='Données projet'!$A$62,'Données projet'!$B$62,AI60+AH61-AQ60)))</f>
        <v>232.5</v>
      </c>
      <c r="AJ61" s="13">
        <f>AI61*VLOOKUP('Données projet'!$B$10,Paramètres!$A$1:$I$89,3,0)*VLOOKUP('Données projet'!$B$10,Paramètres!$A$1:$I$89,5,0)</f>
        <v>139.035</v>
      </c>
      <c r="AK61" s="13">
        <f t="shared" si="35"/>
        <v>36.0758486331029</v>
      </c>
      <c r="AL61" s="20">
        <f t="shared" si="4"/>
        <v>304.98472803598753</v>
      </c>
      <c r="AM61" s="59">
        <f t="shared" si="5"/>
        <v>598.31806136932084</v>
      </c>
      <c r="AN61" s="59">
        <f ca="1">AVERAGE(OFFSET($AM$3,0,0,'Données projet'!$E$10+1,1))-AVERAGE(OFFSET($H$3,0,0,'Données projet'!$E$10+1,1))</f>
        <v>141.22849894256314</v>
      </c>
      <c r="AO61" s="59">
        <f t="shared" si="36"/>
        <v>156.12101479343704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4.2245285552462466</v>
      </c>
      <c r="AV61" s="21">
        <f>EXP(-LN(2)/25)*AV60+(1-EXP(-LN(2)/25))/(LN(2)/25)*Calculateur!AQ61*Calculateur!AS61*VLOOKUP('Données projet'!$B$10,Paramètres!$A$1:$I$89,3,0)*0.475*44/12</f>
        <v>2.7709324227628067</v>
      </c>
      <c r="AW61" s="21">
        <f>EXP(-LN(2)/2)*AW60+(1-EXP(-LN(2)/2))/(LN(2)/2)*AQ61*AT61*VLOOKUP('Données projet'!$B$10,Paramètres!$A$1:$I$89,3,0)*0.475*44/12</f>
        <v>1.8054022401071861E-4</v>
      </c>
      <c r="AX61" s="21">
        <f t="shared" si="6"/>
        <v>6.9956415182330636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284.5</v>
      </c>
      <c r="BE61" s="13">
        <f>BD61*VLOOKUP('Données projet'!$B$11,Paramètres!$A$1:$I$89,3,0)*VLOOKUP('Données projet'!$B$11,Paramètres!$A$1:$I$89,5,0)</f>
        <v>125.74900000000001</v>
      </c>
      <c r="BF61" s="13">
        <f t="shared" si="37"/>
        <v>33.012185475671963</v>
      </c>
      <c r="BG61" s="20">
        <f t="shared" si="7"/>
        <v>276.509064703462</v>
      </c>
      <c r="BH61" s="59">
        <f t="shared" si="8"/>
        <v>569.84239803679532</v>
      </c>
      <c r="BI61" s="59">
        <f ca="1">AVERAGE(OFFSET($BH$3,0,0,'Données projet'!$E$11+1,1))-AVERAGE(OFFSET($H$3,0,0,'Données projet'!$E$11+1,1))</f>
        <v>114.25511901730295</v>
      </c>
      <c r="BJ61" s="59">
        <f t="shared" si="38"/>
        <v>180.96261947642182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1.9633385048314234</v>
      </c>
      <c r="BQ61" s="21">
        <f>EXP(-LN(2)/25)*BQ60+(1-EXP(-LN(2)/25))/(LN(2)/25)*Calculateur!BL61*Calculateur!BN61*VLOOKUP('Données projet'!$B$11,Paramètres!$A$1:$I$89,3,0)*0.475*44/12</f>
        <v>8.1966618688829165</v>
      </c>
      <c r="BR61" s="21">
        <f>EXP(-LN(2)/2)*BR60+(1-EXP(-LN(2)/2))/(LN(2)/2)*BL61*BO61*VLOOKUP('Données projet'!$B$11,Paramètres!$A$1:$I$89,3,0)*0.475*44/12</f>
        <v>4.1699600452769841E-4</v>
      </c>
      <c r="BS61" s="22">
        <f t="shared" si="9"/>
        <v>10.160417369718868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9.375</v>
      </c>
      <c r="BY61" s="12">
        <f>IF('Données projet'!$A$114&gt;35,BY60+BX61-CG60,IF(A61&lt;'Données projet'!$A$114,$BV$205^A61,IF(A61='Données projet'!$A$114,'Données projet'!$B$114,BY60+BX61-CG60)))</f>
        <v>278.24999999999989</v>
      </c>
      <c r="BZ61" s="13">
        <f>BY61*VLOOKUP('Données projet'!$B$12,Paramètres!$A$1:$I$89,3,0)*VLOOKUP('Données projet'!$B$12,Paramètres!$A$1:$I$89,5,0)</f>
        <v>217.03499999999991</v>
      </c>
      <c r="CA61" s="13">
        <f t="shared" si="39"/>
        <v>53.469949591969474</v>
      </c>
      <c r="CB61" s="20">
        <f t="shared" si="10"/>
        <v>471.12945387267996</v>
      </c>
      <c r="CC61" s="59">
        <f t="shared" si="11"/>
        <v>764.46278720601322</v>
      </c>
      <c r="CD61" s="59">
        <f ca="1">AVERAGE(OFFSET($CC$3,0,0,'Données projet'!$E$12+1,1))-AVERAGE(OFFSET($H$3,0,0,'Données projet'!$E$12+1,1))</f>
        <v>216.95993967070063</v>
      </c>
      <c r="CE61" s="59">
        <f t="shared" si="40"/>
        <v>208.79744153433245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2.9674473381250683</v>
      </c>
      <c r="CL61" s="21">
        <f>EXP(-LN(2)/25)*CL60+(1-EXP(-LN(2)/25))/(LN(2)/25)*Calculateur!CG61*Calculateur!CI61*VLOOKUP('Données projet'!$B$12,Paramètres!$A$1:$I$89,3,0)*0.475*44/12</f>
        <v>2.9525859791052813</v>
      </c>
      <c r="CM61" s="21">
        <f>EXP(-LN(2)/2)*CM60+(1-EXP(-LN(2)/2))/(LN(2)/2)*CG61*CJ61*VLOOKUP('Données projet'!$B$12,Paramètres!$A$1:$I$89,3,0)*0.475*44/12</f>
        <v>7.5293478790498472E-5</v>
      </c>
      <c r="CN61" s="22">
        <f t="shared" si="12"/>
        <v>5.9201086107091401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9.375</v>
      </c>
      <c r="CT61" s="12">
        <f>IF('Données projet'!$A$140&gt;35,CT60+CS61-DB60,IF(A61&lt;'Données projet'!$A$140,$CQ$205^A61,IF(A61='Données projet'!$A$140,'Données projet'!$B$140,CT60+CS61-DB60)))</f>
        <v>278.24999999999989</v>
      </c>
      <c r="CU61" s="17">
        <f>CT61*VLOOKUP('Données projet'!$B$13,Paramètres!$A$1:$I$89,3,0)*VLOOKUP('Données projet'!$B$13,Paramètres!$A$1:$I$89,5,0)</f>
        <v>186.65009999999992</v>
      </c>
      <c r="CV61" s="13">
        <f t="shared" si="41"/>
        <v>46.798572525002349</v>
      </c>
      <c r="CW61" s="20">
        <f t="shared" si="13"/>
        <v>406.58977131437899</v>
      </c>
      <c r="CX61" s="59">
        <f t="shared" si="14"/>
        <v>699.92310464771231</v>
      </c>
      <c r="CY61" s="59">
        <f ca="1">AVERAGE(OFFSET($CX$3,0,0,'Données projet'!$E$13+1,1))-AVERAGE(OFFSET($H$3,0,0,'Données projet'!$E$13+1,1))</f>
        <v>181.32837315090507</v>
      </c>
      <c r="CZ61" s="59">
        <f t="shared" si="42"/>
        <v>175.03267817980338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3.1454941784125698</v>
      </c>
      <c r="DG61" s="21">
        <f>EXP(-LN(2)/25)*DG60+(1-EXP(-LN(2)/25))/(LN(2)/25)*Calculateur!DB61*Calculateur!DD61*VLOOKUP('Données projet'!$B$13,Paramètres!$A$1:$I$89,3,0)*0.475*44/12</f>
        <v>3.1297411378515991</v>
      </c>
      <c r="DH61" s="21">
        <f>EXP(-LN(2)/2)*DH60+(1-EXP(-LN(2)/2))/(LN(2)/2)*DB61*DE61*VLOOKUP('Données projet'!$B$13,Paramètres!$A$1:$I$89,3,0)*0.475*44/12</f>
        <v>6.4752391759828658E-5</v>
      </c>
      <c r="DI61" s="22">
        <f t="shared" si="15"/>
        <v>6.2753000686559286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7.4</v>
      </c>
      <c r="DO61" s="12">
        <f>IF('Données projet'!$A$166&gt;35,DO60+DN61-DW60,IF(A61&lt;'Données projet'!$A$166,$DL$205^A61,IF(A61='Données projet'!$A$166,'Données projet'!$B$166,DO60+DN61-DW60)))</f>
        <v>328.19999999999976</v>
      </c>
      <c r="DP61" s="17">
        <f>DO61*VLOOKUP('Données projet'!$B$14,Paramètres!$A$1:$I$89,3,0)*VLOOKUP('Données projet'!$B$14,Paramètres!$A$1:$I$89,5,0)</f>
        <v>261.11591999999985</v>
      </c>
      <c r="DQ61" s="13">
        <f t="shared" si="43"/>
        <v>62.960187681145797</v>
      </c>
      <c r="DR61" s="20">
        <f t="shared" si="16"/>
        <v>564.43255421132858</v>
      </c>
      <c r="DS61" s="59">
        <f t="shared" si="17"/>
        <v>857.76588754466184</v>
      </c>
      <c r="DT61" s="59">
        <f ca="1">AVERAGE(OFFSET($DS$3,0,0,'Données projet'!$E$14+1,1))-AVERAGE(OFFSET($H$3,0,0,'Données projet'!$E$14+1,1))</f>
        <v>325.72928944930294</v>
      </c>
      <c r="DU61" s="59">
        <f t="shared" si="44"/>
        <v>318.38876834819752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9.9445177768311446</v>
      </c>
      <c r="EB61" s="21">
        <f>EXP(-LN(2)/25)*EB60+(1-EXP(-LN(2)/25))/(LN(2)/25)*Calculateur!DW61*Calculateur!DY61*VLOOKUP('Données projet'!$B$14,Paramètres!$A$1:$I$89,3,0)*0.475*44/12</f>
        <v>9.5146854947691271</v>
      </c>
      <c r="EC61" s="21">
        <f>EXP(-LN(2)/2)*EC60+(1-EXP(-LN(2)/2))/(LN(2)/2)*DW61*DZ61*VLOOKUP('Données projet'!$B$14,Paramètres!$A$1:$I$89,3,0)*0.475*44/12</f>
        <v>7.2202887170923257E-4</v>
      </c>
      <c r="ED61" s="22">
        <f t="shared" si="18"/>
        <v>19.459925300471983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9.4</v>
      </c>
      <c r="EJ61" s="12">
        <f>IF('Données projet'!$A$192&gt;35,EJ60+EI61-ER60,IF(A61&lt;'Données projet'!$A$192,$EG$205^A61,IF(A61='Données projet'!$A$192,'Données projet'!$B$192,EJ60+EI61-ER60)))</f>
        <v>254.2</v>
      </c>
      <c r="EK61" s="17">
        <f>EJ61*VLOOKUP('Données projet'!$B$15,Paramètres!$A$1:$I$89,3,0)*VLOOKUP('Données projet'!$B$15,Paramètres!$A$1:$I$89,5,0)</f>
        <v>257.75880000000001</v>
      </c>
      <c r="EL61" s="13">
        <f t="shared" si="45"/>
        <v>62.244404241627407</v>
      </c>
      <c r="EM61" s="20">
        <f t="shared" si="19"/>
        <v>557.33891405416773</v>
      </c>
      <c r="EN61" s="59">
        <f t="shared" si="20"/>
        <v>850.6722473875011</v>
      </c>
      <c r="EO61" s="59">
        <f ca="1">AVERAGE(OFFSET($EN$3,0,0,'Données projet'!$E$15+1,1))-AVERAGE(OFFSET($H$3,0,0,'Données projet'!$E$15+1,1))</f>
        <v>384.50065773787549</v>
      </c>
      <c r="EP61" s="59">
        <f t="shared" si="46"/>
        <v>231.92898690465887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4.7042059048848648</v>
      </c>
      <c r="EW61" s="21">
        <f>EXP(-LN(2)/25)*EW60+(1-EXP(-LN(2)/25))/(LN(2)/25)*Calculateur!ER61*Calculateur!ET61*VLOOKUP('Données projet'!$B$15,Paramètres!$A$1:$I$89,3,0)*0.475*44/12</f>
        <v>4.8286830965432772</v>
      </c>
      <c r="EX61" s="21">
        <f>EXP(-LN(2)/2)*EX60+(1-EXP(-LN(2)/2))/(LN(2)/2)*ER61*EU61*VLOOKUP('Données projet'!$B$15,Paramètres!$A$1:$I$89,3,0)*0.475*44/12</f>
        <v>5.8379508004755573E-4</v>
      </c>
      <c r="EY61" s="22">
        <f t="shared" si="21"/>
        <v>9.5334727965081889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9.4</v>
      </c>
      <c r="FE61" s="12">
        <f>IF('Données projet'!$A$218&gt;35,FE60+FD61-FM60,IF(A61&lt;'Données projet'!$A$218,$FB$205^A61,IF(A61='Données projet'!$A$218,'Données projet'!$B$218,FE60+FD61-FM60)))</f>
        <v>254.2</v>
      </c>
      <c r="FF61" s="17">
        <f>FE61*VLOOKUP('Données projet'!$B$16,Paramètres!$A$1:$I$89,3,0)*VLOOKUP('Données projet'!$B$16,Paramètres!$A$1:$I$89,5,0)</f>
        <v>230.00015999999997</v>
      </c>
      <c r="FG61" s="13">
        <f t="shared" si="47"/>
        <v>56.282716126880423</v>
      </c>
      <c r="FH61" s="20">
        <f t="shared" si="22"/>
        <v>498.60934258765002</v>
      </c>
      <c r="FI61" s="59">
        <f t="shared" si="23"/>
        <v>791.94267592098333</v>
      </c>
      <c r="FJ61" s="59">
        <f ca="1">AVERAGE(OFFSET($FI$3,0,0,'Données projet'!$E$16+1,1))-AVERAGE(OFFSET($H$3,0,0,'Données projet'!$E$16+1,1))</f>
        <v>326.46362829268969</v>
      </c>
      <c r="FK61" s="59">
        <f t="shared" si="48"/>
        <v>203.5274665601915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4.1975991151280292</v>
      </c>
      <c r="FR61" s="21">
        <f>EXP(-LN(2)/25)*FR60+(1-EXP(-LN(2)/25))/(LN(2)/25)*Calculateur!FM61*Calculateur!FO61*VLOOKUP('Données projet'!$B$16,Paramètres!$A$1:$I$89,3,0)*0.475*44/12</f>
        <v>4.3086710707616911</v>
      </c>
      <c r="FS61" s="21">
        <f>EXP(-LN(2)/2)*FS60+(1-EXP(-LN(2)/2))/(LN(2)/2)*FM61*FP61*VLOOKUP('Données projet'!$B$16,Paramètres!$A$1:$I$89,3,0)*0.475*44/12</f>
        <v>5.2092484065781894E-4</v>
      </c>
      <c r="FT61" s="22">
        <f t="shared" si="24"/>
        <v>8.5067911107303775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9.4</v>
      </c>
      <c r="FZ61" s="12">
        <f>IF('Données projet'!$A$244&gt;35,FZ60+FY61-GH60,IF(A61&lt;'Données projet'!$A$244,$FW$205^A61,IF(A61='Données projet'!$A$244,'Données projet'!$B$244,FZ60+FY61-GH60)))</f>
        <v>254.2</v>
      </c>
      <c r="GA61" s="17">
        <f>FZ61*VLOOKUP('Données projet'!$B$17,Paramètres!$A$1:$I$89,3,0)*VLOOKUP('Données projet'!$B$17,Paramètres!$A$1:$I$89,5,0)</f>
        <v>245.86223999999999</v>
      </c>
      <c r="GB61" s="13">
        <f t="shared" si="49"/>
        <v>59.699043025687963</v>
      </c>
      <c r="GC61" s="20">
        <f t="shared" si="25"/>
        <v>532.18590126973982</v>
      </c>
      <c r="GD61" s="59">
        <f t="shared" si="26"/>
        <v>825.51923460307307</v>
      </c>
      <c r="GE61" s="59">
        <f ca="1">AVERAGE(OFFSET($GD$3,0,0,'Données projet'!$E$17+1,1))-AVERAGE(OFFSET($H$3,0,0,'Données projet'!$E$17+1,1))</f>
        <v>353.24082990916918</v>
      </c>
      <c r="GF61" s="59">
        <f t="shared" si="50"/>
        <v>219.76562717496353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4.4870887092747918</v>
      </c>
      <c r="GM61" s="21">
        <f>EXP(-LN(2)/25)*GM60+(1-EXP(-LN(2)/25))/(LN(2)/25)*Calculateur!GH61*Calculateur!GJ61*VLOOKUP('Données projet'!$B$17,Paramètres!$A$1:$I$89,3,0)*0.475*44/12</f>
        <v>4.6058207997797398</v>
      </c>
      <c r="GN61" s="21">
        <f>EXP(-LN(2)/2)*GN60+(1-EXP(-LN(2)/2))/(LN(2)/2)*GH61*GK61*VLOOKUP('Données projet'!$B$17,Paramètres!$A$1:$I$89,3,0)*0.475*44/12</f>
        <v>5.5685069173766867E-4</v>
      </c>
      <c r="GO61" s="21">
        <f t="shared" si="27"/>
        <v>9.0934663597462695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378.17323480030268</v>
      </c>
      <c r="T62" s="59">
        <f t="shared" si="34"/>
        <v>471.89239871617241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2.4802859649138496</v>
      </c>
      <c r="AA62" s="21">
        <f>EXP(-LN(2)/25)*AA61+(1-EXP(-LN(2)/25))/(LN(2)/25)*Calculateur!V62*Calculateur!X62*VLOOKUP('Données projet'!$B$9,Paramètres!$A$1:$I$89,3,0)*0.475*44/12</f>
        <v>9.3088852112425116</v>
      </c>
      <c r="AB62" s="21">
        <f>EXP(-LN(2)/2)*AB61+(1-EXP(-LN(2)/2))/(LN(2)/2)*V62*Y62*VLOOKUP('Données projet'!$B$9,Paramètres!$A$1:$I$89,3,0)*0.475*44/12</f>
        <v>4.5146208389773356E-4</v>
      </c>
      <c r="AC62" s="22">
        <f t="shared" si="3"/>
        <v>11.78962263824026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2.125</v>
      </c>
      <c r="AI62" s="13">
        <f>IF('Données projet'!$A$62&gt;35,AI61+AH62-AQ61,IF(A62&lt;'Données projet'!$A$62,$AF$205^A62,IF(A62='Données projet'!$A$62,'Données projet'!$B$62,AI61+AH62-AQ61)))</f>
        <v>234.625</v>
      </c>
      <c r="AJ62" s="13">
        <f>AI62*VLOOKUP('Données projet'!$B$10,Paramètres!$A$1:$I$89,3,0)*VLOOKUP('Données projet'!$B$10,Paramètres!$A$1:$I$89,5,0)</f>
        <v>140.30575000000002</v>
      </c>
      <c r="AK62" s="13">
        <f t="shared" si="35"/>
        <v>36.367039630957962</v>
      </c>
      <c r="AL62" s="20">
        <f t="shared" si="4"/>
        <v>307.70510860725182</v>
      </c>
      <c r="AM62" s="59">
        <f t="shared" si="5"/>
        <v>601.03844194058513</v>
      </c>
      <c r="AN62" s="59">
        <f ca="1">AVERAGE(OFFSET($AM$3,0,0,'Données projet'!$E$10+1,1))-AVERAGE(OFFSET($H$3,0,0,'Données projet'!$E$10+1,1))</f>
        <v>141.22849894256314</v>
      </c>
      <c r="AO62" s="59">
        <f t="shared" si="36"/>
        <v>156.12101479343704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4.1416881269858576</v>
      </c>
      <c r="AV62" s="21">
        <f>EXP(-LN(2)/25)*AV61+(1-EXP(-LN(2)/25))/(LN(2)/25)*Calculateur!AQ62*Calculateur!AS62*VLOOKUP('Données projet'!$B$10,Paramètres!$A$1:$I$89,3,0)*0.475*44/12</f>
        <v>2.6951611299453546</v>
      </c>
      <c r="AW62" s="21">
        <f>EXP(-LN(2)/2)*AW61+(1-EXP(-LN(2)/2))/(LN(2)/2)*AQ62*AT62*VLOOKUP('Données projet'!$B$10,Paramètres!$A$1:$I$89,3,0)*0.475*44/12</f>
        <v>1.2766121667491748E-4</v>
      </c>
      <c r="AX62" s="21">
        <f t="shared" si="6"/>
        <v>6.8369769181478874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294.25</v>
      </c>
      <c r="BE62" s="13">
        <f>BD62*VLOOKUP('Données projet'!$B$11,Paramètres!$A$1:$I$89,3,0)*VLOOKUP('Données projet'!$B$11,Paramètres!$A$1:$I$89,5,0)</f>
        <v>130.05850000000001</v>
      </c>
      <c r="BF62" s="13">
        <f t="shared" si="37"/>
        <v>34.00987661077999</v>
      </c>
      <c r="BG62" s="20">
        <f t="shared" si="7"/>
        <v>285.75242259710848</v>
      </c>
      <c r="BH62" s="59">
        <f t="shared" si="8"/>
        <v>579.08575593044179</v>
      </c>
      <c r="BI62" s="59">
        <f ca="1">AVERAGE(OFFSET($BH$3,0,0,'Données projet'!$E$11+1,1))-AVERAGE(OFFSET($H$3,0,0,'Données projet'!$E$11+1,1))</f>
        <v>114.25511901730295</v>
      </c>
      <c r="BJ62" s="59">
        <f t="shared" si="38"/>
        <v>180.96261947642182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1.924838634269922</v>
      </c>
      <c r="BQ62" s="21">
        <f>EXP(-LN(2)/25)*BQ61+(1-EXP(-LN(2)/25))/(LN(2)/25)*Calculateur!BL62*Calculateur!BN62*VLOOKUP('Données projet'!$B$11,Paramètres!$A$1:$I$89,3,0)*0.475*44/12</f>
        <v>7.9725237190345988</v>
      </c>
      <c r="BR62" s="21">
        <f>EXP(-LN(2)/2)*BR61+(1-EXP(-LN(2)/2))/(LN(2)/2)*BL62*BO62*VLOOKUP('Données projet'!$B$11,Paramètres!$A$1:$I$89,3,0)*0.475*44/12</f>
        <v>2.9486070252923182E-4</v>
      </c>
      <c r="BS62" s="22">
        <f t="shared" si="9"/>
        <v>9.8976572140070509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9.375</v>
      </c>
      <c r="BY62" s="12">
        <f>IF('Données projet'!$A$114&gt;35,BY61+BX62-CG61,IF(A62&lt;'Données projet'!$A$114,$BV$205^A62,IF(A62='Données projet'!$A$114,'Données projet'!$B$114,BY61+BX62-CG61)))</f>
        <v>287.62499999999989</v>
      </c>
      <c r="BZ62" s="13">
        <f>BY62*VLOOKUP('Données projet'!$B$12,Paramètres!$A$1:$I$89,3,0)*VLOOKUP('Données projet'!$B$12,Paramètres!$A$1:$I$89,5,0)</f>
        <v>224.34749999999991</v>
      </c>
      <c r="CA62" s="13">
        <f t="shared" si="39"/>
        <v>55.058714525680429</v>
      </c>
      <c r="CB62" s="20">
        <f t="shared" si="10"/>
        <v>486.63249029889329</v>
      </c>
      <c r="CC62" s="59">
        <f t="shared" si="11"/>
        <v>779.9658236322266</v>
      </c>
      <c r="CD62" s="59">
        <f ca="1">AVERAGE(OFFSET($CC$3,0,0,'Données projet'!$E$12+1,1))-AVERAGE(OFFSET($H$3,0,0,'Données projet'!$E$12+1,1))</f>
        <v>216.95993967070063</v>
      </c>
      <c r="CE62" s="59">
        <f t="shared" si="40"/>
        <v>208.79744153433245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2.909257505788593</v>
      </c>
      <c r="CL62" s="21">
        <f>EXP(-LN(2)/25)*CL61+(1-EXP(-LN(2)/25))/(LN(2)/25)*Calculateur!CG62*Calculateur!CI62*VLOOKUP('Données projet'!$B$12,Paramètres!$A$1:$I$89,3,0)*0.475*44/12</f>
        <v>2.8718473602368988</v>
      </c>
      <c r="CM62" s="21">
        <f>EXP(-LN(2)/2)*CM61+(1-EXP(-LN(2)/2))/(LN(2)/2)*CG62*CJ62*VLOOKUP('Données projet'!$B$12,Paramètres!$A$1:$I$89,3,0)*0.475*44/12</f>
        <v>5.3240529431886961E-5</v>
      </c>
      <c r="CN62" s="22">
        <f t="shared" si="12"/>
        <v>5.7811581065549245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9.375</v>
      </c>
      <c r="CT62" s="12">
        <f>IF('Données projet'!$A$140&gt;35,CT61+CS62-DB61,IF(A62&lt;'Données projet'!$A$140,$CQ$205^A62,IF(A62='Données projet'!$A$140,'Données projet'!$B$140,CT61+CS62-DB61)))</f>
        <v>287.62499999999989</v>
      </c>
      <c r="CU62" s="17">
        <f>CT62*VLOOKUP('Données projet'!$B$13,Paramètres!$A$1:$I$89,3,0)*VLOOKUP('Données projet'!$B$13,Paramètres!$A$1:$I$89,5,0)</f>
        <v>192.93884999999992</v>
      </c>
      <c r="CV62" s="13">
        <f t="shared" si="41"/>
        <v>48.18910929458665</v>
      </c>
      <c r="CW62" s="20">
        <f t="shared" si="13"/>
        <v>419.96452910473823</v>
      </c>
      <c r="CX62" s="59">
        <f t="shared" si="14"/>
        <v>713.29786243807155</v>
      </c>
      <c r="CY62" s="59">
        <f ca="1">AVERAGE(OFFSET($CX$3,0,0,'Données projet'!$E$13+1,1))-AVERAGE(OFFSET($H$3,0,0,'Données projet'!$E$13+1,1))</f>
        <v>181.32837315090507</v>
      </c>
      <c r="CZ62" s="59">
        <f t="shared" si="42"/>
        <v>175.03267817980338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3.083812956135906</v>
      </c>
      <c r="DG62" s="21">
        <f>EXP(-LN(2)/25)*DG61+(1-EXP(-LN(2)/25))/(LN(2)/25)*Calculateur!DB62*Calculateur!DD62*VLOOKUP('Données projet'!$B$13,Paramètres!$A$1:$I$89,3,0)*0.475*44/12</f>
        <v>3.044158201851114</v>
      </c>
      <c r="DH62" s="21">
        <f>EXP(-LN(2)/2)*DH61+(1-EXP(-LN(2)/2))/(LN(2)/2)*DB62*DE62*VLOOKUP('Données projet'!$B$13,Paramètres!$A$1:$I$89,3,0)*0.475*44/12</f>
        <v>4.5786855311422767E-5</v>
      </c>
      <c r="DI62" s="22">
        <f t="shared" si="15"/>
        <v>6.1280169448423312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7.4</v>
      </c>
      <c r="DO62" s="12">
        <f>IF('Données projet'!$A$166&gt;35,DO61+DN62-DW61,IF(A62&lt;'Données projet'!$A$166,$DL$205^A62,IF(A62='Données projet'!$A$166,'Données projet'!$B$166,DO61+DN62-DW61)))</f>
        <v>335.59999999999974</v>
      </c>
      <c r="DP62" s="17">
        <f>DO62*VLOOKUP('Données projet'!$B$14,Paramètres!$A$1:$I$89,3,0)*VLOOKUP('Données projet'!$B$14,Paramètres!$A$1:$I$89,5,0)</f>
        <v>267.00335999999982</v>
      </c>
      <c r="DQ62" s="13">
        <f t="shared" si="43"/>
        <v>64.212894147794728</v>
      </c>
      <c r="DR62" s="20">
        <f t="shared" si="16"/>
        <v>576.86830930740882</v>
      </c>
      <c r="DS62" s="59">
        <f t="shared" si="17"/>
        <v>870.20164264074219</v>
      </c>
      <c r="DT62" s="59">
        <f ca="1">AVERAGE(OFFSET($DS$3,0,0,'Données projet'!$E$14+1,1))-AVERAGE(OFFSET($H$3,0,0,'Données projet'!$E$14+1,1))</f>
        <v>325.72928944930294</v>
      </c>
      <c r="DU62" s="59">
        <f t="shared" si="44"/>
        <v>318.38876834819752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9.7495118487844064</v>
      </c>
      <c r="EB62" s="21">
        <f>EXP(-LN(2)/25)*EB61+(1-EXP(-LN(2)/25))/(LN(2)/25)*Calculateur!DW62*Calculateur!DY62*VLOOKUP('Données projet'!$B$14,Paramètres!$A$1:$I$89,3,0)*0.475*44/12</f>
        <v>9.2545059195591008</v>
      </c>
      <c r="EC62" s="21">
        <f>EXP(-LN(2)/2)*EC61+(1-EXP(-LN(2)/2))/(LN(2)/2)*DW62*DZ62*VLOOKUP('Données projet'!$B$14,Paramètres!$A$1:$I$89,3,0)*0.475*44/12</f>
        <v>5.1055151139807009E-4</v>
      </c>
      <c r="ED62" s="22">
        <f t="shared" si="18"/>
        <v>19.004528319854906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9.4</v>
      </c>
      <c r="EJ62" s="12">
        <f>IF('Données projet'!$A$192&gt;35,EJ61+EI62-ER61,IF(A62&lt;'Données projet'!$A$192,$EG$205^A62,IF(A62='Données projet'!$A$192,'Données projet'!$B$192,EJ61+EI62-ER61)))</f>
        <v>263.59999999999997</v>
      </c>
      <c r="EK62" s="17">
        <f>EJ62*VLOOKUP('Données projet'!$B$15,Paramètres!$A$1:$I$89,3,0)*VLOOKUP('Données projet'!$B$15,Paramètres!$A$1:$I$89,5,0)</f>
        <v>267.29039999999998</v>
      </c>
      <c r="EL62" s="13">
        <f t="shared" si="45"/>
        <v>64.273886654661325</v>
      </c>
      <c r="EM62" s="20">
        <f t="shared" si="19"/>
        <v>577.47446592353515</v>
      </c>
      <c r="EN62" s="59">
        <f t="shared" si="20"/>
        <v>870.80779925686852</v>
      </c>
      <c r="EO62" s="59">
        <f ca="1">AVERAGE(OFFSET($EN$3,0,0,'Données projet'!$E$15+1,1))-AVERAGE(OFFSET($H$3,0,0,'Données projet'!$E$15+1,1))</f>
        <v>384.50065773787549</v>
      </c>
      <c r="EP62" s="59">
        <f t="shared" si="46"/>
        <v>231.92898690465887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4.6119592963723566</v>
      </c>
      <c r="EW62" s="21">
        <f>EXP(-LN(2)/25)*EW61+(1-EXP(-LN(2)/25))/(LN(2)/25)*Calculateur!ER62*Calculateur!ET62*VLOOKUP('Données projet'!$B$15,Paramètres!$A$1:$I$89,3,0)*0.475*44/12</f>
        <v>4.696642503338893</v>
      </c>
      <c r="EX62" s="21">
        <f>EXP(-LN(2)/2)*EX61+(1-EXP(-LN(2)/2))/(LN(2)/2)*ER62*EU62*VLOOKUP('Données projet'!$B$15,Paramètres!$A$1:$I$89,3,0)*0.475*44/12</f>
        <v>4.1280545992496999E-4</v>
      </c>
      <c r="EY62" s="22">
        <f t="shared" si="21"/>
        <v>9.3090146051711748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9.4</v>
      </c>
      <c r="FE62" s="12">
        <f>IF('Données projet'!$A$218&gt;35,FE61+FD62-FM61,IF(A62&lt;'Données projet'!$A$218,$FB$205^A62,IF(A62='Données projet'!$A$218,'Données projet'!$B$218,FE61+FD62-FM61)))</f>
        <v>263.59999999999997</v>
      </c>
      <c r="FF62" s="17">
        <f>FE62*VLOOKUP('Données projet'!$B$16,Paramètres!$A$1:$I$89,3,0)*VLOOKUP('Données projet'!$B$16,Paramètres!$A$1:$I$89,5,0)</f>
        <v>238.50527999999997</v>
      </c>
      <c r="FG62" s="13">
        <f t="shared" si="47"/>
        <v>58.117817352909881</v>
      </c>
      <c r="FH62" s="20">
        <f t="shared" si="22"/>
        <v>516.61856122298457</v>
      </c>
      <c r="FI62" s="59">
        <f t="shared" si="23"/>
        <v>809.95189455631794</v>
      </c>
      <c r="FJ62" s="59">
        <f ca="1">AVERAGE(OFFSET($FI$3,0,0,'Données projet'!$E$16+1,1))-AVERAGE(OFFSET($H$3,0,0,'Données projet'!$E$16+1,1))</f>
        <v>326.46362829268969</v>
      </c>
      <c r="FK62" s="59">
        <f t="shared" si="48"/>
        <v>203.5274665601915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4.1152867567630222</v>
      </c>
      <c r="FR62" s="21">
        <f>EXP(-LN(2)/25)*FR61+(1-EXP(-LN(2)/25))/(LN(2)/25)*Calculateur!FM62*Calculateur!FO62*VLOOKUP('Données projet'!$B$16,Paramètres!$A$1:$I$89,3,0)*0.475*44/12</f>
        <v>4.1908502337485487</v>
      </c>
      <c r="FS62" s="21">
        <f>EXP(-LN(2)/2)*FS61+(1-EXP(-LN(2)/2))/(LN(2)/2)*FM62*FP62*VLOOKUP('Données projet'!$B$16,Paramètres!$A$1:$I$89,3,0)*0.475*44/12</f>
        <v>3.6834948731766552E-4</v>
      </c>
      <c r="FT62" s="22">
        <f t="shared" si="24"/>
        <v>8.3065053399988891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9.4</v>
      </c>
      <c r="FZ62" s="12">
        <f>IF('Données projet'!$A$244&gt;35,FZ61+FY62-GH61,IF(A62&lt;'Données projet'!$A$244,$FW$205^A62,IF(A62='Données projet'!$A$244,'Données projet'!$B$244,FZ61+FY62-GH61)))</f>
        <v>263.59999999999997</v>
      </c>
      <c r="GA62" s="17">
        <f>FZ62*VLOOKUP('Données projet'!$B$17,Paramètres!$A$1:$I$89,3,0)*VLOOKUP('Données projet'!$B$17,Paramètres!$A$1:$I$89,5,0)</f>
        <v>254.95391999999998</v>
      </c>
      <c r="GB62" s="13">
        <f t="shared" si="49"/>
        <v>61.645533788540583</v>
      </c>
      <c r="GC62" s="20">
        <f t="shared" si="25"/>
        <v>551.41071534837477</v>
      </c>
      <c r="GD62" s="59">
        <f t="shared" si="26"/>
        <v>844.74404868170814</v>
      </c>
      <c r="GE62" s="59">
        <f ca="1">AVERAGE(OFFSET($GD$3,0,0,'Données projet'!$E$17+1,1))-AVERAGE(OFFSET($H$3,0,0,'Données projet'!$E$17+1,1))</f>
        <v>353.24082990916918</v>
      </c>
      <c r="GF62" s="59">
        <f t="shared" si="50"/>
        <v>219.76562717496353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4.3990996365397841</v>
      </c>
      <c r="GM62" s="21">
        <f>EXP(-LN(2)/25)*GM61+(1-EXP(-LN(2)/25))/(LN(2)/25)*Calculateur!GH62*Calculateur!GJ62*VLOOKUP('Données projet'!$B$17,Paramètres!$A$1:$I$89,3,0)*0.475*44/12</f>
        <v>4.4798743878001739</v>
      </c>
      <c r="GN62" s="21">
        <f>EXP(-LN(2)/2)*GN61+(1-EXP(-LN(2)/2))/(LN(2)/2)*GH62*GK62*VLOOKUP('Données projet'!$B$17,Paramètres!$A$1:$I$89,3,0)*0.475*44/12</f>
        <v>3.9375290023612532E-4</v>
      </c>
      <c r="GO62" s="21">
        <f t="shared" si="27"/>
        <v>8.8793677772401924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378.17323480030268</v>
      </c>
      <c r="T63" s="59">
        <f t="shared" si="34"/>
        <v>471.89239871617241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666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2.4316490699669484</v>
      </c>
      <c r="AA63" s="21">
        <f>EXP(-LN(2)/25)*AA62+(1-EXP(-LN(2)/25))/(LN(2)/25)*Calculateur!V63*Calculateur!X63*VLOOKUP('Données projet'!$B$9,Paramètres!$A$1:$I$89,3,0)*0.475*44/12</f>
        <v>9.0543332556080873</v>
      </c>
      <c r="AB63" s="21">
        <f>EXP(-LN(2)/2)*AB62+(1-EXP(-LN(2)/2))/(LN(2)/2)*V63*Y63*VLOOKUP('Données projet'!$B$9,Paramètres!$A$1:$I$89,3,0)*0.475*44/12</f>
        <v>3.1923190097269744E-4</v>
      </c>
      <c r="AC63" s="22">
        <f t="shared" si="3"/>
        <v>11.486301557476008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2.125</v>
      </c>
      <c r="AI63" s="13">
        <f>IF('Données projet'!$A$62&gt;35,AI62+AH63-AQ62,IF(A63&lt;'Données projet'!$A$62,$AF$205^A63,IF(A63='Données projet'!$A$62,'Données projet'!$B$62,AI62+AH63-AQ62)))</f>
        <v>236.75</v>
      </c>
      <c r="AJ63" s="13">
        <f>AI63*VLOOKUP('Données projet'!$B$10,Paramètres!$A$1:$I$89,3,0)*VLOOKUP('Données projet'!$B$10,Paramètres!$A$1:$I$89,5,0)</f>
        <v>141.57650000000001</v>
      </c>
      <c r="AK63" s="13">
        <f t="shared" si="35"/>
        <v>36.657923802254089</v>
      </c>
      <c r="AL63" s="20">
        <f t="shared" si="4"/>
        <v>310.4249547889259</v>
      </c>
      <c r="AM63" s="59">
        <f t="shared" si="5"/>
        <v>603.75828812225927</v>
      </c>
      <c r="AN63" s="59">
        <f ca="1">AVERAGE(OFFSET($AM$3,0,0,'Données projet'!$E$10+1,1))-AVERAGE(OFFSET($H$3,0,0,'Données projet'!$E$10+1,1))</f>
        <v>141.22849894256314</v>
      </c>
      <c r="AO63" s="59">
        <f t="shared" si="36"/>
        <v>156.12101479343704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4.0604721489959825</v>
      </c>
      <c r="AV63" s="21">
        <f>EXP(-LN(2)/25)*AV62+(1-EXP(-LN(2)/25))/(LN(2)/25)*Calculateur!AQ63*Calculateur!AS63*VLOOKUP('Données projet'!$B$10,Paramètres!$A$1:$I$89,3,0)*0.475*44/12</f>
        <v>2.6214618071146347</v>
      </c>
      <c r="AW63" s="21">
        <f>EXP(-LN(2)/2)*AW62+(1-EXP(-LN(2)/2))/(LN(2)/2)*AQ63*AT63*VLOOKUP('Données projet'!$B$10,Paramètres!$A$1:$I$89,3,0)*0.475*44/12</f>
        <v>9.0270112005359307E-5</v>
      </c>
      <c r="AX63" s="21">
        <f t="shared" si="6"/>
        <v>6.682024226222623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304</v>
      </c>
      <c r="BE63" s="13">
        <f>BD63*VLOOKUP('Données projet'!$B$11,Paramètres!$A$1:$I$89,3,0)*VLOOKUP('Données projet'!$B$11,Paramètres!$A$1:$I$89,5,0)</f>
        <v>134.36800000000002</v>
      </c>
      <c r="BF63" s="13">
        <f t="shared" si="37"/>
        <v>35.003726395250304</v>
      </c>
      <c r="BG63" s="20">
        <f t="shared" si="7"/>
        <v>294.98909013839432</v>
      </c>
      <c r="BH63" s="59">
        <f t="shared" si="8"/>
        <v>588.32242347172769</v>
      </c>
      <c r="BI63" s="59">
        <f ca="1">AVERAGE(OFFSET($BH$3,0,0,'Données projet'!$E$11+1,1))-AVERAGE(OFFSET($H$3,0,0,'Données projet'!$E$11+1,1))</f>
        <v>114.25511901730295</v>
      </c>
      <c r="BJ63" s="59">
        <f t="shared" si="38"/>
        <v>180.96261947642182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1.8870937226875293</v>
      </c>
      <c r="BQ63" s="21">
        <f>EXP(-LN(2)/25)*BQ62+(1-EXP(-LN(2)/25))/(LN(2)/25)*Calculateur!BL63*Calculateur!BN63*VLOOKUP('Données projet'!$B$11,Paramètres!$A$1:$I$89,3,0)*0.475*44/12</f>
        <v>7.7545146386807966</v>
      </c>
      <c r="BR63" s="21">
        <f>EXP(-LN(2)/2)*BR62+(1-EXP(-LN(2)/2))/(LN(2)/2)*BL63*BO63*VLOOKUP('Données projet'!$B$11,Paramètres!$A$1:$I$89,3,0)*0.475*44/12</f>
        <v>2.0849800226384921E-4</v>
      </c>
      <c r="BS63" s="22">
        <f t="shared" si="9"/>
        <v>9.6418168593705893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297</v>
      </c>
      <c r="BW63" s="12">
        <f>VLOOKUP(A63,'Données projet'!$A$113:$I$133,9,0)</f>
        <v>9.375</v>
      </c>
      <c r="BX63" s="12">
        <f t="array" ref="BX63">INDEX(BW:BW,MIN(IF(ISNUMBER(BW63:BW259),ROW(BW63:BW259),"")))</f>
        <v>9.375</v>
      </c>
      <c r="BY63" s="12">
        <f>IF('Données projet'!$A$114&gt;35,BY62+BX63-CG62,IF(A63&lt;'Données projet'!$A$114,$BV$205^A63,IF(A63='Données projet'!$A$114,'Données projet'!$B$114,BY62+BX63-CG62)))</f>
        <v>296.99999999999989</v>
      </c>
      <c r="BZ63" s="13">
        <f>BY63*VLOOKUP('Données projet'!$B$12,Paramètres!$A$1:$I$89,3,0)*VLOOKUP('Données projet'!$B$12,Paramètres!$A$1:$I$89,5,0)</f>
        <v>231.65999999999991</v>
      </c>
      <c r="CA63" s="13">
        <f t="shared" si="39"/>
        <v>56.641461975682766</v>
      </c>
      <c r="CB63" s="20">
        <f t="shared" si="10"/>
        <v>502.125046274314</v>
      </c>
      <c r="CC63" s="59">
        <f t="shared" si="11"/>
        <v>795.45837960764732</v>
      </c>
      <c r="CD63" s="59">
        <f ca="1">AVERAGE(OFFSET($CC$3,0,0,'Données projet'!$E$12+1,1))-AVERAGE(OFFSET($H$3,0,0,'Données projet'!$E$12+1,1))</f>
        <v>216.95993967070063</v>
      </c>
      <c r="CE63" s="59">
        <f t="shared" si="40"/>
        <v>208.79744153433245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47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2.8522087405719425</v>
      </c>
      <c r="CL63" s="21">
        <f>EXP(-LN(2)/25)*CL62+(1-EXP(-LN(2)/25))/(LN(2)/25)*Calculateur!CG63*Calculateur!CI63*VLOOKUP('Données projet'!$B$12,Paramètres!$A$1:$I$89,3,0)*0.475*44/12</f>
        <v>2.7933165431473319</v>
      </c>
      <c r="CM63" s="21">
        <f>EXP(-LN(2)/2)*CM62+(1-EXP(-LN(2)/2))/(LN(2)/2)*CG63*CJ63*VLOOKUP('Données projet'!$B$12,Paramètres!$A$1:$I$89,3,0)*0.475*44/12</f>
        <v>3.7646739395249236E-5</v>
      </c>
      <c r="CN63" s="22">
        <f t="shared" si="12"/>
        <v>5.6455629304586701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297</v>
      </c>
      <c r="CR63" s="12">
        <f>VLOOKUP(A63,'Données projet'!$A$139:$I$159,9,0)</f>
        <v>9.375</v>
      </c>
      <c r="CS63" s="12">
        <f t="array" ref="CS63">INDEX(CR:CR,MIN(IF(ISNUMBER(CR63:CR259),ROW(CR63:CR259),"")))</f>
        <v>9.375</v>
      </c>
      <c r="CT63" s="12">
        <f>IF('Données projet'!$A$140&gt;35,CT62+CS63-DB62,IF(A63&lt;'Données projet'!$A$140,$CQ$205^A63,IF(A63='Données projet'!$A$140,'Données projet'!$B$140,CT62+CS63-DB62)))</f>
        <v>296.99999999999989</v>
      </c>
      <c r="CU63" s="17">
        <f>CT63*VLOOKUP('Données projet'!$B$13,Paramètres!$A$1:$I$89,3,0)*VLOOKUP('Données projet'!$B$13,Paramètres!$A$1:$I$89,5,0)</f>
        <v>199.22759999999994</v>
      </c>
      <c r="CV63" s="13">
        <f t="shared" si="41"/>
        <v>49.574379374190791</v>
      </c>
      <c r="CW63" s="20">
        <f t="shared" si="13"/>
        <v>433.33011407671552</v>
      </c>
      <c r="CX63" s="59">
        <f t="shared" si="14"/>
        <v>726.66344741004878</v>
      </c>
      <c r="CY63" s="59">
        <f ca="1">AVERAGE(OFFSET($CX$3,0,0,'Données projet'!$E$13+1,1))-AVERAGE(OFFSET($H$3,0,0,'Données projet'!$E$13+1,1))</f>
        <v>181.32837315090507</v>
      </c>
      <c r="CZ63" s="59">
        <f t="shared" si="42"/>
        <v>175.03267817980338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47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3.0233412650062568</v>
      </c>
      <c r="DG63" s="21">
        <f>EXP(-LN(2)/25)*DG62+(1-EXP(-LN(2)/25))/(LN(2)/25)*Calculateur!DB63*Calculateur!DD63*VLOOKUP('Données projet'!$B$13,Paramètres!$A$1:$I$89,3,0)*0.475*44/12</f>
        <v>2.9609155357361727</v>
      </c>
      <c r="DH63" s="21">
        <f>EXP(-LN(2)/2)*DH62+(1-EXP(-LN(2)/2))/(LN(2)/2)*DB63*DE63*VLOOKUP('Données projet'!$B$13,Paramètres!$A$1:$I$89,3,0)*0.475*44/12</f>
        <v>3.2376195879914329E-5</v>
      </c>
      <c r="DI63" s="22">
        <f t="shared" si="15"/>
        <v>5.9842891769383089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343</v>
      </c>
      <c r="DM63" s="12">
        <f>VLOOKUP(A63,'Données projet'!$A$165:$I$185,9,0)</f>
        <v>7.4</v>
      </c>
      <c r="DN63" s="12">
        <f t="array" ref="DN63">INDEX(DM:DM,MIN(IF(ISNUMBER(DM63:DM259),ROW(DM63:DM259),"")))</f>
        <v>7.4</v>
      </c>
      <c r="DO63" s="12">
        <f>IF('Données projet'!$A$166&gt;35,DO62+DN63-DW62,IF(A63&lt;'Données projet'!$A$166,$DL$205^A63,IF(A63='Données projet'!$A$166,'Données projet'!$B$166,DO62+DN63-DW62)))</f>
        <v>342.99999999999972</v>
      </c>
      <c r="DP63" s="17">
        <f>DO63*VLOOKUP('Données projet'!$B$14,Paramètres!$A$1:$I$89,3,0)*VLOOKUP('Données projet'!$B$14,Paramètres!$A$1:$I$89,5,0)</f>
        <v>272.89079999999979</v>
      </c>
      <c r="DQ63" s="13">
        <f t="shared" si="43"/>
        <v>65.462389231846373</v>
      </c>
      <c r="DR63" s="20">
        <f t="shared" si="16"/>
        <v>589.29847124546529</v>
      </c>
      <c r="DS63" s="59">
        <f t="shared" si="17"/>
        <v>882.63180457879866</v>
      </c>
      <c r="DT63" s="59">
        <f ca="1">AVERAGE(OFFSET($DS$3,0,0,'Données projet'!$E$14+1,1))-AVERAGE(OFFSET($H$3,0,0,'Données projet'!$E$14+1,1))</f>
        <v>325.72928944930294</v>
      </c>
      <c r="DU63" s="59">
        <f t="shared" si="44"/>
        <v>318.38876834819752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9.5583298680447921</v>
      </c>
      <c r="EB63" s="21">
        <f>EXP(-LN(2)/25)*EB62+(1-EXP(-LN(2)/25))/(LN(2)/25)*Calculateur!DW63*Calculateur!DY63*VLOOKUP('Données projet'!$B$14,Paramètres!$A$1:$I$89,3,0)*0.475*44/12</f>
        <v>9.0014409685154426</v>
      </c>
      <c r="EC63" s="21">
        <f>EXP(-LN(2)/2)*EC62+(1-EXP(-LN(2)/2))/(LN(2)/2)*DW63*DZ63*VLOOKUP('Données projet'!$B$14,Paramètres!$A$1:$I$89,3,0)*0.475*44/12</f>
        <v>3.6101443585461628E-4</v>
      </c>
      <c r="ED63" s="22">
        <f t="shared" si="18"/>
        <v>18.560131850996086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273</v>
      </c>
      <c r="EH63" s="12">
        <f>VLOOKUP(A63,'Données projet'!$A$191:$I$211,9,0)</f>
        <v>9.4</v>
      </c>
      <c r="EI63" s="12">
        <f t="array" ref="EI63">INDEX(EH:EH,MIN(IF(ISNUMBER(EH63:EH259),ROW(EH63:EH259),"")))</f>
        <v>9.4</v>
      </c>
      <c r="EJ63" s="12">
        <f>IF('Données projet'!$A$192&gt;35,EJ62+EI63-ER62,IF(A63&lt;'Données projet'!$A$192,$EG$205^A63,IF(A63='Données projet'!$A$192,'Données projet'!$B$192,EJ62+EI63-ER62)))</f>
        <v>272.99999999999994</v>
      </c>
      <c r="EK63" s="17">
        <f>EJ63*VLOOKUP('Données projet'!$B$15,Paramètres!$A$1:$I$89,3,0)*VLOOKUP('Données projet'!$B$15,Paramètres!$A$1:$I$89,5,0)</f>
        <v>276.82199999999995</v>
      </c>
      <c r="EL63" s="13">
        <f t="shared" si="45"/>
        <v>66.29496059864374</v>
      </c>
      <c r="EM63" s="20">
        <f t="shared" si="19"/>
        <v>597.59537304263779</v>
      </c>
      <c r="EN63" s="59">
        <f t="shared" si="20"/>
        <v>890.92870637597116</v>
      </c>
      <c r="EO63" s="59">
        <f ca="1">AVERAGE(OFFSET($EN$3,0,0,'Données projet'!$E$15+1,1))-AVERAGE(OFFSET($H$3,0,0,'Données projet'!$E$15+1,1))</f>
        <v>384.50065773787549</v>
      </c>
      <c r="EP63" s="59">
        <f t="shared" si="46"/>
        <v>231.92898690465887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4.5215215875879027</v>
      </c>
      <c r="EW63" s="21">
        <f>EXP(-LN(2)/25)*EW62+(1-EXP(-LN(2)/25))/(LN(2)/25)*Calculateur!ER63*Calculateur!ET63*VLOOKUP('Données projet'!$B$15,Paramètres!$A$1:$I$89,3,0)*0.475*44/12</f>
        <v>4.5682125670993958</v>
      </c>
      <c r="EX63" s="21">
        <f>EXP(-LN(2)/2)*EX62+(1-EXP(-LN(2)/2))/(LN(2)/2)*ER63*EU63*VLOOKUP('Données projet'!$B$15,Paramètres!$A$1:$I$89,3,0)*0.475*44/12</f>
        <v>2.9189754002377787E-4</v>
      </c>
      <c r="EY63" s="22">
        <f t="shared" si="21"/>
        <v>9.0900260522273229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273</v>
      </c>
      <c r="FC63" s="12">
        <f>VLOOKUP(A63,'Données projet'!$A$217:$I$237,9,0)</f>
        <v>9.4</v>
      </c>
      <c r="FD63" s="12">
        <f t="array" ref="FD63">INDEX(FC:FC,MIN(IF(ISNUMBER(FC63:FC259),ROW(FC63:FC259),"")))</f>
        <v>9.4</v>
      </c>
      <c r="FE63" s="12">
        <f>IF('Données projet'!$A$218&gt;35,FE62+FD63-FM62,IF(A63&lt;'Données projet'!$A$218,$FB$205^A63,IF(A63='Données projet'!$A$218,'Données projet'!$B$218,FE62+FD63-FM62)))</f>
        <v>272.99999999999994</v>
      </c>
      <c r="FF63" s="17">
        <f>FE63*VLOOKUP('Données projet'!$B$16,Paramètres!$A$1:$I$89,3,0)*VLOOKUP('Données projet'!$B$16,Paramètres!$A$1:$I$89,5,0)</f>
        <v>247.01039999999992</v>
      </c>
      <c r="FG63" s="13">
        <f t="shared" si="47"/>
        <v>59.945315462121812</v>
      </c>
      <c r="FH63" s="20">
        <f t="shared" si="22"/>
        <v>534.61453776319524</v>
      </c>
      <c r="FI63" s="59">
        <f t="shared" si="23"/>
        <v>827.94787109652862</v>
      </c>
      <c r="FJ63" s="59">
        <f ca="1">AVERAGE(OFFSET($FI$3,0,0,'Données projet'!$E$16+1,1))-AVERAGE(OFFSET($H$3,0,0,'Données projet'!$E$16+1,1))</f>
        <v>326.46362829268969</v>
      </c>
      <c r="FK63" s="59">
        <f t="shared" si="48"/>
        <v>203.5274665601915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28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4.0345884935399718</v>
      </c>
      <c r="FR63" s="21">
        <f>EXP(-LN(2)/25)*FR62+(1-EXP(-LN(2)/25))/(LN(2)/25)*Calculateur!FM63*Calculateur!FO63*VLOOKUP('Données projet'!$B$16,Paramètres!$A$1:$I$89,3,0)*0.475*44/12</f>
        <v>4.0762512137194591</v>
      </c>
      <c r="FS63" s="21">
        <f>EXP(-LN(2)/2)*FS62+(1-EXP(-LN(2)/2))/(LN(2)/2)*FM63*FP63*VLOOKUP('Données projet'!$B$16,Paramètres!$A$1:$I$89,3,0)*0.475*44/12</f>
        <v>2.6046242032890947E-4</v>
      </c>
      <c r="FT63" s="22">
        <f t="shared" si="24"/>
        <v>8.1111001696797587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273</v>
      </c>
      <c r="FX63" s="12">
        <f>VLOOKUP(A63,'Données projet'!$A$243:$I$263,9,0)</f>
        <v>9.4</v>
      </c>
      <c r="FY63" s="12">
        <f t="array" ref="FY63">INDEX(FX:FX,MIN(IF(ISNUMBER(FX63:FX259),ROW(FX63:FX259),"")))</f>
        <v>9.4</v>
      </c>
      <c r="FZ63" s="12">
        <f>IF('Données projet'!$A$244&gt;35,FZ62+FY63-GH62,IF(A63&lt;'Données projet'!$A$244,$FW$205^A63,IF(A63='Données projet'!$A$244,'Données projet'!$B$244,FZ62+FY63-GH62)))</f>
        <v>272.99999999999994</v>
      </c>
      <c r="GA63" s="17">
        <f>FZ63*VLOOKUP('Données projet'!$B$17,Paramètres!$A$1:$I$89,3,0)*VLOOKUP('Données projet'!$B$17,Paramètres!$A$1:$I$89,5,0)</f>
        <v>264.04559999999992</v>
      </c>
      <c r="GB63" s="13">
        <f t="shared" si="49"/>
        <v>63.58395992997368</v>
      </c>
      <c r="GC63" s="20">
        <f t="shared" si="25"/>
        <v>570.62148354470401</v>
      </c>
      <c r="GD63" s="59">
        <f t="shared" si="26"/>
        <v>863.95481687803726</v>
      </c>
      <c r="GE63" s="59">
        <f ca="1">AVERAGE(OFFSET($GD$3,0,0,'Données projet'!$E$17+1,1))-AVERAGE(OFFSET($H$3,0,0,'Données projet'!$E$17+1,1))</f>
        <v>353.24082990916918</v>
      </c>
      <c r="GF63" s="59">
        <f t="shared" si="50"/>
        <v>219.76562717496353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28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4.3128359758530745</v>
      </c>
      <c r="GM63" s="21">
        <f>EXP(-LN(2)/25)*GM62+(1-EXP(-LN(2)/25))/(LN(2)/25)*Calculateur!GH63*Calculateur!GJ63*VLOOKUP('Données projet'!$B$17,Paramètres!$A$1:$I$89,3,0)*0.475*44/12</f>
        <v>4.3573719870794232</v>
      </c>
      <c r="GN63" s="21">
        <f>EXP(-LN(2)/2)*GN62+(1-EXP(-LN(2)/2))/(LN(2)/2)*GH63*GK63*VLOOKUP('Données projet'!$B$17,Paramètres!$A$1:$I$89,3,0)*0.475*44/12</f>
        <v>2.7842534586883434E-4</v>
      </c>
      <c r="GO63" s="21">
        <f t="shared" si="27"/>
        <v>8.6704863882783663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378.17323480030268</v>
      </c>
      <c r="T64" s="59">
        <f t="shared" si="34"/>
        <v>471.89239871617241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2.3839659148643793</v>
      </c>
      <c r="AA64" s="21">
        <f>EXP(-LN(2)/25)*AA63+(1-EXP(-LN(2)/25))/(LN(2)/25)*Calculateur!V64*Calculateur!X64*VLOOKUP('Données projet'!$B$9,Paramètres!$A$1:$I$89,3,0)*0.475*44/12</f>
        <v>8.8067420365867921</v>
      </c>
      <c r="AB64" s="21">
        <f>EXP(-LN(2)/2)*AB63+(1-EXP(-LN(2)/2))/(LN(2)/2)*V64*Y64*VLOOKUP('Données projet'!$B$9,Paramètres!$A$1:$I$89,3,0)*0.475*44/12</f>
        <v>2.2573104194886678E-4</v>
      </c>
      <c r="AC64" s="22">
        <f t="shared" si="3"/>
        <v>11.190933682493121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2.125</v>
      </c>
      <c r="AI64" s="13">
        <f>IF('Données projet'!$A$62&gt;35,AI63+AH64-AQ63,IF(A64&lt;'Données projet'!$A$62,$AF$205^A64,IF(A64='Données projet'!$A$62,'Données projet'!$B$62,AI63+AH64-AQ63)))</f>
        <v>238.875</v>
      </c>
      <c r="AJ64" s="13">
        <f>AI64*VLOOKUP('Données projet'!$B$10,Paramètres!$A$1:$I$89,3,0)*VLOOKUP('Données projet'!$B$10,Paramètres!$A$1:$I$89,5,0)</f>
        <v>142.84725</v>
      </c>
      <c r="AK64" s="13">
        <f t="shared" si="35"/>
        <v>36.948504220019856</v>
      </c>
      <c r="AL64" s="20">
        <f t="shared" si="4"/>
        <v>313.1442719332012</v>
      </c>
      <c r="AM64" s="59">
        <f t="shared" si="5"/>
        <v>606.47760526653451</v>
      </c>
      <c r="AN64" s="59">
        <f ca="1">AVERAGE(OFFSET($AM$3,0,0,'Données projet'!$E$10+1,1))-AVERAGE(OFFSET($H$3,0,0,'Données projet'!$E$10+1,1))</f>
        <v>141.22849894256314</v>
      </c>
      <c r="AO64" s="59">
        <f t="shared" si="36"/>
        <v>156.12101479343704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3.9808487667976338</v>
      </c>
      <c r="AV64" s="21">
        <f>EXP(-LN(2)/25)*AV63+(1-EXP(-LN(2)/25))/(LN(2)/25)*Calculateur!AQ64*Calculateur!AS64*VLOOKUP('Données projet'!$B$10,Paramètres!$A$1:$I$89,3,0)*0.475*44/12</f>
        <v>2.5497777961424002</v>
      </c>
      <c r="AW64" s="21">
        <f>EXP(-LN(2)/2)*AW63+(1-EXP(-LN(2)/2))/(LN(2)/2)*AQ64*AT64*VLOOKUP('Données projet'!$B$10,Paramètres!$A$1:$I$89,3,0)*0.475*44/12</f>
        <v>6.383060833745874E-5</v>
      </c>
      <c r="AX64" s="21">
        <f t="shared" si="6"/>
        <v>6.5306903935483716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114.25511901730295</v>
      </c>
      <c r="BJ64" s="59">
        <f t="shared" si="38"/>
        <v>180.96261947642182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1.8500889657991446</v>
      </c>
      <c r="BQ64" s="21">
        <f>EXP(-LN(2)/25)*BQ63+(1-EXP(-LN(2)/25))/(LN(2)/25)*Calculateur!BL64*Calculateur!BN64*VLOOKUP('Données projet'!$B$11,Paramètres!$A$1:$I$89,3,0)*0.475*44/12</f>
        <v>7.5424670280938688</v>
      </c>
      <c r="BR64" s="21">
        <f>EXP(-LN(2)/2)*BR63+(1-EXP(-LN(2)/2))/(LN(2)/2)*BL64*BO64*VLOOKUP('Données projet'!$B$11,Paramètres!$A$1:$I$89,3,0)*0.475*44/12</f>
        <v>1.4743035126461591E-4</v>
      </c>
      <c r="BS64" s="22">
        <f t="shared" si="9"/>
        <v>9.392703424244278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8.6666666666666661</v>
      </c>
      <c r="BY64" s="12">
        <f>IF('Données projet'!$A$114&gt;35,BY63+BX64-CG63,IF(A64&lt;'Données projet'!$A$114,$BV$205^A64,IF(A64='Données projet'!$A$114,'Données projet'!$B$114,BY63+BX64-CG63)))</f>
        <v>258.66666666666657</v>
      </c>
      <c r="BZ64" s="13">
        <f>BY64*VLOOKUP('Données projet'!$B$12,Paramètres!$A$1:$I$89,3,0)*VLOOKUP('Données projet'!$B$12,Paramètres!$A$1:$I$89,5,0)</f>
        <v>201.75999999999993</v>
      </c>
      <c r="CA64" s="13">
        <f t="shared" si="39"/>
        <v>50.130765000424169</v>
      </c>
      <c r="CB64" s="20">
        <f t="shared" si="10"/>
        <v>438.70974904240529</v>
      </c>
      <c r="CC64" s="59">
        <f t="shared" si="11"/>
        <v>732.04308237573855</v>
      </c>
      <c r="CD64" s="59">
        <f ca="1">AVERAGE(OFFSET($CC$3,0,0,'Données projet'!$E$12+1,1))-AVERAGE(OFFSET($H$3,0,0,'Données projet'!$E$12+1,1))</f>
        <v>216.95993967070063</v>
      </c>
      <c r="CE64" s="59">
        <f t="shared" si="40"/>
        <v>208.79744153433245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2.7962786668448798</v>
      </c>
      <c r="CL64" s="21">
        <f>EXP(-LN(2)/25)*CL63+(1-EXP(-LN(2)/25))/(LN(2)/25)*Calculateur!CG64*Calculateur!CI64*VLOOKUP('Données projet'!$B$12,Paramètres!$A$1:$I$89,3,0)*0.475*44/12</f>
        <v>2.7169331553808354</v>
      </c>
      <c r="CM64" s="21">
        <f>EXP(-LN(2)/2)*CM63+(1-EXP(-LN(2)/2))/(LN(2)/2)*CG64*CJ64*VLOOKUP('Données projet'!$B$12,Paramètres!$A$1:$I$89,3,0)*0.475*44/12</f>
        <v>2.662026471594348E-5</v>
      </c>
      <c r="CN64" s="22">
        <f t="shared" si="12"/>
        <v>5.5132384424904313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8.6666666666666661</v>
      </c>
      <c r="CT64" s="12">
        <f>IF('Données projet'!$A$140&gt;35,CT63+CS64-DB63,IF(A64&lt;'Données projet'!$A$140,$CQ$205^A64,IF(A64='Données projet'!$A$140,'Données projet'!$B$140,CT63+CS64-DB63)))</f>
        <v>258.66666666666657</v>
      </c>
      <c r="CU64" s="17">
        <f>CT64*VLOOKUP('Données projet'!$B$13,Paramètres!$A$1:$I$89,3,0)*VLOOKUP('Données projet'!$B$13,Paramètres!$A$1:$I$89,5,0)</f>
        <v>173.51359999999994</v>
      </c>
      <c r="CV64" s="13">
        <f t="shared" si="41"/>
        <v>43.876013714412544</v>
      </c>
      <c r="CW64" s="20">
        <f t="shared" si="13"/>
        <v>378.62024388593505</v>
      </c>
      <c r="CX64" s="59">
        <f t="shared" si="14"/>
        <v>671.95357721926837</v>
      </c>
      <c r="CY64" s="59">
        <f ca="1">AVERAGE(OFFSET($CX$3,0,0,'Données projet'!$E$13+1,1))-AVERAGE(OFFSET($H$3,0,0,'Données projet'!$E$13+1,1))</f>
        <v>181.32837315090507</v>
      </c>
      <c r="CZ64" s="59">
        <f t="shared" si="42"/>
        <v>175.03267817980338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2.9640553868555704</v>
      </c>
      <c r="DG64" s="21">
        <f>EXP(-LN(2)/25)*DG63+(1-EXP(-LN(2)/25))/(LN(2)/25)*Calculateur!DB64*Calculateur!DD64*VLOOKUP('Données projet'!$B$13,Paramètres!$A$1:$I$89,3,0)*0.475*44/12</f>
        <v>2.8799491447036862</v>
      </c>
      <c r="DH64" s="21">
        <f>EXP(-LN(2)/2)*DH63+(1-EXP(-LN(2)/2))/(LN(2)/2)*DB64*DE64*VLOOKUP('Données projet'!$B$13,Paramètres!$A$1:$I$89,3,0)*0.475*44/12</f>
        <v>2.2893427655711383E-5</v>
      </c>
      <c r="DI64" s="22">
        <f t="shared" si="15"/>
        <v>5.8440274249869129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331.99999999999972</v>
      </c>
      <c r="DP64" s="17">
        <f>DO64*VLOOKUP('Données projet'!$B$14,Paramètres!$A$1:$I$89,3,0)*VLOOKUP('Données projet'!$B$14,Paramètres!$A$1:$I$89,5,0)</f>
        <v>264.13919999999979</v>
      </c>
      <c r="DQ64" s="13">
        <f t="shared" si="43"/>
        <v>63.60387543087441</v>
      </c>
      <c r="DR64" s="20">
        <f t="shared" si="16"/>
        <v>570.81918970877257</v>
      </c>
      <c r="DS64" s="59">
        <f t="shared" si="17"/>
        <v>864.15252304210594</v>
      </c>
      <c r="DT64" s="59">
        <f ca="1">AVERAGE(OFFSET($DS$3,0,0,'Données projet'!$E$14+1,1))-AVERAGE(OFFSET($H$3,0,0,'Données projet'!$E$14+1,1))</f>
        <v>325.72928944930294</v>
      </c>
      <c r="DU64" s="59">
        <f t="shared" si="44"/>
        <v>318.38876834819752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9.3708968493379885</v>
      </c>
      <c r="EB64" s="21">
        <f>EXP(-LN(2)/25)*EB63+(1-EXP(-LN(2)/25))/(LN(2)/25)*Calculateur!DW64*Calculateur!DY64*VLOOKUP('Données projet'!$B$14,Paramètres!$A$1:$I$89,3,0)*0.475*44/12</f>
        <v>8.75529609186618</v>
      </c>
      <c r="EC64" s="21">
        <f>EXP(-LN(2)/2)*EC63+(1-EXP(-LN(2)/2))/(LN(2)/2)*DW64*DZ64*VLOOKUP('Données projet'!$B$14,Paramètres!$A$1:$I$89,3,0)*0.475*44/12</f>
        <v>2.5527575569903504E-4</v>
      </c>
      <c r="ED64" s="22">
        <f t="shared" si="18"/>
        <v>18.126448216959865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8.8000000000000007</v>
      </c>
      <c r="EJ64" s="12">
        <f>IF('Données projet'!$A$192&gt;35,EJ63+EI64-ER63,IF(A64&lt;'Données projet'!$A$192,$EG$205^A64,IF(A64='Données projet'!$A$192,'Données projet'!$B$192,EJ63+EI64-ER63)))</f>
        <v>253.79999999999995</v>
      </c>
      <c r="EK64" s="17">
        <f>EJ64*VLOOKUP('Données projet'!$B$15,Paramètres!$A$1:$I$89,3,0)*VLOOKUP('Données projet'!$B$15,Paramètres!$A$1:$I$89,5,0)</f>
        <v>257.35319999999996</v>
      </c>
      <c r="EL64" s="13">
        <f t="shared" si="45"/>
        <v>62.157851613080908</v>
      </c>
      <c r="EM64" s="20">
        <f t="shared" si="19"/>
        <v>556.48174822611588</v>
      </c>
      <c r="EN64" s="59">
        <f t="shared" si="20"/>
        <v>849.81508155944925</v>
      </c>
      <c r="EO64" s="59">
        <f ca="1">AVERAGE(OFFSET($EN$3,0,0,'Données projet'!$E$15+1,1))-AVERAGE(OFFSET($H$3,0,0,'Données projet'!$E$15+1,1))</f>
        <v>384.50065773787549</v>
      </c>
      <c r="EP64" s="59">
        <f t="shared" si="46"/>
        <v>231.92898690465887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4.4328573071111563</v>
      </c>
      <c r="EW64" s="21">
        <f>EXP(-LN(2)/25)*EW63+(1-EXP(-LN(2)/25))/(LN(2)/25)*Calculateur!ER64*Calculateur!ET64*VLOOKUP('Données projet'!$B$15,Paramètres!$A$1:$I$89,3,0)*0.475*44/12</f>
        <v>4.4432945542202047</v>
      </c>
      <c r="EX64" s="21">
        <f>EXP(-LN(2)/2)*EX63+(1-EXP(-LN(2)/2))/(LN(2)/2)*ER64*EU64*VLOOKUP('Données projet'!$B$15,Paramètres!$A$1:$I$89,3,0)*0.475*44/12</f>
        <v>2.06402729962485E-4</v>
      </c>
      <c r="EY64" s="22">
        <f t="shared" si="21"/>
        <v>8.8763582640613237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8.8000000000000007</v>
      </c>
      <c r="FE64" s="12">
        <f>IF('Données projet'!$A$218&gt;35,FE63+FD64-FM63,IF(A64&lt;'Données projet'!$A$218,$FB$205^A64,IF(A64='Données projet'!$A$218,'Données projet'!$B$218,FE63+FD64-FM63)))</f>
        <v>253.79999999999995</v>
      </c>
      <c r="FF64" s="17">
        <f>FE64*VLOOKUP('Données projet'!$B$16,Paramètres!$A$1:$I$89,3,0)*VLOOKUP('Données projet'!$B$16,Paramètres!$A$1:$I$89,5,0)</f>
        <v>229.63823999999994</v>
      </c>
      <c r="FG64" s="13">
        <f t="shared" si="47"/>
        <v>56.204453396569633</v>
      </c>
      <c r="FH64" s="20">
        <f t="shared" si="22"/>
        <v>497.84269099902531</v>
      </c>
      <c r="FI64" s="59">
        <f t="shared" si="23"/>
        <v>791.17602433235857</v>
      </c>
      <c r="FJ64" s="59">
        <f ca="1">AVERAGE(OFFSET($FI$3,0,0,'Données projet'!$E$16+1,1))-AVERAGE(OFFSET($H$3,0,0,'Données projet'!$E$16+1,1))</f>
        <v>326.46362829268969</v>
      </c>
      <c r="FK64" s="59">
        <f t="shared" si="48"/>
        <v>203.5274665601915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3.9554726740376447</v>
      </c>
      <c r="FR64" s="21">
        <f>EXP(-LN(2)/25)*FR63+(1-EXP(-LN(2)/25))/(LN(2)/25)*Calculateur!FM64*Calculateur!FO64*VLOOKUP('Données projet'!$B$16,Paramètres!$A$1:$I$89,3,0)*0.475*44/12</f>
        <v>3.9647859099195655</v>
      </c>
      <c r="FS64" s="21">
        <f>EXP(-LN(2)/2)*FS63+(1-EXP(-LN(2)/2))/(LN(2)/2)*FM64*FP64*VLOOKUP('Données projet'!$B$16,Paramètres!$A$1:$I$89,3,0)*0.475*44/12</f>
        <v>1.8417474365883276E-4</v>
      </c>
      <c r="FT64" s="22">
        <f t="shared" si="24"/>
        <v>7.9204427587008688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8.8000000000000007</v>
      </c>
      <c r="FZ64" s="12">
        <f>IF('Données projet'!$A$244&gt;35,FZ63+FY64-GH63,IF(A64&lt;'Données projet'!$A$244,$FW$205^A64,IF(A64='Données projet'!$A$244,'Données projet'!$B$244,FZ63+FY64-GH63)))</f>
        <v>253.79999999999995</v>
      </c>
      <c r="GA64" s="17">
        <f>FZ64*VLOOKUP('Données projet'!$B$17,Paramètres!$A$1:$I$89,3,0)*VLOOKUP('Données projet'!$B$17,Paramètres!$A$1:$I$89,5,0)</f>
        <v>245.47535999999997</v>
      </c>
      <c r="GB64" s="13">
        <f t="shared" si="49"/>
        <v>59.616029794883758</v>
      </c>
      <c r="GC64" s="20">
        <f t="shared" si="25"/>
        <v>531.36750389275585</v>
      </c>
      <c r="GD64" s="59">
        <f t="shared" si="26"/>
        <v>824.70083722608911</v>
      </c>
      <c r="GE64" s="59">
        <f ca="1">AVERAGE(OFFSET($GD$3,0,0,'Données projet'!$E$17+1,1))-AVERAGE(OFFSET($H$3,0,0,'Données projet'!$E$17+1,1))</f>
        <v>353.24082990916918</v>
      </c>
      <c r="GF64" s="59">
        <f t="shared" si="50"/>
        <v>219.76562717496353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4.2282638929367939</v>
      </c>
      <c r="GM64" s="21">
        <f>EXP(-LN(2)/25)*GM63+(1-EXP(-LN(2)/25))/(LN(2)/25)*Calculateur!GH64*Calculateur!GJ64*VLOOKUP('Données projet'!$B$17,Paramètres!$A$1:$I$89,3,0)*0.475*44/12</f>
        <v>4.2382194209485027</v>
      </c>
      <c r="GN64" s="21">
        <f>EXP(-LN(2)/2)*GN63+(1-EXP(-LN(2)/2))/(LN(2)/2)*GH64*GK64*VLOOKUP('Données projet'!$B$17,Paramètres!$A$1:$I$89,3,0)*0.475*44/12</f>
        <v>1.9687645011806266E-4</v>
      </c>
      <c r="GO64" s="21">
        <f t="shared" si="27"/>
        <v>8.4666801903354152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378.17323480030268</v>
      </c>
      <c r="T65" s="59">
        <f t="shared" si="34"/>
        <v>471.89239871617241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2.3372177973495187</v>
      </c>
      <c r="AA65" s="21">
        <f>EXP(-LN(2)/25)*AA64+(1-EXP(-LN(2)/25))/(LN(2)/25)*Calculateur!V65*Calculateur!X65*VLOOKUP('Données projet'!$B$9,Paramètres!$A$1:$I$89,3,0)*0.475*44/12</f>
        <v>8.56592121246989</v>
      </c>
      <c r="AB65" s="21">
        <f>EXP(-LN(2)/2)*AB64+(1-EXP(-LN(2)/2))/(LN(2)/2)*V65*Y65*VLOOKUP('Données projet'!$B$9,Paramètres!$A$1:$I$89,3,0)*0.475*44/12</f>
        <v>1.5961595048634872E-4</v>
      </c>
      <c r="AC65" s="22">
        <f t="shared" si="3"/>
        <v>10.903298625769896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241</v>
      </c>
      <c r="AG65" s="12">
        <f>VLOOKUP(A65,'Données projet'!$A$61:$I$81,9,0)</f>
        <v>2.125</v>
      </c>
      <c r="AH65" s="12">
        <f t="array" ref="AH65">INDEX(AG:AG,MIN(IF(ISNUMBER(AG65:AG261),ROW(AG65:AG261),"")))</f>
        <v>2.125</v>
      </c>
      <c r="AI65" s="13">
        <f>IF('Données projet'!$A$62&gt;35,AI64+AH65-AQ64,IF(A65&lt;'Données projet'!$A$62,$AF$205^A65,IF(A65='Données projet'!$A$62,'Données projet'!$B$62,AI64+AH65-AQ64)))</f>
        <v>241</v>
      </c>
      <c r="AJ65" s="13">
        <f>AI65*VLOOKUP('Données projet'!$B$10,Paramètres!$A$1:$I$89,3,0)*VLOOKUP('Données projet'!$B$10,Paramètres!$A$1:$I$89,5,0)</f>
        <v>144.11799999999999</v>
      </c>
      <c r="AK65" s="13">
        <f t="shared" si="35"/>
        <v>37.238783899454731</v>
      </c>
      <c r="AL65" s="20">
        <f t="shared" si="4"/>
        <v>315.8630652915503</v>
      </c>
      <c r="AM65" s="59">
        <f t="shared" si="5"/>
        <v>609.19639862488361</v>
      </c>
      <c r="AN65" s="59">
        <f ca="1">AVERAGE(OFFSET($AM$3,0,0,'Données projet'!$E$10+1,1))-AVERAGE(OFFSET($H$3,0,0,'Données projet'!$E$10+1,1))</f>
        <v>141.22849894256314</v>
      </c>
      <c r="AO65" s="59">
        <f t="shared" si="36"/>
        <v>156.12101479343704</v>
      </c>
      <c r="AP65" s="15">
        <f>IF(ISNA(VLOOKUP(A65,'Données projet'!$A$61:$I$81,3,0)),0,VLOOKUP(A65,'Données projet'!$A$61:$I$81,3,0))</f>
        <v>10</v>
      </c>
      <c r="AQ65" s="15">
        <f>IF(ISNA(VLOOKUP(A65,'Données projet'!$A$61:$I$81,4,0)),0,VLOOKUP(A65,'Données projet'!$A$61:$I$81,4,0))</f>
        <v>241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3.902786750558727</v>
      </c>
      <c r="AV65" s="21">
        <f>EXP(-LN(2)/25)*AV64+(1-EXP(-LN(2)/25))/(LN(2)/25)*Calculateur!AQ65*Calculateur!AS65*VLOOKUP('Données projet'!$B$10,Paramètres!$A$1:$I$89,3,0)*0.475*44/12</f>
        <v>2.4800539882198995</v>
      </c>
      <c r="AW65" s="21">
        <f>EXP(-LN(2)/2)*AW64+(1-EXP(-LN(2)/2))/(LN(2)/2)*AQ65*AT65*VLOOKUP('Données projet'!$B$10,Paramètres!$A$1:$I$89,3,0)*0.475*44/12</f>
        <v>4.5135056002679654E-5</v>
      </c>
      <c r="AX65" s="21">
        <f t="shared" si="6"/>
        <v>6.3828858738346295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114.25511901730295</v>
      </c>
      <c r="BJ65" s="59">
        <f t="shared" si="38"/>
        <v>180.96261947642182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1.813809849622668</v>
      </c>
      <c r="BQ65" s="21">
        <f>EXP(-LN(2)/25)*BQ64+(1-EXP(-LN(2)/25))/(LN(2)/25)*Calculateur!BL65*Calculateur!BN65*VLOOKUP('Données projet'!$B$11,Paramètres!$A$1:$I$89,3,0)*0.475*44/12</f>
        <v>7.3362178705695396</v>
      </c>
      <c r="BR65" s="21">
        <f>EXP(-LN(2)/2)*BR64+(1-EXP(-LN(2)/2))/(LN(2)/2)*BL65*BO65*VLOOKUP('Données projet'!$B$11,Paramètres!$A$1:$I$89,3,0)*0.475*44/12</f>
        <v>1.042490011319246E-4</v>
      </c>
      <c r="BS65" s="22">
        <f t="shared" si="9"/>
        <v>9.1501319691933389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8.6666666666666661</v>
      </c>
      <c r="BY65" s="12">
        <f>IF('Données projet'!$A$114&gt;35,BY64+BX65-CG64,IF(A65&lt;'Données projet'!$A$114,$BV$205^A65,IF(A65='Données projet'!$A$114,'Données projet'!$B$114,BY64+BX65-CG64)))</f>
        <v>267.33333333333326</v>
      </c>
      <c r="BZ65" s="13">
        <f>BY65*VLOOKUP('Données projet'!$B$12,Paramètres!$A$1:$I$89,3,0)*VLOOKUP('Données projet'!$B$12,Paramètres!$A$1:$I$89,5,0)</f>
        <v>208.51999999999995</v>
      </c>
      <c r="CA65" s="13">
        <f t="shared" si="39"/>
        <v>51.612035456318459</v>
      </c>
      <c r="CB65" s="20">
        <f t="shared" si="10"/>
        <v>453.06329508642119</v>
      </c>
      <c r="CC65" s="59">
        <f t="shared" si="11"/>
        <v>746.39662841975451</v>
      </c>
      <c r="CD65" s="59">
        <f ca="1">AVERAGE(OFFSET($CC$3,0,0,'Données projet'!$E$12+1,1))-AVERAGE(OFFSET($H$3,0,0,'Données projet'!$E$12+1,1))</f>
        <v>216.95993967070063</v>
      </c>
      <c r="CE65" s="59">
        <f t="shared" si="40"/>
        <v>208.79744153433245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2.7414453477496283</v>
      </c>
      <c r="CL65" s="21">
        <f>EXP(-LN(2)/25)*CL64+(1-EXP(-LN(2)/25))/(LN(2)/25)*Calculateur!CG65*Calculateur!CI65*VLOOKUP('Données projet'!$B$12,Paramètres!$A$1:$I$89,3,0)*0.475*44/12</f>
        <v>2.6426384753696412</v>
      </c>
      <c r="CM65" s="21">
        <f>EXP(-LN(2)/2)*CM64+(1-EXP(-LN(2)/2))/(LN(2)/2)*CG65*CJ65*VLOOKUP('Données projet'!$B$12,Paramètres!$A$1:$I$89,3,0)*0.475*44/12</f>
        <v>1.8823369697624618E-5</v>
      </c>
      <c r="CN65" s="22">
        <f t="shared" si="12"/>
        <v>5.3841026464889667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8.6666666666666661</v>
      </c>
      <c r="CT65" s="12">
        <f>IF('Données projet'!$A$140&gt;35,CT64+CS65-DB64,IF(A65&lt;'Données projet'!$A$140,$CQ$205^A65,IF(A65='Données projet'!$A$140,'Données projet'!$B$140,CT64+CS65-DB64)))</f>
        <v>267.33333333333326</v>
      </c>
      <c r="CU65" s="17">
        <f>CT65*VLOOKUP('Données projet'!$B$13,Paramètres!$A$1:$I$89,3,0)*VLOOKUP('Données projet'!$B$13,Paramètres!$A$1:$I$89,5,0)</f>
        <v>179.32719999999995</v>
      </c>
      <c r="CV65" s="13">
        <f t="shared" si="41"/>
        <v>45.172467954379158</v>
      </c>
      <c r="CW65" s="20">
        <f t="shared" si="13"/>
        <v>391.00358835387692</v>
      </c>
      <c r="CX65" s="59">
        <f t="shared" si="14"/>
        <v>684.33692168721018</v>
      </c>
      <c r="CY65" s="59">
        <f ca="1">AVERAGE(OFFSET($CX$3,0,0,'Données projet'!$E$13+1,1))-AVERAGE(OFFSET($H$3,0,0,'Données projet'!$E$13+1,1))</f>
        <v>181.32837315090507</v>
      </c>
      <c r="CZ65" s="59">
        <f t="shared" si="42"/>
        <v>175.03267817980338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2.9059320686146037</v>
      </c>
      <c r="DG65" s="21">
        <f>EXP(-LN(2)/25)*DG64+(1-EXP(-LN(2)/25))/(LN(2)/25)*Calculateur!DB65*Calculateur!DD65*VLOOKUP('Données projet'!$B$13,Paramètres!$A$1:$I$89,3,0)*0.475*44/12</f>
        <v>2.8011967838918208</v>
      </c>
      <c r="DH65" s="21">
        <f>EXP(-LN(2)/2)*DH64+(1-EXP(-LN(2)/2))/(LN(2)/2)*DB65*DE65*VLOOKUP('Données projet'!$B$13,Paramètres!$A$1:$I$89,3,0)*0.475*44/12</f>
        <v>1.6188097939957164E-5</v>
      </c>
      <c r="DI65" s="22">
        <f t="shared" si="15"/>
        <v>5.7071450406043649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337.99999999999972</v>
      </c>
      <c r="DP65" s="17">
        <f>DO65*VLOOKUP('Données projet'!$B$14,Paramètres!$A$1:$I$89,3,0)*VLOOKUP('Données projet'!$B$14,Paramètres!$A$1:$I$89,5,0)</f>
        <v>268.91279999999978</v>
      </c>
      <c r="DQ65" s="13">
        <f t="shared" si="43"/>
        <v>64.618483855217065</v>
      </c>
      <c r="DR65" s="20">
        <f t="shared" si="16"/>
        <v>580.90031938116931</v>
      </c>
      <c r="DS65" s="59">
        <f t="shared" si="17"/>
        <v>874.23365271450257</v>
      </c>
      <c r="DT65" s="59">
        <f ca="1">AVERAGE(OFFSET($DS$3,0,0,'Données projet'!$E$14+1,1))-AVERAGE(OFFSET($H$3,0,0,'Données projet'!$E$14+1,1))</f>
        <v>325.72928944930294</v>
      </c>
      <c r="DU65" s="59">
        <f t="shared" si="44"/>
        <v>318.38876834819752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9.187139277805171</v>
      </c>
      <c r="EB65" s="21">
        <f>EXP(-LN(2)/25)*EB64+(1-EXP(-LN(2)/25))/(LN(2)/25)*Calculateur!DW65*Calculateur!DY65*VLOOKUP('Données projet'!$B$14,Paramètres!$A$1:$I$89,3,0)*0.475*44/12</f>
        <v>8.5158820598130891</v>
      </c>
      <c r="EC65" s="21">
        <f>EXP(-LN(2)/2)*EC64+(1-EXP(-LN(2)/2))/(LN(2)/2)*DW65*DZ65*VLOOKUP('Données projet'!$B$14,Paramètres!$A$1:$I$89,3,0)*0.475*44/12</f>
        <v>1.8050721792730814E-4</v>
      </c>
      <c r="ED65" s="22">
        <f t="shared" si="18"/>
        <v>17.703201844836187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8.8000000000000007</v>
      </c>
      <c r="EJ65" s="12">
        <f>IF('Données projet'!$A$192&gt;35,EJ64+EI65-ER64,IF(A65&lt;'Données projet'!$A$192,$EG$205^A65,IF(A65='Données projet'!$A$192,'Données projet'!$B$192,EJ64+EI65-ER64)))</f>
        <v>262.59999999999997</v>
      </c>
      <c r="EK65" s="17">
        <f>EJ65*VLOOKUP('Données projet'!$B$15,Paramètres!$A$1:$I$89,3,0)*VLOOKUP('Données projet'!$B$15,Paramètres!$A$1:$I$89,5,0)</f>
        <v>266.27640000000002</v>
      </c>
      <c r="EL65" s="13">
        <f t="shared" si="45"/>
        <v>64.058389829439747</v>
      </c>
      <c r="EM65" s="20">
        <f t="shared" si="19"/>
        <v>575.33309228627434</v>
      </c>
      <c r="EN65" s="59">
        <f t="shared" si="20"/>
        <v>868.66642561960771</v>
      </c>
      <c r="EO65" s="59">
        <f ca="1">AVERAGE(OFFSET($EN$3,0,0,'Données projet'!$E$15+1,1))-AVERAGE(OFFSET($H$3,0,0,'Données projet'!$E$15+1,1))</f>
        <v>384.50065773787549</v>
      </c>
      <c r="EP65" s="59">
        <f t="shared" si="46"/>
        <v>231.92898690465887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4.3459316790946882</v>
      </c>
      <c r="EW65" s="21">
        <f>EXP(-LN(2)/25)*EW64+(1-EXP(-LN(2)/25))/(LN(2)/25)*Calculateur!ER65*Calculateur!ET65*VLOOKUP('Données projet'!$B$15,Paramètres!$A$1:$I$89,3,0)*0.475*44/12</f>
        <v>4.3217924309723479</v>
      </c>
      <c r="EX65" s="21">
        <f>EXP(-LN(2)/2)*EX64+(1-EXP(-LN(2)/2))/(LN(2)/2)*ER65*EU65*VLOOKUP('Données projet'!$B$15,Paramètres!$A$1:$I$89,3,0)*0.475*44/12</f>
        <v>1.4594877001188893E-4</v>
      </c>
      <c r="EY65" s="22">
        <f t="shared" si="21"/>
        <v>8.6678700588370479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8.8000000000000007</v>
      </c>
      <c r="FE65" s="12">
        <f>IF('Données projet'!$A$218&gt;35,FE64+FD65-FM64,IF(A65&lt;'Données projet'!$A$218,$FB$205^A65,IF(A65='Données projet'!$A$218,'Données projet'!$B$218,FE64+FD65-FM64)))</f>
        <v>262.59999999999997</v>
      </c>
      <c r="FF65" s="17">
        <f>FE65*VLOOKUP('Données projet'!$B$16,Paramètres!$A$1:$I$89,3,0)*VLOOKUP('Données projet'!$B$16,Paramètres!$A$1:$I$89,5,0)</f>
        <v>237.60047999999995</v>
      </c>
      <c r="FG65" s="13">
        <f t="shared" si="47"/>
        <v>57.922960533442058</v>
      </c>
      <c r="FH65" s="20">
        <f t="shared" si="22"/>
        <v>514.70332559574479</v>
      </c>
      <c r="FI65" s="59">
        <f t="shared" si="23"/>
        <v>808.03665892907816</v>
      </c>
      <c r="FJ65" s="59">
        <f ca="1">AVERAGE(OFFSET($FI$3,0,0,'Données projet'!$E$16+1,1))-AVERAGE(OFFSET($H$3,0,0,'Données projet'!$E$16+1,1))</f>
        <v>326.46362829268969</v>
      </c>
      <c r="FK65" s="59">
        <f t="shared" si="48"/>
        <v>203.5274665601915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3.8779082674998731</v>
      </c>
      <c r="FR65" s="21">
        <f>EXP(-LN(2)/25)*FR64+(1-EXP(-LN(2)/25))/(LN(2)/25)*Calculateur!FM65*Calculateur!FO65*VLOOKUP('Données projet'!$B$16,Paramètres!$A$1:$I$89,3,0)*0.475*44/12</f>
        <v>3.8563686307137854</v>
      </c>
      <c r="FS65" s="21">
        <f>EXP(-LN(2)/2)*FS64+(1-EXP(-LN(2)/2))/(LN(2)/2)*FM65*FP65*VLOOKUP('Données projet'!$B$16,Paramètres!$A$1:$I$89,3,0)*0.475*44/12</f>
        <v>1.3023121016445473E-4</v>
      </c>
      <c r="FT65" s="22">
        <f t="shared" si="24"/>
        <v>7.7344071294238228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8.8000000000000007</v>
      </c>
      <c r="FZ65" s="12">
        <f>IF('Données projet'!$A$244&gt;35,FZ64+FY65-GH64,IF(A65&lt;'Données projet'!$A$244,$FW$205^A65,IF(A65='Données projet'!$A$244,'Données projet'!$B$244,FZ64+FY65-GH64)))</f>
        <v>262.59999999999997</v>
      </c>
      <c r="GA65" s="17">
        <f>FZ65*VLOOKUP('Données projet'!$B$17,Paramètres!$A$1:$I$89,3,0)*VLOOKUP('Données projet'!$B$17,Paramètres!$A$1:$I$89,5,0)</f>
        <v>253.98671999999999</v>
      </c>
      <c r="GB65" s="13">
        <f t="shared" si="49"/>
        <v>61.438849277739124</v>
      </c>
      <c r="GC65" s="20">
        <f t="shared" si="25"/>
        <v>549.3661998253956</v>
      </c>
      <c r="GD65" s="59">
        <f t="shared" si="26"/>
        <v>842.69953315872885</v>
      </c>
      <c r="GE65" s="59">
        <f ca="1">AVERAGE(OFFSET($GD$3,0,0,'Données projet'!$E$17+1,1))-AVERAGE(OFFSET($H$3,0,0,'Données projet'!$E$17+1,1))</f>
        <v>353.24082990916918</v>
      </c>
      <c r="GF65" s="59">
        <f t="shared" si="50"/>
        <v>219.76562717496353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4.1453502169826244</v>
      </c>
      <c r="GM65" s="21">
        <f>EXP(-LN(2)/25)*GM64+(1-EXP(-LN(2)/25))/(LN(2)/25)*Calculateur!GH65*Calculateur!GJ65*VLOOKUP('Données projet'!$B$17,Paramètres!$A$1:$I$89,3,0)*0.475*44/12</f>
        <v>4.1223250880043931</v>
      </c>
      <c r="GN65" s="21">
        <f>EXP(-LN(2)/2)*GN64+(1-EXP(-LN(2)/2))/(LN(2)/2)*GH65*GK65*VLOOKUP('Données projet'!$B$17,Paramètres!$A$1:$I$89,3,0)*0.475*44/12</f>
        <v>1.3921267293441717E-4</v>
      </c>
      <c r="GO65" s="21">
        <f t="shared" si="27"/>
        <v>8.2678145176599518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378.17323480030268</v>
      </c>
      <c r="T66" s="59">
        <f t="shared" si="34"/>
        <v>471.89239871617241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2.2913863819055886</v>
      </c>
      <c r="AA66" s="21">
        <f>EXP(-LN(2)/25)*AA65+(1-EXP(-LN(2)/25))/(LN(2)/25)*Calculateur!V66*Calculateur!X66*VLOOKUP('Données projet'!$B$9,Paramètres!$A$1:$I$89,3,0)*0.475*44/12</f>
        <v>8.3316856464526818</v>
      </c>
      <c r="AB66" s="21">
        <f>EXP(-LN(2)/2)*AB65+(1-EXP(-LN(2)/2))/(LN(2)/2)*V66*Y66*VLOOKUP('Données projet'!$B$9,Paramètres!$A$1:$I$89,3,0)*0.475*44/12</f>
        <v>1.1286552097443339E-4</v>
      </c>
      <c r="AC66" s="22">
        <f t="shared" si="3"/>
        <v>10.623184893879245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141.22849894256314</v>
      </c>
      <c r="AO66" s="59">
        <f t="shared" si="36"/>
        <v>156.12101479343704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3.8262554828451369</v>
      </c>
      <c r="AV66" s="21">
        <f>EXP(-LN(2)/25)*AV65+(1-EXP(-LN(2)/25))/(LN(2)/25)*Calculateur!AQ66*Calculateur!AS66*VLOOKUP('Données projet'!$B$10,Paramètres!$A$1:$I$89,3,0)*0.475*44/12</f>
        <v>2.4122367814916554</v>
      </c>
      <c r="AW66" s="21">
        <f>EXP(-LN(2)/2)*AW65+(1-EXP(-LN(2)/2))/(LN(2)/2)*AQ66*AT66*VLOOKUP('Données projet'!$B$10,Paramètres!$A$1:$I$89,3,0)*0.475*44/12</f>
        <v>3.191530416872937E-5</v>
      </c>
      <c r="AX66" s="21">
        <f t="shared" si="6"/>
        <v>6.2385241796409607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114.25511901730295</v>
      </c>
      <c r="BJ66" s="59">
        <f t="shared" si="38"/>
        <v>180.96261947642182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1.7782421447863361</v>
      </c>
      <c r="BQ66" s="21">
        <f>EXP(-LN(2)/25)*BQ65+(1-EXP(-LN(2)/25))/(LN(2)/25)*Calculateur!BL66*Calculateur!BN66*VLOOKUP('Données projet'!$B$11,Paramètres!$A$1:$I$89,3,0)*0.475*44/12</f>
        <v>7.1356086071038849</v>
      </c>
      <c r="BR66" s="21">
        <f>EXP(-LN(2)/2)*BR65+(1-EXP(-LN(2)/2))/(LN(2)/2)*BL66*BO66*VLOOKUP('Données projet'!$B$11,Paramètres!$A$1:$I$89,3,0)*0.475*44/12</f>
        <v>7.3715175632307954E-5</v>
      </c>
      <c r="BS66" s="22">
        <f t="shared" si="9"/>
        <v>8.9139244670658542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8.6666666666666661</v>
      </c>
      <c r="BY66" s="12">
        <f>IF('Données projet'!$A$114&gt;35,BY65+BX66-CG65,IF(A66&lt;'Données projet'!$A$114,$BV$205^A66,IF(A66='Données projet'!$A$114,'Données projet'!$B$114,BY65+BX66-CG65)))</f>
        <v>275.99999999999994</v>
      </c>
      <c r="BZ66" s="13">
        <f>BY66*VLOOKUP('Données projet'!$B$12,Paramètres!$A$1:$I$89,3,0)*VLOOKUP('Données projet'!$B$12,Paramètres!$A$1:$I$89,5,0)</f>
        <v>215.27999999999997</v>
      </c>
      <c r="CA66" s="13">
        <f t="shared" si="39"/>
        <v>53.087725740853138</v>
      </c>
      <c r="CB66" s="20">
        <f t="shared" si="10"/>
        <v>467.40712233198587</v>
      </c>
      <c r="CC66" s="59">
        <f t="shared" si="11"/>
        <v>760.74045566531913</v>
      </c>
      <c r="CD66" s="59">
        <f ca="1">AVERAGE(OFFSET($CC$3,0,0,'Données projet'!$E$12+1,1))-AVERAGE(OFFSET($H$3,0,0,'Données projet'!$E$12+1,1))</f>
        <v>216.95993967070063</v>
      </c>
      <c r="CE66" s="59">
        <f t="shared" si="40"/>
        <v>208.79744153433245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2.6876872765968125</v>
      </c>
      <c r="CL66" s="21">
        <f>EXP(-LN(2)/25)*CL65+(1-EXP(-LN(2)/25))/(LN(2)/25)*Calculateur!CG66*Calculateur!CI66*VLOOKUP('Données projet'!$B$12,Paramètres!$A$1:$I$89,3,0)*0.475*44/12</f>
        <v>2.570375387290341</v>
      </c>
      <c r="CM66" s="21">
        <f>EXP(-LN(2)/2)*CM65+(1-EXP(-LN(2)/2))/(LN(2)/2)*CG66*CJ66*VLOOKUP('Données projet'!$B$12,Paramètres!$A$1:$I$89,3,0)*0.475*44/12</f>
        <v>1.331013235797174E-5</v>
      </c>
      <c r="CN66" s="22">
        <f t="shared" si="12"/>
        <v>5.258075974019512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8.6666666666666661</v>
      </c>
      <c r="CT66" s="12">
        <f>IF('Données projet'!$A$140&gt;35,CT65+CS66-DB65,IF(A66&lt;'Données projet'!$A$140,$CQ$205^A66,IF(A66='Données projet'!$A$140,'Données projet'!$B$140,CT65+CS66-DB65)))</f>
        <v>275.99999999999994</v>
      </c>
      <c r="CU66" s="17">
        <f>CT66*VLOOKUP('Données projet'!$B$13,Paramètres!$A$1:$I$89,3,0)*VLOOKUP('Données projet'!$B$13,Paramètres!$A$1:$I$89,5,0)</f>
        <v>185.14079999999998</v>
      </c>
      <c r="CV66" s="13">
        <f t="shared" si="41"/>
        <v>46.464038253813506</v>
      </c>
      <c r="CW66" s="20">
        <f t="shared" si="13"/>
        <v>403.3784266253918</v>
      </c>
      <c r="CX66" s="59">
        <f t="shared" si="14"/>
        <v>696.71175995872511</v>
      </c>
      <c r="CY66" s="59">
        <f ca="1">AVERAGE(OFFSET($CX$3,0,0,'Données projet'!$E$13+1,1))-AVERAGE(OFFSET($H$3,0,0,'Données projet'!$E$13+1,1))</f>
        <v>181.32837315090507</v>
      </c>
      <c r="CZ66" s="59">
        <f t="shared" si="42"/>
        <v>175.03267817980338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2.8489485131926191</v>
      </c>
      <c r="DG66" s="21">
        <f>EXP(-LN(2)/25)*DG65+(1-EXP(-LN(2)/25))/(LN(2)/25)*Calculateur!DB66*Calculateur!DD66*VLOOKUP('Données projet'!$B$13,Paramètres!$A$1:$I$89,3,0)*0.475*44/12</f>
        <v>2.7245979105277622</v>
      </c>
      <c r="DH66" s="21">
        <f>EXP(-LN(2)/2)*DH65+(1-EXP(-LN(2)/2))/(LN(2)/2)*DB66*DE66*VLOOKUP('Données projet'!$B$13,Paramètres!$A$1:$I$89,3,0)*0.475*44/12</f>
        <v>1.1446713827855692E-5</v>
      </c>
      <c r="DI66" s="22">
        <f t="shared" si="15"/>
        <v>5.5735578704342092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343.99999999999972</v>
      </c>
      <c r="DP66" s="17">
        <f>DO66*VLOOKUP('Données projet'!$B$14,Paramètres!$A$1:$I$89,3,0)*VLOOKUP('Données projet'!$B$14,Paramètres!$A$1:$I$89,5,0)</f>
        <v>273.68639999999976</v>
      </c>
      <c r="DQ66" s="13">
        <f t="shared" si="43"/>
        <v>65.630997870536959</v>
      </c>
      <c r="DR66" s="20">
        <f t="shared" si="16"/>
        <v>590.97780129118485</v>
      </c>
      <c r="DS66" s="59">
        <f t="shared" si="17"/>
        <v>884.31113462451822</v>
      </c>
      <c r="DT66" s="59">
        <f ca="1">AVERAGE(OFFSET($DS$3,0,0,'Données projet'!$E$14+1,1))-AVERAGE(OFFSET($H$3,0,0,'Données projet'!$E$14+1,1))</f>
        <v>325.72928944930294</v>
      </c>
      <c r="DU66" s="59">
        <f t="shared" si="44"/>
        <v>318.38876834819752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9.006985080169061</v>
      </c>
      <c r="EB66" s="21">
        <f>EXP(-LN(2)/25)*EB65+(1-EXP(-LN(2)/25))/(LN(2)/25)*Calculateur!DW66*Calculateur!DY66*VLOOKUP('Données projet'!$B$14,Paramètres!$A$1:$I$89,3,0)*0.475*44/12</f>
        <v>8.2830148170567259</v>
      </c>
      <c r="EC66" s="21">
        <f>EXP(-LN(2)/2)*EC65+(1-EXP(-LN(2)/2))/(LN(2)/2)*DW66*DZ66*VLOOKUP('Données projet'!$B$14,Paramètres!$A$1:$I$89,3,0)*0.475*44/12</f>
        <v>1.2763787784951752E-4</v>
      </c>
      <c r="ED66" s="22">
        <f t="shared" si="18"/>
        <v>17.290127535103636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8.8000000000000007</v>
      </c>
      <c r="EJ66" s="12">
        <f>IF('Données projet'!$A$192&gt;35,EJ65+EI66-ER65,IF(A66&lt;'Données projet'!$A$192,$EG$205^A66,IF(A66='Données projet'!$A$192,'Données projet'!$B$192,EJ65+EI66-ER65)))</f>
        <v>271.39999999999998</v>
      </c>
      <c r="EK66" s="17">
        <f>EJ66*VLOOKUP('Données projet'!$B$15,Paramètres!$A$1:$I$89,3,0)*VLOOKUP('Données projet'!$B$15,Paramètres!$A$1:$I$89,5,0)</f>
        <v>275.19960000000003</v>
      </c>
      <c r="EL66" s="13">
        <f t="shared" si="45"/>
        <v>65.951527620662617</v>
      </c>
      <c r="EM66" s="20">
        <f t="shared" si="19"/>
        <v>594.17154727265404</v>
      </c>
      <c r="EN66" s="59">
        <f t="shared" si="20"/>
        <v>887.50488060598741</v>
      </c>
      <c r="EO66" s="59">
        <f ca="1">AVERAGE(OFFSET($EN$3,0,0,'Données projet'!$E$15+1,1))-AVERAGE(OFFSET($H$3,0,0,'Données projet'!$E$15+1,1))</f>
        <v>384.50065773787549</v>
      </c>
      <c r="EP66" s="59">
        <f t="shared" si="46"/>
        <v>231.92898690465887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4.2607106096242253</v>
      </c>
      <c r="EW66" s="21">
        <f>EXP(-LN(2)/25)*EW65+(1-EXP(-LN(2)/25))/(LN(2)/25)*Calculateur!ER66*Calculateur!ET66*VLOOKUP('Données projet'!$B$15,Paramètres!$A$1:$I$89,3,0)*0.475*44/12</f>
        <v>4.2036127896742226</v>
      </c>
      <c r="EX66" s="21">
        <f>EXP(-LN(2)/2)*EX65+(1-EXP(-LN(2)/2))/(LN(2)/2)*ER66*EU66*VLOOKUP('Données projet'!$B$15,Paramètres!$A$1:$I$89,3,0)*0.475*44/12</f>
        <v>1.032013649812425E-4</v>
      </c>
      <c r="EY66" s="22">
        <f t="shared" si="21"/>
        <v>8.4644266006634279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8.8000000000000007</v>
      </c>
      <c r="FE66" s="12">
        <f>IF('Données projet'!$A$218&gt;35,FE65+FD66-FM65,IF(A66&lt;'Données projet'!$A$218,$FB$205^A66,IF(A66='Données projet'!$A$218,'Données projet'!$B$218,FE65+FD66-FM65)))</f>
        <v>271.39999999999998</v>
      </c>
      <c r="FF66" s="17">
        <f>FE66*VLOOKUP('Données projet'!$B$16,Paramètres!$A$1:$I$89,3,0)*VLOOKUP('Données projet'!$B$16,Paramètres!$A$1:$I$89,5,0)</f>
        <v>245.56271999999998</v>
      </c>
      <c r="FG66" s="13">
        <f t="shared" si="47"/>
        <v>59.634776048276898</v>
      </c>
      <c r="FH66" s="20">
        <f t="shared" si="22"/>
        <v>531.55230561741564</v>
      </c>
      <c r="FI66" s="59">
        <f t="shared" si="23"/>
        <v>824.8856389507489</v>
      </c>
      <c r="FJ66" s="59">
        <f ca="1">AVERAGE(OFFSET($FI$3,0,0,'Données projet'!$E$16+1,1))-AVERAGE(OFFSET($H$3,0,0,'Données projet'!$E$16+1,1))</f>
        <v>326.46362829268969</v>
      </c>
      <c r="FK66" s="59">
        <f t="shared" si="48"/>
        <v>203.5274665601915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3.8018648516646905</v>
      </c>
      <c r="FR66" s="21">
        <f>EXP(-LN(2)/25)*FR65+(1-EXP(-LN(2)/25))/(LN(2)/25)*Calculateur!FM66*Calculateur!FO66*VLOOKUP('Données projet'!$B$16,Paramètres!$A$1:$I$89,3,0)*0.475*44/12</f>
        <v>3.7509160277093043</v>
      </c>
      <c r="FS66" s="21">
        <f>EXP(-LN(2)/2)*FS65+(1-EXP(-LN(2)/2))/(LN(2)/2)*FM66*FP66*VLOOKUP('Données projet'!$B$16,Paramètres!$A$1:$I$89,3,0)*0.475*44/12</f>
        <v>9.2087371829416379E-5</v>
      </c>
      <c r="FT66" s="22">
        <f t="shared" si="24"/>
        <v>7.5528729667458236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8.8000000000000007</v>
      </c>
      <c r="FZ66" s="12">
        <f>IF('Données projet'!$A$244&gt;35,FZ65+FY66-GH65,IF(A66&lt;'Données projet'!$A$244,$FW$205^A66,IF(A66='Données projet'!$A$244,'Données projet'!$B$244,FZ65+FY66-GH65)))</f>
        <v>271.39999999999998</v>
      </c>
      <c r="GA66" s="17">
        <f>FZ66*VLOOKUP('Données projet'!$B$17,Paramètres!$A$1:$I$89,3,0)*VLOOKUP('Données projet'!$B$17,Paramètres!$A$1:$I$89,5,0)</f>
        <v>262.49807999999996</v>
      </c>
      <c r="GB66" s="13">
        <f t="shared" si="49"/>
        <v>63.254570961138086</v>
      </c>
      <c r="GC66" s="20">
        <f t="shared" si="25"/>
        <v>567.35253375731543</v>
      </c>
      <c r="GD66" s="59">
        <f t="shared" si="26"/>
        <v>860.6858670906488</v>
      </c>
      <c r="GE66" s="59">
        <f ca="1">AVERAGE(OFFSET($GD$3,0,0,'Données projet'!$E$17+1,1))-AVERAGE(OFFSET($H$3,0,0,'Données projet'!$E$17+1,1))</f>
        <v>353.24082990916918</v>
      </c>
      <c r="GF66" s="59">
        <f t="shared" si="50"/>
        <v>219.76562717496353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4.0640624276415673</v>
      </c>
      <c r="GM66" s="21">
        <f>EXP(-LN(2)/25)*GM65+(1-EXP(-LN(2)/25))/(LN(2)/25)*Calculateur!GH66*Calculateur!GJ66*VLOOKUP('Données projet'!$B$17,Paramètres!$A$1:$I$89,3,0)*0.475*44/12</f>
        <v>4.0095998916892581</v>
      </c>
      <c r="GN66" s="21">
        <f>EXP(-LN(2)/2)*GN65+(1-EXP(-LN(2)/2))/(LN(2)/2)*GH66*GK66*VLOOKUP('Données projet'!$B$17,Paramètres!$A$1:$I$89,3,0)*0.475*44/12</f>
        <v>9.8438225059031329E-5</v>
      </c>
      <c r="GO66" s="21">
        <f t="shared" si="27"/>
        <v>8.0737607575558847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378.17323480030268</v>
      </c>
      <c r="T67" s="59">
        <f t="shared" si="34"/>
        <v>471.89239871617241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2.2464536925641108</v>
      </c>
      <c r="AA67" s="21">
        <f>EXP(-LN(2)/25)*AA66+(1-EXP(-LN(2)/25))/(LN(2)/25)*Calculateur!V67*Calculateur!X67*VLOOKUP('Données projet'!$B$9,Paramètres!$A$1:$I$89,3,0)*0.475*44/12</f>
        <v>8.1038552643061266</v>
      </c>
      <c r="AB67" s="21">
        <f>EXP(-LN(2)/2)*AB66+(1-EXP(-LN(2)/2))/(LN(2)/2)*V67*Y67*VLOOKUP('Données projet'!$B$9,Paramètres!$A$1:$I$89,3,0)*0.475*44/12</f>
        <v>7.9807975243174361E-5</v>
      </c>
      <c r="AC67" s="22">
        <f t="shared" si="3"/>
        <v>10.35038876484548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141.22849894256314</v>
      </c>
      <c r="AO67" s="59">
        <f t="shared" si="36"/>
        <v>156.12101479343704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3.7512249466119463</v>
      </c>
      <c r="AV67" s="21">
        <f>EXP(-LN(2)/25)*AV66+(1-EXP(-LN(2)/25))/(LN(2)/25)*Calculateur!AQ67*Calculateur!AS67*VLOOKUP('Données projet'!$B$10,Paramètres!$A$1:$I$89,3,0)*0.475*44/12</f>
        <v>2.3462740398477471</v>
      </c>
      <c r="AW67" s="21">
        <f>EXP(-LN(2)/2)*AW66+(1-EXP(-LN(2)/2))/(LN(2)/2)*AQ67*AT67*VLOOKUP('Données projet'!$B$10,Paramètres!$A$1:$I$89,3,0)*0.475*44/12</f>
        <v>2.2567528001339827E-5</v>
      </c>
      <c r="AX67" s="21">
        <f t="shared" si="6"/>
        <v>6.0975215539876944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114.25511901730295</v>
      </c>
      <c r="BJ67" s="59">
        <f t="shared" si="38"/>
        <v>180.96261947642182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1.7433719009476869</v>
      </c>
      <c r="BQ67" s="21">
        <f>EXP(-LN(2)/25)*BQ66+(1-EXP(-LN(2)/25))/(LN(2)/25)*Calculateur!BL67*Calculateur!BN67*VLOOKUP('Données projet'!$B$11,Paramètres!$A$1:$I$89,3,0)*0.475*44/12</f>
        <v>6.9404850144972814</v>
      </c>
      <c r="BR67" s="21">
        <f>EXP(-LN(2)/2)*BR66+(1-EXP(-LN(2)/2))/(LN(2)/2)*BL67*BO67*VLOOKUP('Données projet'!$B$11,Paramètres!$A$1:$I$89,3,0)*0.475*44/12</f>
        <v>5.2124500565962301E-5</v>
      </c>
      <c r="BS67" s="22">
        <f t="shared" si="9"/>
        <v>8.6839090399455348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8.6666666666666661</v>
      </c>
      <c r="BY67" s="12">
        <f>IF('Données projet'!$A$114&gt;35,BY66+BX67-CG66,IF(A67&lt;'Données projet'!$A$114,$BV$205^A67,IF(A67='Données projet'!$A$114,'Données projet'!$B$114,BY66+BX67-CG66)))</f>
        <v>284.66666666666663</v>
      </c>
      <c r="BZ67" s="13">
        <f>BY67*VLOOKUP('Données projet'!$B$12,Paramètres!$A$1:$I$89,3,0)*VLOOKUP('Données projet'!$B$12,Paramètres!$A$1:$I$89,5,0)</f>
        <v>222.04</v>
      </c>
      <c r="CA67" s="13">
        <f t="shared" si="39"/>
        <v>54.558031180803546</v>
      </c>
      <c r="CB67" s="20">
        <f t="shared" si="10"/>
        <v>481.74157097323285</v>
      </c>
      <c r="CC67" s="59">
        <f t="shared" si="11"/>
        <v>775.07490430656617</v>
      </c>
      <c r="CD67" s="59">
        <f ca="1">AVERAGE(OFFSET($CC$3,0,0,'Données projet'!$E$12+1,1))-AVERAGE(OFFSET($H$3,0,0,'Données projet'!$E$12+1,1))</f>
        <v>216.95993967070063</v>
      </c>
      <c r="CE67" s="59">
        <f t="shared" si="40"/>
        <v>208.79744153433245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2.6349833684301176</v>
      </c>
      <c r="CL67" s="21">
        <f>EXP(-LN(2)/25)*CL66+(1-EXP(-LN(2)/25))/(LN(2)/25)*Calculateur!CG67*Calculateur!CI67*VLOOKUP('Données projet'!$B$12,Paramètres!$A$1:$I$89,3,0)*0.475*44/12</f>
        <v>2.5000883371547196</v>
      </c>
      <c r="CM67" s="21">
        <f>EXP(-LN(2)/2)*CM66+(1-EXP(-LN(2)/2))/(LN(2)/2)*CG67*CJ67*VLOOKUP('Données projet'!$B$12,Paramètres!$A$1:$I$89,3,0)*0.475*44/12</f>
        <v>9.411684848812309E-6</v>
      </c>
      <c r="CN67" s="22">
        <f t="shared" si="12"/>
        <v>5.135081117269686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8.6666666666666661</v>
      </c>
      <c r="CT67" s="12">
        <f>IF('Données projet'!$A$140&gt;35,CT66+CS67-DB66,IF(A67&lt;'Données projet'!$A$140,$CQ$205^A67,IF(A67='Données projet'!$A$140,'Données projet'!$B$140,CT66+CS67-DB66)))</f>
        <v>284.66666666666663</v>
      </c>
      <c r="CU67" s="17">
        <f>CT67*VLOOKUP('Données projet'!$B$13,Paramètres!$A$1:$I$89,3,0)*VLOOKUP('Données projet'!$B$13,Paramètres!$A$1:$I$89,5,0)</f>
        <v>190.95439999999999</v>
      </c>
      <c r="CV67" s="13">
        <f t="shared" si="41"/>
        <v>47.750895568819445</v>
      </c>
      <c r="CW67" s="20">
        <f t="shared" si="13"/>
        <v>415.74505644902712</v>
      </c>
      <c r="CX67" s="59">
        <f t="shared" si="14"/>
        <v>709.07838978236043</v>
      </c>
      <c r="CY67" s="59">
        <f ca="1">AVERAGE(OFFSET($CX$3,0,0,'Données projet'!$E$13+1,1))-AVERAGE(OFFSET($H$3,0,0,'Données projet'!$E$13+1,1))</f>
        <v>181.32837315090507</v>
      </c>
      <c r="CZ67" s="59">
        <f t="shared" si="42"/>
        <v>175.03267817980338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2.7930823705359225</v>
      </c>
      <c r="DG67" s="21">
        <f>EXP(-LN(2)/25)*DG66+(1-EXP(-LN(2)/25))/(LN(2)/25)*Calculateur!DB67*Calculateur!DD67*VLOOKUP('Données projet'!$B$13,Paramètres!$A$1:$I$89,3,0)*0.475*44/12</f>
        <v>2.6500936373840038</v>
      </c>
      <c r="DH67" s="21">
        <f>EXP(-LN(2)/2)*DH66+(1-EXP(-LN(2)/2))/(LN(2)/2)*DB67*DE67*VLOOKUP('Données projet'!$B$13,Paramètres!$A$1:$I$89,3,0)*0.475*44/12</f>
        <v>8.0940489699785822E-6</v>
      </c>
      <c r="DI67" s="22">
        <f t="shared" si="15"/>
        <v>5.443184101968896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349.99999999999972</v>
      </c>
      <c r="DP67" s="17">
        <f>DO67*VLOOKUP('Données projet'!$B$14,Paramètres!$A$1:$I$89,3,0)*VLOOKUP('Données projet'!$B$14,Paramètres!$A$1:$I$89,5,0)</f>
        <v>278.45999999999981</v>
      </c>
      <c r="DQ67" s="13">
        <f t="shared" si="43"/>
        <v>66.641458222154824</v>
      </c>
      <c r="DR67" s="20">
        <f t="shared" si="16"/>
        <v>601.05170640358597</v>
      </c>
      <c r="DS67" s="59">
        <f t="shared" si="17"/>
        <v>894.38503973691923</v>
      </c>
      <c r="DT67" s="59">
        <f ca="1">AVERAGE(OFFSET($DS$3,0,0,'Données projet'!$E$14+1,1))-AVERAGE(OFFSET($H$3,0,0,'Données projet'!$E$14+1,1))</f>
        <v>325.72928944930294</v>
      </c>
      <c r="DU67" s="59">
        <f t="shared" si="44"/>
        <v>318.38876834819752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8.8303635964653857</v>
      </c>
      <c r="EB67" s="21">
        <f>EXP(-LN(2)/25)*EB66+(1-EXP(-LN(2)/25))/(LN(2)/25)*Calculateur!DW67*Calculateur!DY67*VLOOKUP('Données projet'!$B$14,Paramètres!$A$1:$I$89,3,0)*0.475*44/12</f>
        <v>8.056515341299491</v>
      </c>
      <c r="EC67" s="21">
        <f>EXP(-LN(2)/2)*EC66+(1-EXP(-LN(2)/2))/(LN(2)/2)*DW67*DZ67*VLOOKUP('Données projet'!$B$14,Paramètres!$A$1:$I$89,3,0)*0.475*44/12</f>
        <v>9.0253608963654071E-5</v>
      </c>
      <c r="ED67" s="22">
        <f t="shared" si="18"/>
        <v>16.88696919137384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8.8000000000000007</v>
      </c>
      <c r="EJ67" s="12">
        <f>IF('Données projet'!$A$192&gt;35,EJ66+EI67-ER66,IF(A67&lt;'Données projet'!$A$192,$EG$205^A67,IF(A67='Données projet'!$A$192,'Données projet'!$B$192,EJ66+EI67-ER66)))</f>
        <v>280.2</v>
      </c>
      <c r="EK67" s="17">
        <f>EJ67*VLOOKUP('Données projet'!$B$15,Paramètres!$A$1:$I$89,3,0)*VLOOKUP('Données projet'!$B$15,Paramètres!$A$1:$I$89,5,0)</f>
        <v>284.12279999999998</v>
      </c>
      <c r="EL67" s="13">
        <f t="shared" si="45"/>
        <v>67.837532462585557</v>
      </c>
      <c r="EM67" s="20">
        <f t="shared" si="19"/>
        <v>612.99757903900309</v>
      </c>
      <c r="EN67" s="59">
        <f t="shared" si="20"/>
        <v>906.33091237233634</v>
      </c>
      <c r="EO67" s="59">
        <f ca="1">AVERAGE(OFFSET($EN$3,0,0,'Données projet'!$E$15+1,1))-AVERAGE(OFFSET($H$3,0,0,'Données projet'!$E$15+1,1))</f>
        <v>384.50065773787549</v>
      </c>
      <c r="EP67" s="59">
        <f t="shared" si="46"/>
        <v>231.92898690465887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4.177160673346358</v>
      </c>
      <c r="EW67" s="21">
        <f>EXP(-LN(2)/25)*EW66+(1-EXP(-LN(2)/25))/(LN(2)/25)*Calculateur!ER67*Calculateur!ET67*VLOOKUP('Données projet'!$B$15,Paramètres!$A$1:$I$89,3,0)*0.475*44/12</f>
        <v>4.088664776882192</v>
      </c>
      <c r="EX67" s="21">
        <f>EXP(-LN(2)/2)*EX66+(1-EXP(-LN(2)/2))/(LN(2)/2)*ER67*EU67*VLOOKUP('Données projet'!$B$15,Paramètres!$A$1:$I$89,3,0)*0.475*44/12</f>
        <v>7.2974385005944467E-5</v>
      </c>
      <c r="EY67" s="22">
        <f t="shared" si="21"/>
        <v>8.2658984246135567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8.8000000000000007</v>
      </c>
      <c r="FE67" s="12">
        <f>IF('Données projet'!$A$218&gt;35,FE66+FD67-FM66,IF(A67&lt;'Données projet'!$A$218,$FB$205^A67,IF(A67='Données projet'!$A$218,'Données projet'!$B$218,FE66+FD67-FM66)))</f>
        <v>280.2</v>
      </c>
      <c r="FF67" s="17">
        <f>FE67*VLOOKUP('Données projet'!$B$16,Paramètres!$A$1:$I$89,3,0)*VLOOKUP('Données projet'!$B$16,Paramètres!$A$1:$I$89,5,0)</f>
        <v>253.52495999999999</v>
      </c>
      <c r="FG67" s="13">
        <f t="shared" si="47"/>
        <v>61.340141798422209</v>
      </c>
      <c r="FH67" s="20">
        <f t="shared" si="22"/>
        <v>548.39005229891859</v>
      </c>
      <c r="FI67" s="59">
        <f t="shared" si="23"/>
        <v>841.72338563225185</v>
      </c>
      <c r="FJ67" s="59">
        <f ca="1">AVERAGE(OFFSET($FI$3,0,0,'Données projet'!$E$16+1,1))-AVERAGE(OFFSET($H$3,0,0,'Données projet'!$E$16+1,1))</f>
        <v>326.46362829268969</v>
      </c>
      <c r="FK67" s="59">
        <f t="shared" si="48"/>
        <v>203.5274665601915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3.727312600832132</v>
      </c>
      <c r="FR67" s="21">
        <f>EXP(-LN(2)/25)*FR66+(1-EXP(-LN(2)/25))/(LN(2)/25)*Calculateur!FM67*Calculateur!FO67*VLOOKUP('Données projet'!$B$16,Paramètres!$A$1:$I$89,3,0)*0.475*44/12</f>
        <v>3.6483470316794921</v>
      </c>
      <c r="FS67" s="21">
        <f>EXP(-LN(2)/2)*FS66+(1-EXP(-LN(2)/2))/(LN(2)/2)*FM67*FP67*VLOOKUP('Données projet'!$B$16,Paramètres!$A$1:$I$89,3,0)*0.475*44/12</f>
        <v>6.5115605082227367E-5</v>
      </c>
      <c r="FT67" s="22">
        <f t="shared" si="24"/>
        <v>7.3757247481167063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8.8000000000000007</v>
      </c>
      <c r="FZ67" s="12">
        <f>IF('Données projet'!$A$244&gt;35,FZ66+FY67-GH66,IF(A67&lt;'Données projet'!$A$244,$FW$205^A67,IF(A67='Données projet'!$A$244,'Données projet'!$B$244,FZ66+FY67-GH66)))</f>
        <v>280.2</v>
      </c>
      <c r="GA67" s="17">
        <f>FZ67*VLOOKUP('Données projet'!$B$17,Paramètres!$A$1:$I$89,3,0)*VLOOKUP('Données projet'!$B$17,Paramètres!$A$1:$I$89,5,0)</f>
        <v>271.00943999999998</v>
      </c>
      <c r="GB67" s="13">
        <f t="shared" si="49"/>
        <v>65.063451383023647</v>
      </c>
      <c r="GC67" s="20">
        <f t="shared" si="25"/>
        <v>585.32695249209939</v>
      </c>
      <c r="GD67" s="59">
        <f t="shared" si="26"/>
        <v>878.66028582543277</v>
      </c>
      <c r="GE67" s="59">
        <f ca="1">AVERAGE(OFFSET($GD$3,0,0,'Données projet'!$E$17+1,1))-AVERAGE(OFFSET($H$3,0,0,'Données projet'!$E$17+1,1))</f>
        <v>353.24082990916918</v>
      </c>
      <c r="GF67" s="59">
        <f t="shared" si="50"/>
        <v>219.76562717496353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3.9843686422688327</v>
      </c>
      <c r="GM67" s="21">
        <f>EXP(-LN(2)/25)*GM66+(1-EXP(-LN(2)/25))/(LN(2)/25)*Calculateur!GH67*Calculateur!GJ67*VLOOKUP('Données projet'!$B$17,Paramètres!$A$1:$I$89,3,0)*0.475*44/12</f>
        <v>3.8999571717953212</v>
      </c>
      <c r="GN67" s="21">
        <f>EXP(-LN(2)/2)*GN66+(1-EXP(-LN(2)/2))/(LN(2)/2)*GH67*GK67*VLOOKUP('Données projet'!$B$17,Paramètres!$A$1:$I$89,3,0)*0.475*44/12</f>
        <v>6.9606336467208584E-5</v>
      </c>
      <c r="GO67" s="21">
        <f t="shared" si="27"/>
        <v>7.8843954204006206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378.17323480030268</v>
      </c>
      <c r="T68" s="59">
        <f t="shared" si="34"/>
        <v>471.89239871617241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2.202402105854385</v>
      </c>
      <c r="AA68" s="21">
        <f>EXP(-LN(2)/25)*AA67+(1-EXP(-LN(2)/25))/(LN(2)/25)*Calculateur!V68*Calculateur!X68*VLOOKUP('Données projet'!$B$9,Paramètres!$A$1:$I$89,3,0)*0.475*44/12</f>
        <v>7.8822549159404485</v>
      </c>
      <c r="AB68" s="21">
        <f>EXP(-LN(2)/2)*AB67+(1-EXP(-LN(2)/2))/(LN(2)/2)*V68*Y68*VLOOKUP('Données projet'!$B$9,Paramètres!$A$1:$I$89,3,0)*0.475*44/12</f>
        <v>5.6432760487216695E-5</v>
      </c>
      <c r="AC68" s="22">
        <f t="shared" ref="AC68:AC131" si="57">SUM(Z68:AB68)</f>
        <v>10.08471345455532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141.22849894256314</v>
      </c>
      <c r="AO68" s="59">
        <f t="shared" si="36"/>
        <v>156.12101479343704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3.67766571343018</v>
      </c>
      <c r="AV68" s="21">
        <f>EXP(-LN(2)/25)*AV67+(1-EXP(-LN(2)/25))/(LN(2)/25)*Calculateur!AQ68*Calculateur!AS68*VLOOKUP('Données projet'!$B$10,Paramètres!$A$1:$I$89,3,0)*0.475*44/12</f>
        <v>2.2821150528429213</v>
      </c>
      <c r="AW68" s="21">
        <f>EXP(-LN(2)/2)*AW67+(1-EXP(-LN(2)/2))/(LN(2)/2)*AQ68*AT68*VLOOKUP('Données projet'!$B$10,Paramètres!$A$1:$I$89,3,0)*0.475*44/12</f>
        <v>1.5957652084364685E-5</v>
      </c>
      <c r="AX68" s="21">
        <f t="shared" ref="AX68:AX131" si="60">SUM(AU68:AW68)</f>
        <v>5.9597967239251854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114.25511901730295</v>
      </c>
      <c r="BJ68" s="59">
        <f t="shared" si="38"/>
        <v>180.96261947642182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1.7091854413219651</v>
      </c>
      <c r="BQ68" s="21">
        <f>EXP(-LN(2)/25)*BQ67+(1-EXP(-LN(2)/25))/(LN(2)/25)*Calculateur!BL68*Calculateur!BN68*VLOOKUP('Données projet'!$B$11,Paramètres!$A$1:$I$89,3,0)*0.475*44/12</f>
        <v>6.7506970867916092</v>
      </c>
      <c r="BR68" s="21">
        <f>EXP(-LN(2)/2)*BR67+(1-EXP(-LN(2)/2))/(LN(2)/2)*BL68*BO68*VLOOKUP('Données projet'!$B$11,Paramètres!$A$1:$I$89,3,0)*0.475*44/12</f>
        <v>3.6857587816153977E-5</v>
      </c>
      <c r="BS68" s="22">
        <f t="shared" ref="BS68:BS131" si="63">SUM(BP68:BR68)</f>
        <v>8.4599193857013901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8.6666666666666661</v>
      </c>
      <c r="BY68" s="12">
        <f>IF('Données projet'!$A$114&gt;35,BY67+BX68-CG67,IF(A68&lt;'Données projet'!$A$114,$BV$205^A68,IF(A68='Données projet'!$A$114,'Données projet'!$B$114,BY67+BX68-CG67)))</f>
        <v>293.33333333333331</v>
      </c>
      <c r="BZ68" s="13">
        <f>BY68*VLOOKUP('Données projet'!$B$12,Paramètres!$A$1:$I$89,3,0)*VLOOKUP('Données projet'!$B$12,Paramètres!$A$1:$I$89,5,0)</f>
        <v>228.79999999999998</v>
      </c>
      <c r="CA68" s="13">
        <f t="shared" si="39"/>
        <v>56.023134533701196</v>
      </c>
      <c r="CB68" s="20">
        <f t="shared" ref="CB68:CB131" si="64">(BZ68+CA68)*0.475*44/12</f>
        <v>496.06695931286293</v>
      </c>
      <c r="CC68" s="59">
        <f t="shared" ref="CC68:CC131" si="65">CB68+(BT68+BU68)*44/12</f>
        <v>789.40029264619625</v>
      </c>
      <c r="CD68" s="59">
        <f ca="1">AVERAGE(OFFSET($CC$3,0,0,'Données projet'!$E$12+1,1))-AVERAGE(OFFSET($H$3,0,0,'Données projet'!$E$12+1,1))</f>
        <v>216.95993967070063</v>
      </c>
      <c r="CE68" s="59">
        <f t="shared" si="40"/>
        <v>208.79744153433245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2.583312951756362</v>
      </c>
      <c r="CL68" s="21">
        <f>EXP(-LN(2)/25)*CL67+(1-EXP(-LN(2)/25))/(LN(2)/25)*Calculateur!CG68*Calculateur!CI68*VLOOKUP('Données projet'!$B$12,Paramètres!$A$1:$I$89,3,0)*0.475*44/12</f>
        <v>2.4317232901012922</v>
      </c>
      <c r="CM68" s="21">
        <f>EXP(-LN(2)/2)*CM67+(1-EXP(-LN(2)/2))/(LN(2)/2)*CG68*CJ68*VLOOKUP('Données projet'!$B$12,Paramètres!$A$1:$I$89,3,0)*0.475*44/12</f>
        <v>6.6550661789858701E-6</v>
      </c>
      <c r="CN68" s="22">
        <f t="shared" ref="CN68:CN131" si="66">SUM(CK68:CM68)</f>
        <v>5.0150428969238332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8.6666666666666661</v>
      </c>
      <c r="CT68" s="12">
        <f>IF('Données projet'!$A$140&gt;35,CT67+CS68-DB67,IF(A68&lt;'Données projet'!$A$140,$CQ$205^A68,IF(A68='Données projet'!$A$140,'Données projet'!$B$140,CT67+CS68-DB67)))</f>
        <v>293.33333333333331</v>
      </c>
      <c r="CU68" s="17">
        <f>CT68*VLOOKUP('Données projet'!$B$13,Paramètres!$A$1:$I$89,3,0)*VLOOKUP('Données projet'!$B$13,Paramètres!$A$1:$I$89,5,0)</f>
        <v>196.768</v>
      </c>
      <c r="CV68" s="13">
        <f t="shared" si="41"/>
        <v>49.033199854505554</v>
      </c>
      <c r="CW68" s="20">
        <f t="shared" ref="CW68:CW131" si="67">(CU68+CV68)*0.475*44/12</f>
        <v>428.10375641326391</v>
      </c>
      <c r="CX68" s="59">
        <f t="shared" ref="CX68:CX131" si="68">CW68+(CO68+CP68)*44/12</f>
        <v>721.43708974659717</v>
      </c>
      <c r="CY68" s="59">
        <f ca="1">AVERAGE(OFFSET($CX$3,0,0,'Données projet'!$E$13+1,1))-AVERAGE(OFFSET($H$3,0,0,'Données projet'!$E$13+1,1))</f>
        <v>181.32837315090507</v>
      </c>
      <c r="CZ68" s="59">
        <f t="shared" si="42"/>
        <v>175.03267817980338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2.7383117288617411</v>
      </c>
      <c r="DG68" s="21">
        <f>EXP(-LN(2)/25)*DG67+(1-EXP(-LN(2)/25))/(LN(2)/25)*Calculateur!DB68*Calculateur!DD68*VLOOKUP('Données projet'!$B$13,Paramètres!$A$1:$I$89,3,0)*0.475*44/12</f>
        <v>2.5776266875073706</v>
      </c>
      <c r="DH68" s="21">
        <f>EXP(-LN(2)/2)*DH67+(1-EXP(-LN(2)/2))/(LN(2)/2)*DB68*DE68*VLOOKUP('Données projet'!$B$13,Paramètres!$A$1:$I$89,3,0)*0.475*44/12</f>
        <v>5.7233569139278458E-6</v>
      </c>
      <c r="DI68" s="22">
        <f t="shared" ref="DI68:DI131" si="69">SUM(DF68:DH68)</f>
        <v>5.3159441397260254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356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355.99999999999972</v>
      </c>
      <c r="DP68" s="17">
        <f>DO68*VLOOKUP('Données projet'!$B$14,Paramètres!$A$1:$I$89,3,0)*VLOOKUP('Données projet'!$B$14,Paramètres!$A$1:$I$89,5,0)</f>
        <v>283.2335999999998</v>
      </c>
      <c r="DQ68" s="13">
        <f t="shared" si="43"/>
        <v>67.649904178362377</v>
      </c>
      <c r="DR68" s="20">
        <f t="shared" ref="DR68:DR131" si="70">(DP68+DQ68)*0.475*44/12</f>
        <v>611.12210311064734</v>
      </c>
      <c r="DS68" s="59">
        <f t="shared" ref="DS68:DS131" si="71">DR68+(DJ68+DK68)*44/12</f>
        <v>904.45543644398072</v>
      </c>
      <c r="DT68" s="59">
        <f ca="1">AVERAGE(OFFSET($DS$3,0,0,'Données projet'!$E$14+1,1))-AVERAGE(OFFSET($H$3,0,0,'Données projet'!$E$14+1,1))</f>
        <v>325.72928944930294</v>
      </c>
      <c r="DU68" s="59">
        <f t="shared" si="44"/>
        <v>318.38876834819752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16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8.6572055523286711</v>
      </c>
      <c r="EB68" s="21">
        <f>EXP(-LN(2)/25)*EB67+(1-EXP(-LN(2)/25))/(LN(2)/25)*Calculateur!DW68*Calculateur!DY68*VLOOKUP('Données projet'!$B$14,Paramètres!$A$1:$I$89,3,0)*0.475*44/12</f>
        <v>7.8362095056179282</v>
      </c>
      <c r="EC68" s="21">
        <f>EXP(-LN(2)/2)*EC67+(1-EXP(-LN(2)/2))/(LN(2)/2)*DW68*DZ68*VLOOKUP('Données projet'!$B$14,Paramètres!$A$1:$I$89,3,0)*0.475*44/12</f>
        <v>6.3818938924758761E-5</v>
      </c>
      <c r="ED68" s="22">
        <f t="shared" ref="ED68:ED131" si="72">SUM(EA68:EC68)</f>
        <v>16.493478876885526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289</v>
      </c>
      <c r="EH68" s="12">
        <f>VLOOKUP(A68,'Données projet'!$A$191:$I$211,9,0)</f>
        <v>8.8000000000000007</v>
      </c>
      <c r="EI68" s="12">
        <f t="array" ref="EI68">INDEX(EH:EH,MIN(IF(ISNUMBER(EH68:EH264),ROW(EH68:EH264),"")))</f>
        <v>8.8000000000000007</v>
      </c>
      <c r="EJ68" s="12">
        <f>IF('Données projet'!$A$192&gt;35,EJ67+EI68-ER67,IF(A68&lt;'Données projet'!$A$192,$EG$205^A68,IF(A68='Données projet'!$A$192,'Données projet'!$B$192,EJ67+EI68-ER67)))</f>
        <v>289</v>
      </c>
      <c r="EK68" s="17">
        <f>EJ68*VLOOKUP('Données projet'!$B$15,Paramètres!$A$1:$I$89,3,0)*VLOOKUP('Données projet'!$B$15,Paramètres!$A$1:$I$89,5,0)</f>
        <v>293.04599999999999</v>
      </c>
      <c r="EL68" s="13">
        <f t="shared" si="45"/>
        <v>69.716654076072615</v>
      </c>
      <c r="EM68" s="20">
        <f t="shared" ref="EM68:EM131" si="73">(EK68+EL68)*0.475*44/12</f>
        <v>631.81162251582646</v>
      </c>
      <c r="EN68" s="59">
        <f t="shared" ref="EN68:EN131" si="74">EM68+(EE68+EF68)*44/12</f>
        <v>925.14495584915971</v>
      </c>
      <c r="EO68" s="59">
        <f ca="1">AVERAGE(OFFSET($EN$3,0,0,'Données projet'!$E$15+1,1))-AVERAGE(OFFSET($H$3,0,0,'Données projet'!$E$15+1,1))</f>
        <v>384.50065773787549</v>
      </c>
      <c r="EP68" s="59">
        <f t="shared" si="46"/>
        <v>231.92898690465887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28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4.0952491003584708</v>
      </c>
      <c r="EW68" s="21">
        <f>EXP(-LN(2)/25)*EW67+(1-EXP(-LN(2)/25))/(LN(2)/25)*Calculateur!ER68*Calculateur!ET68*VLOOKUP('Données projet'!$B$15,Paramètres!$A$1:$I$89,3,0)*0.475*44/12</f>
        <v>3.9768600235448126</v>
      </c>
      <c r="EX68" s="21">
        <f>EXP(-LN(2)/2)*EX67+(1-EXP(-LN(2)/2))/(LN(2)/2)*ER68*EU68*VLOOKUP('Données projet'!$B$15,Paramètres!$A$1:$I$89,3,0)*0.475*44/12</f>
        <v>5.1600682490621249E-5</v>
      </c>
      <c r="EY68" s="22">
        <f t="shared" ref="EY68:EY131" si="75">SUM(EV68:EX68)</f>
        <v>8.0721607245857747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289</v>
      </c>
      <c r="FC68" s="12">
        <f>VLOOKUP(A68,'Données projet'!$A$217:$I$237,9,0)</f>
        <v>8.8000000000000007</v>
      </c>
      <c r="FD68" s="12">
        <f t="array" ref="FD68">INDEX(FC:FC,MIN(IF(ISNUMBER(FC68:FC264),ROW(FC68:FC264),"")))</f>
        <v>8.8000000000000007</v>
      </c>
      <c r="FE68" s="12">
        <f>IF('Données projet'!$A$218&gt;35,FE67+FD68-FM67,IF(A68&lt;'Données projet'!$A$218,$FB$205^A68,IF(A68='Données projet'!$A$218,'Données projet'!$B$218,FE67+FD68-FM67)))</f>
        <v>289</v>
      </c>
      <c r="FF68" s="17">
        <f>FE68*VLOOKUP('Données projet'!$B$16,Paramètres!$A$1:$I$89,3,0)*VLOOKUP('Données projet'!$B$16,Paramètres!$A$1:$I$89,5,0)</f>
        <v>261.48719999999997</v>
      </c>
      <c r="FG68" s="13">
        <f t="shared" si="47"/>
        <v>63.039283586802391</v>
      </c>
      <c r="FH68" s="20">
        <f t="shared" ref="FH68:FH131" si="76">(FF68+FG68)*0.475*44/12</f>
        <v>565.21695891368086</v>
      </c>
      <c r="FI68" s="59">
        <f t="shared" ref="FI68:FI131" si="77">FH68+(EZ68+FA68)*44/12</f>
        <v>858.55029224701411</v>
      </c>
      <c r="FJ68" s="59">
        <f ca="1">AVERAGE(OFFSET($FI$3,0,0,'Données projet'!$E$16+1,1))-AVERAGE(OFFSET($H$3,0,0,'Données projet'!$E$16+1,1))</f>
        <v>326.46362829268969</v>
      </c>
      <c r="FK68" s="59">
        <f t="shared" si="48"/>
        <v>203.5274665601915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28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3.6542222741660173</v>
      </c>
      <c r="FR68" s="21">
        <f>EXP(-LN(2)/25)*FR67+(1-EXP(-LN(2)/25))/(LN(2)/25)*Calculateur!FM68*Calculateur!FO68*VLOOKUP('Données projet'!$B$16,Paramètres!$A$1:$I$89,3,0)*0.475*44/12</f>
        <v>3.5485827902399842</v>
      </c>
      <c r="FS68" s="21">
        <f>EXP(-LN(2)/2)*FS67+(1-EXP(-LN(2)/2))/(LN(2)/2)*FM68*FP68*VLOOKUP('Données projet'!$B$16,Paramètres!$A$1:$I$89,3,0)*0.475*44/12</f>
        <v>4.604368591470819E-5</v>
      </c>
      <c r="FT68" s="22">
        <f t="shared" ref="FT68:FT131" si="78">SUM(FQ68:FS68)</f>
        <v>7.2028511080919166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289</v>
      </c>
      <c r="FX68" s="12">
        <f>VLOOKUP(A68,'Données projet'!$A$243:$I$263,9,0)</f>
        <v>8.8000000000000007</v>
      </c>
      <c r="FY68" s="12">
        <f t="array" ref="FY68">INDEX(FX:FX,MIN(IF(ISNUMBER(FX68:FX264),ROW(FX68:FX264),"")))</f>
        <v>8.8000000000000007</v>
      </c>
      <c r="FZ68" s="12">
        <f>IF('Données projet'!$A$244&gt;35,FZ67+FY68-GH67,IF(A68&lt;'Données projet'!$A$244,$FW$205^A68,IF(A68='Données projet'!$A$244,'Données projet'!$B$244,FZ67+FY68-GH67)))</f>
        <v>289</v>
      </c>
      <c r="GA68" s="17">
        <f>FZ68*VLOOKUP('Données projet'!$B$17,Paramètres!$A$1:$I$89,3,0)*VLOOKUP('Données projet'!$B$17,Paramètres!$A$1:$I$89,5,0)</f>
        <v>279.52080000000001</v>
      </c>
      <c r="GB68" s="13">
        <f t="shared" si="49"/>
        <v>66.865730052421583</v>
      </c>
      <c r="GC68" s="20">
        <f t="shared" ref="GC68:GC131" si="79">(GA68+GB68)*0.475*44/12</f>
        <v>603.28987317463418</v>
      </c>
      <c r="GD68" s="59">
        <f t="shared" ref="GD68:GD131" si="80">GC68+(FU68+FV68)*44/12</f>
        <v>896.62320650796755</v>
      </c>
      <c r="GE68" s="59">
        <f ca="1">AVERAGE(OFFSET($GD$3,0,0,'Données projet'!$E$17+1,1))-AVERAGE(OFFSET($H$3,0,0,'Données projet'!$E$17+1,1))</f>
        <v>353.24082990916918</v>
      </c>
      <c r="GF68" s="59">
        <f t="shared" si="50"/>
        <v>219.76562717496353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28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3.9062376034188477</v>
      </c>
      <c r="GM68" s="21">
        <f>EXP(-LN(2)/25)*GM67+(1-EXP(-LN(2)/25))/(LN(2)/25)*Calculateur!GH68*Calculateur!GJ68*VLOOKUP('Données projet'!$B$17,Paramètres!$A$1:$I$89,3,0)*0.475*44/12</f>
        <v>3.7933126378427438</v>
      </c>
      <c r="GN68" s="21">
        <f>EXP(-LN(2)/2)*GN67+(1-EXP(-LN(2)/2))/(LN(2)/2)*GH68*GK68*VLOOKUP('Données projet'!$B$17,Paramètres!$A$1:$I$89,3,0)*0.475*44/12</f>
        <v>4.9219112529515665E-5</v>
      </c>
      <c r="GO68" s="21">
        <f t="shared" ref="GO68:GO131" si="81">SUM(GL68:GN68)</f>
        <v>7.6995994603741211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378.17323480030268</v>
      </c>
      <c r="T69" s="59">
        <f t="shared" ref="T69:T132" si="88">$T$3</f>
        <v>471.89239871617241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2.1592143438912221</v>
      </c>
      <c r="AA69" s="21">
        <f>EXP(-LN(2)/25)*AA68+(1-EXP(-LN(2)/25))/(LN(2)/25)*Calculateur!V69*Calculateur!X69*VLOOKUP('Données projet'!$B$9,Paramètres!$A$1:$I$89,3,0)*0.475*44/12</f>
        <v>7.6667142407542856</v>
      </c>
      <c r="AB69" s="21">
        <f>EXP(-LN(2)/2)*AB68+(1-EXP(-LN(2)/2))/(LN(2)/2)*V69*Y69*VLOOKUP('Données projet'!$B$9,Paramètres!$A$1:$I$89,3,0)*0.475*44/12</f>
        <v>3.990398762158718E-5</v>
      </c>
      <c r="AC69" s="22">
        <f t="shared" si="57"/>
        <v>9.82596848863313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141.22849894256314</v>
      </c>
      <c r="AO69" s="59">
        <f t="shared" ref="AO69:AO132" si="90">$AO$3</f>
        <v>156.12101479343704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3.6055489319444063</v>
      </c>
      <c r="AV69" s="21">
        <f>EXP(-LN(2)/25)*AV68+(1-EXP(-LN(2)/25))/(LN(2)/25)*Calculateur!AQ69*Calculateur!AS69*VLOOKUP('Données projet'!$B$10,Paramètres!$A$1:$I$89,3,0)*0.475*44/12</f>
        <v>2.2197104967117167</v>
      </c>
      <c r="AW69" s="21">
        <f>EXP(-LN(2)/2)*AW68+(1-EXP(-LN(2)/2))/(LN(2)/2)*AQ69*AT69*VLOOKUP('Données projet'!$B$10,Paramètres!$A$1:$I$89,3,0)*0.475*44/12</f>
        <v>1.1283764000669913E-5</v>
      </c>
      <c r="AX69" s="21">
        <f t="shared" si="60"/>
        <v>5.8252707124201235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114.25511901730295</v>
      </c>
      <c r="BJ69" s="59">
        <f t="shared" ref="BJ69:BJ132" si="92">$BJ$3</f>
        <v>180.96261947642182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1.6756693573178223</v>
      </c>
      <c r="BQ69" s="21">
        <f>EXP(-LN(2)/25)*BQ68+(1-EXP(-LN(2)/25))/(LN(2)/25)*Calculateur!BL69*Calculateur!BN69*VLOOKUP('Données projet'!$B$11,Paramètres!$A$1:$I$89,3,0)*0.475*44/12</f>
        <v>6.5660989199495621</v>
      </c>
      <c r="BR69" s="21">
        <f>EXP(-LN(2)/2)*BR68+(1-EXP(-LN(2)/2))/(LN(2)/2)*BL69*BO69*VLOOKUP('Données projet'!$B$11,Paramètres!$A$1:$I$89,3,0)*0.475*44/12</f>
        <v>2.6062250282981151E-5</v>
      </c>
      <c r="BS69" s="22">
        <f t="shared" si="63"/>
        <v>8.2417943395176678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8.6666666666666661</v>
      </c>
      <c r="BY69" s="12">
        <f>IF('Données projet'!$A$114&gt;35,BY68+BX69-CG68,IF(A69&lt;'Données projet'!$A$114,$BV$205^A69,IF(A69='Données projet'!$A$114,'Données projet'!$B$114,BY68+BX69-CG68)))</f>
        <v>302</v>
      </c>
      <c r="BZ69" s="13">
        <f>BY69*VLOOKUP('Données projet'!$B$12,Paramètres!$A$1:$I$89,3,0)*VLOOKUP('Données projet'!$B$12,Paramètres!$A$1:$I$89,5,0)</f>
        <v>235.56</v>
      </c>
      <c r="CA69" s="13">
        <f t="shared" ref="CA69:CA132" si="93">EXP(-1.0587+0.8836*LN(BZ69)+0.284)</f>
        <v>57.483207143847721</v>
      </c>
      <c r="CB69" s="20">
        <f t="shared" si="64"/>
        <v>510.38358577553481</v>
      </c>
      <c r="CC69" s="59">
        <f t="shared" si="65"/>
        <v>803.71691910886807</v>
      </c>
      <c r="CD69" s="59">
        <f ca="1">AVERAGE(OFFSET($CC$3,0,0,'Données projet'!$E$12+1,1))-AVERAGE(OFFSET($H$3,0,0,'Données projet'!$E$12+1,1))</f>
        <v>216.95993967070063</v>
      </c>
      <c r="CE69" s="59">
        <f t="shared" ref="CE69:CE132" si="94">$CE$3</f>
        <v>208.79744153433245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2.5326557604377364</v>
      </c>
      <c r="CL69" s="21">
        <f>EXP(-LN(2)/25)*CL68+(1-EXP(-LN(2)/25))/(LN(2)/25)*Calculateur!CG69*Calculateur!CI69*VLOOKUP('Données projet'!$B$12,Paramètres!$A$1:$I$89,3,0)*0.475*44/12</f>
        <v>2.3652276888547021</v>
      </c>
      <c r="CM69" s="21">
        <f>EXP(-LN(2)/2)*CM68+(1-EXP(-LN(2)/2))/(LN(2)/2)*CG69*CJ69*VLOOKUP('Données projet'!$B$12,Paramètres!$A$1:$I$89,3,0)*0.475*44/12</f>
        <v>4.7058424244061545E-6</v>
      </c>
      <c r="CN69" s="22">
        <f t="shared" si="66"/>
        <v>4.8978881551348623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8.6666666666666661</v>
      </c>
      <c r="CT69" s="12">
        <f>IF('Données projet'!$A$140&gt;35,CT68+CS69-DB68,IF(A69&lt;'Données projet'!$A$140,$CQ$205^A69,IF(A69='Données projet'!$A$140,'Données projet'!$B$140,CT68+CS69-DB68)))</f>
        <v>302</v>
      </c>
      <c r="CU69" s="17">
        <f>CT69*VLOOKUP('Données projet'!$B$13,Paramètres!$A$1:$I$89,3,0)*VLOOKUP('Données projet'!$B$13,Paramètres!$A$1:$I$89,5,0)</f>
        <v>202.58159999999998</v>
      </c>
      <c r="CV69" s="13">
        <f t="shared" ref="CV69:CV132" si="95">EXP(-1.0587+0.8836*LN(CU69)+0.284)</f>
        <v>50.311101076764672</v>
      </c>
      <c r="CW69" s="20">
        <f t="shared" si="67"/>
        <v>440.4547877086984</v>
      </c>
      <c r="CX69" s="59">
        <f t="shared" si="68"/>
        <v>733.78812104203166</v>
      </c>
      <c r="CY69" s="59">
        <f ca="1">AVERAGE(OFFSET($CX$3,0,0,'Données projet'!$E$13+1,1))-AVERAGE(OFFSET($H$3,0,0,'Données projet'!$E$13+1,1))</f>
        <v>181.32837315090507</v>
      </c>
      <c r="CZ69" s="59">
        <f t="shared" ref="CZ69:CZ132" si="96">$CZ$3</f>
        <v>175.03267817980338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2.684615106063998</v>
      </c>
      <c r="DG69" s="21">
        <f>EXP(-LN(2)/25)*DG68+(1-EXP(-LN(2)/25))/(LN(2)/25)*Calculateur!DB69*Calculateur!DD69*VLOOKUP('Données projet'!$B$13,Paramètres!$A$1:$I$89,3,0)*0.475*44/12</f>
        <v>2.5071413501859854</v>
      </c>
      <c r="DH69" s="21">
        <f>EXP(-LN(2)/2)*DH68+(1-EXP(-LN(2)/2))/(LN(2)/2)*DB69*DE69*VLOOKUP('Données projet'!$B$13,Paramètres!$A$1:$I$89,3,0)*0.475*44/12</f>
        <v>4.0470244849892911E-6</v>
      </c>
      <c r="DI69" s="22">
        <f t="shared" si="69"/>
        <v>5.1917605032744687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5.2</v>
      </c>
      <c r="DO69" s="12">
        <f>IF('Données projet'!$A$166&gt;35,DO68+DN69-DW68,IF(A69&lt;'Données projet'!$A$166,$DL$205^A69,IF(A69='Données projet'!$A$166,'Données projet'!$B$166,DO68+DN69-DW68)))</f>
        <v>345.1999999999997</v>
      </c>
      <c r="DP69" s="17">
        <f>DO69*VLOOKUP('Données projet'!$B$14,Paramètres!$A$1:$I$89,3,0)*VLOOKUP('Données projet'!$B$14,Paramètres!$A$1:$I$89,5,0)</f>
        <v>274.64111999999977</v>
      </c>
      <c r="DQ69" s="13">
        <f t="shared" ref="DQ69:DQ132" si="97">EXP(-1.0587+0.8836*LN(DP69)+0.284)</f>
        <v>65.833252956609641</v>
      </c>
      <c r="DR69" s="20">
        <f t="shared" si="70"/>
        <v>592.99286623276123</v>
      </c>
      <c r="DS69" s="59">
        <f t="shared" si="71"/>
        <v>886.3261995660946</v>
      </c>
      <c r="DT69" s="59">
        <f ca="1">AVERAGE(OFFSET($DS$3,0,0,'Données projet'!$E$14+1,1))-AVERAGE(OFFSET($H$3,0,0,'Données projet'!$E$14+1,1))</f>
        <v>325.72928944930294</v>
      </c>
      <c r="DU69" s="59">
        <f t="shared" ref="DU69:DU132" si="98">$DU$3</f>
        <v>318.38876834819752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8.4874430318214991</v>
      </c>
      <c r="EB69" s="21">
        <f>EXP(-LN(2)/25)*EB68+(1-EXP(-LN(2)/25))/(LN(2)/25)*Calculateur!DW69*Calculateur!DY69*VLOOKUP('Données projet'!$B$14,Paramètres!$A$1:$I$89,3,0)*0.475*44/12</f>
        <v>7.6219279445984576</v>
      </c>
      <c r="EC69" s="21">
        <f>EXP(-LN(2)/2)*EC68+(1-EXP(-LN(2)/2))/(LN(2)/2)*DW69*DZ69*VLOOKUP('Données projet'!$B$14,Paramètres!$A$1:$I$89,3,0)*0.475*44/12</f>
        <v>4.5126804481827035E-5</v>
      </c>
      <c r="ED69" s="22">
        <f t="shared" si="72"/>
        <v>16.10941610322444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8.1999999999999993</v>
      </c>
      <c r="EJ69" s="12">
        <f>IF('Données projet'!$A$192&gt;35,EJ68+EI69-ER68,IF(A69&lt;'Données projet'!$A$192,$EG$205^A69,IF(A69='Données projet'!$A$192,'Données projet'!$B$192,EJ68+EI69-ER68)))</f>
        <v>269.2</v>
      </c>
      <c r="EK69" s="17">
        <f>EJ69*VLOOKUP('Données projet'!$B$15,Paramètres!$A$1:$I$89,3,0)*VLOOKUP('Données projet'!$B$15,Paramètres!$A$1:$I$89,5,0)</f>
        <v>272.96879999999999</v>
      </c>
      <c r="EL69" s="13">
        <f t="shared" ref="EL69:EL132" si="99">EXP(-1.0587+0.8836*LN(EK69)+0.284)</f>
        <v>65.478922017818945</v>
      </c>
      <c r="EM69" s="20">
        <f t="shared" si="73"/>
        <v>589.46311584770126</v>
      </c>
      <c r="EN69" s="59">
        <f t="shared" si="74"/>
        <v>882.79644918103463</v>
      </c>
      <c r="EO69" s="59">
        <f ca="1">AVERAGE(OFFSET($EN$3,0,0,'Données projet'!$E$15+1,1))-AVERAGE(OFFSET($H$3,0,0,'Données projet'!$E$15+1,1))</f>
        <v>384.50065773787549</v>
      </c>
      <c r="EP69" s="59">
        <f t="shared" ref="EP69:EP132" si="100">$EP$3</f>
        <v>231.92898690465887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4.0149437633557499</v>
      </c>
      <c r="EW69" s="21">
        <f>EXP(-LN(2)/25)*EW68+(1-EXP(-LN(2)/25))/(LN(2)/25)*Calculateur!ER69*Calculateur!ET69*VLOOKUP('Données projet'!$B$15,Paramètres!$A$1:$I$89,3,0)*0.475*44/12</f>
        <v>3.8681125770670004</v>
      </c>
      <c r="EX69" s="21">
        <f>EXP(-LN(2)/2)*EX68+(1-EXP(-LN(2)/2))/(LN(2)/2)*ER69*EU69*VLOOKUP('Données projet'!$B$15,Paramètres!$A$1:$I$89,3,0)*0.475*44/12</f>
        <v>3.6487192502972233E-5</v>
      </c>
      <c r="EY69" s="22">
        <f t="shared" si="75"/>
        <v>7.8830928276152532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8.1999999999999993</v>
      </c>
      <c r="FE69" s="12">
        <f>IF('Données projet'!$A$218&gt;35,FE68+FD69-FM68,IF(A69&lt;'Données projet'!$A$218,$FB$205^A69,IF(A69='Données projet'!$A$218,'Données projet'!$B$218,FE68+FD69-FM68)))</f>
        <v>269.2</v>
      </c>
      <c r="FF69" s="17">
        <f>FE69*VLOOKUP('Données projet'!$B$16,Paramètres!$A$1:$I$89,3,0)*VLOOKUP('Données projet'!$B$16,Paramètres!$A$1:$I$89,5,0)</f>
        <v>243.57216</v>
      </c>
      <c r="FG69" s="13">
        <f t="shared" ref="FG69:FG132" si="101">EXP(-1.0587+0.8836*LN(FF69)+0.284)</f>
        <v>59.207435995642292</v>
      </c>
      <c r="FH69" s="20">
        <f t="shared" si="76"/>
        <v>527.34112969241028</v>
      </c>
      <c r="FI69" s="59">
        <f t="shared" si="77"/>
        <v>820.67446302574353</v>
      </c>
      <c r="FJ69" s="59">
        <f ca="1">AVERAGE(OFFSET($FI$3,0,0,'Données projet'!$E$16+1,1))-AVERAGE(OFFSET($H$3,0,0,'Données projet'!$E$16+1,1))</f>
        <v>326.46362829268969</v>
      </c>
      <c r="FK69" s="59">
        <f t="shared" ref="FK69:FK132" si="102">$FK$3</f>
        <v>203.5274665601915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3.5825652042251277</v>
      </c>
      <c r="FR69" s="21">
        <f>EXP(-LN(2)/25)*FR68+(1-EXP(-LN(2)/25))/(LN(2)/25)*Calculateur!FM69*Calculateur!FO69*VLOOKUP('Données projet'!$B$16,Paramètres!$A$1:$I$89,3,0)*0.475*44/12</f>
        <v>3.4515466072290133</v>
      </c>
      <c r="FS69" s="21">
        <f>EXP(-LN(2)/2)*FS68+(1-EXP(-LN(2)/2))/(LN(2)/2)*FM69*FP69*VLOOKUP('Données projet'!$B$16,Paramètres!$A$1:$I$89,3,0)*0.475*44/12</f>
        <v>3.2557802541113684E-5</v>
      </c>
      <c r="FT69" s="22">
        <f t="shared" si="78"/>
        <v>7.0341443692566816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8.1999999999999993</v>
      </c>
      <c r="FZ69" s="12">
        <f>IF('Données projet'!$A$244&gt;35,FZ68+FY69-GH68,IF(A69&lt;'Données projet'!$A$244,$FW$205^A69,IF(A69='Données projet'!$A$244,'Données projet'!$B$244,FZ68+FY69-GH68)))</f>
        <v>269.2</v>
      </c>
      <c r="GA69" s="17">
        <f>FZ69*VLOOKUP('Données projet'!$B$17,Paramètres!$A$1:$I$89,3,0)*VLOOKUP('Données projet'!$B$17,Paramètres!$A$1:$I$89,5,0)</f>
        <v>260.37024000000002</v>
      </c>
      <c r="GB69" s="13">
        <f t="shared" ref="GB69:GB132" si="103">EXP(-1.0587+0.8836*LN(GA69)+0.284)</f>
        <v>62.801291625234725</v>
      </c>
      <c r="GC69" s="20">
        <f t="shared" si="79"/>
        <v>562.85708424728386</v>
      </c>
      <c r="GD69" s="59">
        <f t="shared" si="80"/>
        <v>856.19041758061712</v>
      </c>
      <c r="GE69" s="59">
        <f ca="1">AVERAGE(OFFSET($GD$3,0,0,'Données projet'!$E$17+1,1))-AVERAGE(OFFSET($H$3,0,0,'Données projet'!$E$17+1,1))</f>
        <v>353.24082990916918</v>
      </c>
      <c r="GF69" s="59">
        <f t="shared" ref="GF69:GF132" si="104">$GF$3</f>
        <v>219.76562717496353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3.8296386665854829</v>
      </c>
      <c r="GM69" s="21">
        <f>EXP(-LN(2)/25)*GM68+(1-EXP(-LN(2)/25))/(LN(2)/25)*Calculateur!GH69*Calculateur!GJ69*VLOOKUP('Données projet'!$B$17,Paramètres!$A$1:$I$89,3,0)*0.475*44/12</f>
        <v>3.689584304279292</v>
      </c>
      <c r="GN69" s="21">
        <f>EXP(-LN(2)/2)*GN68+(1-EXP(-LN(2)/2))/(LN(2)/2)*GH69*GK69*VLOOKUP('Données projet'!$B$17,Paramètres!$A$1:$I$89,3,0)*0.475*44/12</f>
        <v>3.4803168233604292E-5</v>
      </c>
      <c r="GO69" s="21">
        <f t="shared" si="81"/>
        <v>7.519257774033008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378.17323480030268</v>
      </c>
      <c r="T70" s="59">
        <f t="shared" si="88"/>
        <v>471.89239871617241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2.1168734675982228</v>
      </c>
      <c r="AA70" s="21">
        <f>EXP(-LN(2)/25)*AA69+(1-EXP(-LN(2)/25))/(LN(2)/25)*Calculateur!V70*Calculateur!X70*VLOOKUP('Données projet'!$B$9,Paramètres!$A$1:$I$89,3,0)*0.475*44/12</f>
        <v>7.4570675366658801</v>
      </c>
      <c r="AB70" s="21">
        <f>EXP(-LN(2)/2)*AB69+(1-EXP(-LN(2)/2))/(LN(2)/2)*V70*Y70*VLOOKUP('Données projet'!$B$9,Paramètres!$A$1:$I$89,3,0)*0.475*44/12</f>
        <v>2.8216380243608348E-5</v>
      </c>
      <c r="AC70" s="22">
        <f t="shared" si="57"/>
        <v>9.5739692206443472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141.22849894256314</v>
      </c>
      <c r="AO70" s="59">
        <f t="shared" si="90"/>
        <v>156.12101479343704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3.534846316556675</v>
      </c>
      <c r="AV70" s="21">
        <f>EXP(-LN(2)/25)*AV69+(1-EXP(-LN(2)/25))/(LN(2)/25)*Calculateur!AQ70*Calculateur!AS70*VLOOKUP('Données projet'!$B$10,Paramètres!$A$1:$I$89,3,0)*0.475*44/12</f>
        <v>2.1590123964496328</v>
      </c>
      <c r="AW70" s="21">
        <f>EXP(-LN(2)/2)*AW69+(1-EXP(-LN(2)/2))/(LN(2)/2)*AQ70*AT70*VLOOKUP('Données projet'!$B$10,Paramètres!$A$1:$I$89,3,0)*0.475*44/12</f>
        <v>7.9788260421823425E-6</v>
      </c>
      <c r="AX70" s="21">
        <f t="shared" si="60"/>
        <v>5.6938666918323504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114.25511901730295</v>
      </c>
      <c r="BJ70" s="59">
        <f t="shared" si="92"/>
        <v>180.96261947642182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1.6428105032782079</v>
      </c>
      <c r="BQ70" s="21">
        <f>EXP(-LN(2)/25)*BQ69+(1-EXP(-LN(2)/25))/(LN(2)/25)*Calculateur!BL70*Calculateur!BN70*VLOOKUP('Données projet'!$B$11,Paramètres!$A$1:$I$89,3,0)*0.475*44/12</f>
        <v>6.3865485996874058</v>
      </c>
      <c r="BR70" s="21">
        <f>EXP(-LN(2)/2)*BR69+(1-EXP(-LN(2)/2))/(LN(2)/2)*BL70*BO70*VLOOKUP('Données projet'!$B$11,Paramètres!$A$1:$I$89,3,0)*0.475*44/12</f>
        <v>1.8428793908076989E-5</v>
      </c>
      <c r="BS70" s="22">
        <f t="shared" si="63"/>
        <v>8.029377531759522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8.6666666666666661</v>
      </c>
      <c r="BY70" s="12">
        <f>IF('Données projet'!$A$114&gt;35,BY69+BX70-CG69,IF(A70&lt;'Données projet'!$A$114,$BV$205^A70,IF(A70='Données projet'!$A$114,'Données projet'!$B$114,BY69+BX70-CG69)))</f>
        <v>310.66666666666669</v>
      </c>
      <c r="BZ70" s="13">
        <f>BY70*VLOOKUP('Données projet'!$B$12,Paramètres!$A$1:$I$89,3,0)*VLOOKUP('Données projet'!$B$12,Paramètres!$A$1:$I$89,5,0)</f>
        <v>242.32000000000002</v>
      </c>
      <c r="CA70" s="13">
        <f t="shared" si="93"/>
        <v>58.938409961900859</v>
      </c>
      <c r="CB70" s="20">
        <f t="shared" si="64"/>
        <v>524.69173068364398</v>
      </c>
      <c r="CC70" s="59">
        <f t="shared" si="65"/>
        <v>818.02506401697724</v>
      </c>
      <c r="CD70" s="59">
        <f ca="1">AVERAGE(OFFSET($CC$3,0,0,'Données projet'!$E$12+1,1))-AVERAGE(OFFSET($H$3,0,0,'Données projet'!$E$12+1,1))</f>
        <v>216.95993967070063</v>
      </c>
      <c r="CE70" s="59">
        <f t="shared" si="94"/>
        <v>208.79744153433245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2.4829919257430331</v>
      </c>
      <c r="CL70" s="21">
        <f>EXP(-LN(2)/25)*CL69+(1-EXP(-LN(2)/25))/(LN(2)/25)*Calculateur!CG70*Calculateur!CI70*VLOOKUP('Données projet'!$B$12,Paramètres!$A$1:$I$89,3,0)*0.475*44/12</f>
        <v>2.3005504133210519</v>
      </c>
      <c r="CM70" s="21">
        <f>EXP(-LN(2)/2)*CM69+(1-EXP(-LN(2)/2))/(LN(2)/2)*CG70*CJ70*VLOOKUP('Données projet'!$B$12,Paramètres!$A$1:$I$89,3,0)*0.475*44/12</f>
        <v>3.327533089492935E-6</v>
      </c>
      <c r="CN70" s="22">
        <f t="shared" si="66"/>
        <v>4.7835456665971741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8.6666666666666661</v>
      </c>
      <c r="CT70" s="12">
        <f>IF('Données projet'!$A$140&gt;35,CT69+CS70-DB69,IF(A70&lt;'Données projet'!$A$140,$CQ$205^A70,IF(A70='Données projet'!$A$140,'Données projet'!$B$140,CT69+CS70-DB69)))</f>
        <v>310.66666666666669</v>
      </c>
      <c r="CU70" s="17">
        <f>CT70*VLOOKUP('Données projet'!$B$13,Paramètres!$A$1:$I$89,3,0)*VLOOKUP('Données projet'!$B$13,Paramètres!$A$1:$I$89,5,0)</f>
        <v>208.39520000000002</v>
      </c>
      <c r="CV70" s="13">
        <f t="shared" si="95"/>
        <v>51.584740104647317</v>
      </c>
      <c r="CW70" s="20">
        <f t="shared" si="67"/>
        <v>452.79839568226072</v>
      </c>
      <c r="CX70" s="59">
        <f t="shared" si="68"/>
        <v>746.13172901559403</v>
      </c>
      <c r="CY70" s="59">
        <f ca="1">AVERAGE(OFFSET($CX$3,0,0,'Données projet'!$E$13+1,1))-AVERAGE(OFFSET($H$3,0,0,'Données projet'!$E$13+1,1))</f>
        <v>181.32837315090507</v>
      </c>
      <c r="CZ70" s="59">
        <f t="shared" si="96"/>
        <v>175.03267817980338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2.6319714412876127</v>
      </c>
      <c r="DG70" s="21">
        <f>EXP(-LN(2)/25)*DG69+(1-EXP(-LN(2)/25))/(LN(2)/25)*Calculateur!DB70*Calculateur!DD70*VLOOKUP('Données projet'!$B$13,Paramètres!$A$1:$I$89,3,0)*0.475*44/12</f>
        <v>2.438583438120316</v>
      </c>
      <c r="DH70" s="21">
        <f>EXP(-LN(2)/2)*DH69+(1-EXP(-LN(2)/2))/(LN(2)/2)*DB70*DE70*VLOOKUP('Données projet'!$B$13,Paramètres!$A$1:$I$89,3,0)*0.475*44/12</f>
        <v>2.8616784569639229E-6</v>
      </c>
      <c r="DI70" s="22">
        <f t="shared" si="69"/>
        <v>5.070557741086386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5.2</v>
      </c>
      <c r="DO70" s="12">
        <f>IF('Données projet'!$A$166&gt;35,DO69+DN70-DW69,IF(A70&lt;'Données projet'!$A$166,$DL$205^A70,IF(A70='Données projet'!$A$166,'Données projet'!$B$166,DO69+DN70-DW69)))</f>
        <v>350.39999999999969</v>
      </c>
      <c r="DP70" s="17">
        <f>DO70*VLOOKUP('Données projet'!$B$14,Paramètres!$A$1:$I$89,3,0)*VLOOKUP('Données projet'!$B$14,Paramètres!$A$1:$I$89,5,0)</f>
        <v>278.77823999999976</v>
      </c>
      <c r="DQ70" s="13">
        <f t="shared" si="97"/>
        <v>66.70875019643654</v>
      </c>
      <c r="DR70" s="20">
        <f t="shared" si="70"/>
        <v>601.7231745921265</v>
      </c>
      <c r="DS70" s="59">
        <f t="shared" si="71"/>
        <v>895.05650792545975</v>
      </c>
      <c r="DT70" s="59">
        <f ca="1">AVERAGE(OFFSET($DS$3,0,0,'Données projet'!$E$14+1,1))-AVERAGE(OFFSET($H$3,0,0,'Données projet'!$E$14+1,1))</f>
        <v>325.72928944930294</v>
      </c>
      <c r="DU70" s="59">
        <f t="shared" si="98"/>
        <v>318.38876834819752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8.3210094507965593</v>
      </c>
      <c r="EB70" s="21">
        <f>EXP(-LN(2)/25)*EB69+(1-EXP(-LN(2)/25))/(LN(2)/25)*Calculateur!DW70*Calculateur!DY70*VLOOKUP('Données projet'!$B$14,Paramètres!$A$1:$I$89,3,0)*0.475*44/12</f>
        <v>7.4135059241336423</v>
      </c>
      <c r="EC70" s="21">
        <f>EXP(-LN(2)/2)*EC69+(1-EXP(-LN(2)/2))/(LN(2)/2)*DW70*DZ70*VLOOKUP('Données projet'!$B$14,Paramètres!$A$1:$I$89,3,0)*0.475*44/12</f>
        <v>3.1909469462379381E-5</v>
      </c>
      <c r="ED70" s="22">
        <f t="shared" si="72"/>
        <v>15.734547284399664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8.1999999999999993</v>
      </c>
      <c r="EJ70" s="12">
        <f>IF('Données projet'!$A$192&gt;35,EJ69+EI70-ER69,IF(A70&lt;'Données projet'!$A$192,$EG$205^A70,IF(A70='Données projet'!$A$192,'Données projet'!$B$192,EJ69+EI70-ER69)))</f>
        <v>277.39999999999998</v>
      </c>
      <c r="EK70" s="17">
        <f>EJ70*VLOOKUP('Données projet'!$B$15,Paramètres!$A$1:$I$89,3,0)*VLOOKUP('Données projet'!$B$15,Paramètres!$A$1:$I$89,5,0)</f>
        <v>281.28360000000004</v>
      </c>
      <c r="EL70" s="13">
        <f t="shared" si="99"/>
        <v>67.238198209347928</v>
      </c>
      <c r="EM70" s="20">
        <f t="shared" si="73"/>
        <v>607.00879854794766</v>
      </c>
      <c r="EN70" s="59">
        <f t="shared" si="74"/>
        <v>900.34213188128092</v>
      </c>
      <c r="EO70" s="59">
        <f ca="1">AVERAGE(OFFSET($EN$3,0,0,'Données projet'!$E$15+1,1))-AVERAGE(OFFSET($H$3,0,0,'Données projet'!$E$15+1,1))</f>
        <v>384.50065773787549</v>
      </c>
      <c r="EP70" s="59">
        <f t="shared" si="100"/>
        <v>231.92898690465887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3.936213165030233</v>
      </c>
      <c r="EW70" s="21">
        <f>EXP(-LN(2)/25)*EW69+(1-EXP(-LN(2)/25))/(LN(2)/25)*Calculateur!ER70*Calculateur!ET70*VLOOKUP('Données projet'!$B$15,Paramètres!$A$1:$I$89,3,0)*0.475*44/12</f>
        <v>3.7623388352319034</v>
      </c>
      <c r="EX70" s="21">
        <f>EXP(-LN(2)/2)*EX69+(1-EXP(-LN(2)/2))/(LN(2)/2)*ER70*EU70*VLOOKUP('Données projet'!$B$15,Paramètres!$A$1:$I$89,3,0)*0.475*44/12</f>
        <v>2.5800341245310624E-5</v>
      </c>
      <c r="EY70" s="22">
        <f t="shared" si="75"/>
        <v>7.698577800603382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8.1999999999999993</v>
      </c>
      <c r="FE70" s="12">
        <f>IF('Données projet'!$A$218&gt;35,FE69+FD70-FM69,IF(A70&lt;'Données projet'!$A$218,$FB$205^A70,IF(A70='Données projet'!$A$218,'Données projet'!$B$218,FE69+FD70-FM69)))</f>
        <v>277.39999999999998</v>
      </c>
      <c r="FF70" s="17">
        <f>FE70*VLOOKUP('Données projet'!$B$16,Paramètres!$A$1:$I$89,3,0)*VLOOKUP('Données projet'!$B$16,Paramètres!$A$1:$I$89,5,0)</f>
        <v>250.99151999999995</v>
      </c>
      <c r="FG70" s="13">
        <f t="shared" si="101"/>
        <v>60.798211000769406</v>
      </c>
      <c r="FH70" s="20">
        <f t="shared" si="76"/>
        <v>543.03378149300659</v>
      </c>
      <c r="FI70" s="59">
        <f t="shared" si="77"/>
        <v>836.36711482633996</v>
      </c>
      <c r="FJ70" s="59">
        <f ca="1">AVERAGE(OFFSET($FI$3,0,0,'Données projet'!$E$16+1,1))-AVERAGE(OFFSET($H$3,0,0,'Données projet'!$E$16+1,1))</f>
        <v>326.46362829268969</v>
      </c>
      <c r="FK70" s="59">
        <f t="shared" si="102"/>
        <v>203.5274665601915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3.5123132857192818</v>
      </c>
      <c r="FR70" s="21">
        <f>EXP(-LN(2)/25)*FR69+(1-EXP(-LN(2)/25))/(LN(2)/25)*Calculateur!FM70*Calculateur!FO70*VLOOKUP('Données projet'!$B$16,Paramètres!$A$1:$I$89,3,0)*0.475*44/12</f>
        <v>3.3571638837453883</v>
      </c>
      <c r="FS70" s="21">
        <f>EXP(-LN(2)/2)*FS69+(1-EXP(-LN(2)/2))/(LN(2)/2)*FM70*FP70*VLOOKUP('Données projet'!$B$16,Paramètres!$A$1:$I$89,3,0)*0.475*44/12</f>
        <v>2.3021842957354095E-5</v>
      </c>
      <c r="FT70" s="22">
        <f t="shared" si="78"/>
        <v>6.869500191307627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8.1999999999999993</v>
      </c>
      <c r="FZ70" s="12">
        <f>IF('Données projet'!$A$244&gt;35,FZ69+FY70-GH69,IF(A70&lt;'Données projet'!$A$244,$FW$205^A70,IF(A70='Données projet'!$A$244,'Données projet'!$B$244,FZ69+FY70-GH69)))</f>
        <v>277.39999999999998</v>
      </c>
      <c r="GA70" s="17">
        <f>FZ70*VLOOKUP('Données projet'!$B$17,Paramètres!$A$1:$I$89,3,0)*VLOOKUP('Données projet'!$B$17,Paramètres!$A$1:$I$89,5,0)</f>
        <v>268.30127999999996</v>
      </c>
      <c r="GB70" s="13">
        <f t="shared" si="103"/>
        <v>64.488625713042012</v>
      </c>
      <c r="GC70" s="20">
        <f t="shared" si="79"/>
        <v>579.60908578354815</v>
      </c>
      <c r="GD70" s="59">
        <f t="shared" si="80"/>
        <v>872.94241911688141</v>
      </c>
      <c r="GE70" s="59">
        <f ca="1">AVERAGE(OFFSET($GD$3,0,0,'Données projet'!$E$17+1,1))-AVERAGE(OFFSET($H$3,0,0,'Données projet'!$E$17+1,1))</f>
        <v>353.24082990916918</v>
      </c>
      <c r="GF70" s="59">
        <f t="shared" si="104"/>
        <v>219.76562717496353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3.7545417881826824</v>
      </c>
      <c r="GM70" s="21">
        <f>EXP(-LN(2)/25)*GM69+(1-EXP(-LN(2)/25))/(LN(2)/25)*Calculateur!GH70*Calculateur!GJ70*VLOOKUP('Données projet'!$B$17,Paramètres!$A$1:$I$89,3,0)*0.475*44/12</f>
        <v>3.5886924274519689</v>
      </c>
      <c r="GN70" s="21">
        <f>EXP(-LN(2)/2)*GN69+(1-EXP(-LN(2)/2))/(LN(2)/2)*GH70*GK70*VLOOKUP('Données projet'!$B$17,Paramètres!$A$1:$I$89,3,0)*0.475*44/12</f>
        <v>2.4609556264757832E-5</v>
      </c>
      <c r="GO70" s="21">
        <f t="shared" si="81"/>
        <v>7.3432588251909161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378.17323480030268</v>
      </c>
      <c r="T71" s="59">
        <f t="shared" si="88"/>
        <v>471.89239871617241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2.075362870063945</v>
      </c>
      <c r="AA71" s="21">
        <f>EXP(-LN(2)/25)*AA70+(1-EXP(-LN(2)/25))/(LN(2)/25)*Calculateur!V71*Calculateur!X71*VLOOKUP('Données projet'!$B$9,Paramètres!$A$1:$I$89,3,0)*0.475*44/12</f>
        <v>7.2531536327256134</v>
      </c>
      <c r="AB71" s="21">
        <f>EXP(-LN(2)/2)*AB70+(1-EXP(-LN(2)/2))/(LN(2)/2)*V71*Y71*VLOOKUP('Données projet'!$B$9,Paramètres!$A$1:$I$89,3,0)*0.475*44/12</f>
        <v>1.995199381079359E-5</v>
      </c>
      <c r="AC71" s="22">
        <f t="shared" si="57"/>
        <v>9.328536454783368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141.22849894256314</v>
      </c>
      <c r="AO71" s="59">
        <f t="shared" si="90"/>
        <v>156.12101479343704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3.4655301363323603</v>
      </c>
      <c r="AV71" s="21">
        <f>EXP(-LN(2)/25)*AV70+(1-EXP(-LN(2)/25))/(LN(2)/25)*Calculateur!AQ71*Calculateur!AS71*VLOOKUP('Données projet'!$B$10,Paramètres!$A$1:$I$89,3,0)*0.475*44/12</f>
        <v>2.09997408893119</v>
      </c>
      <c r="AW71" s="21">
        <f>EXP(-LN(2)/2)*AW70+(1-EXP(-LN(2)/2))/(LN(2)/2)*AQ71*AT71*VLOOKUP('Données projet'!$B$10,Paramètres!$A$1:$I$89,3,0)*0.475*44/12</f>
        <v>5.6418820003349567E-6</v>
      </c>
      <c r="AX71" s="21">
        <f t="shared" si="60"/>
        <v>5.5655098671455514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114.25511901730295</v>
      </c>
      <c r="BJ71" s="59">
        <f t="shared" si="92"/>
        <v>180.96261947642182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1.6105959913243884</v>
      </c>
      <c r="BQ71" s="21">
        <f>EXP(-LN(2)/25)*BQ70+(1-EXP(-LN(2)/25))/(LN(2)/25)*Calculateur!BL71*Calculateur!BN71*VLOOKUP('Données projet'!$B$11,Paramètres!$A$1:$I$89,3,0)*0.475*44/12</f>
        <v>6.2119080923749594</v>
      </c>
      <c r="BR71" s="21">
        <f>EXP(-LN(2)/2)*BR70+(1-EXP(-LN(2)/2))/(LN(2)/2)*BL71*BO71*VLOOKUP('Données projet'!$B$11,Paramètres!$A$1:$I$89,3,0)*0.475*44/12</f>
        <v>1.3031125141490575E-5</v>
      </c>
      <c r="BS71" s="22">
        <f t="shared" si="63"/>
        <v>7.8225171148244899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8.6666666666666661</v>
      </c>
      <c r="BY71" s="12">
        <f>IF('Données projet'!$A$114&gt;35,BY70+BX71-CG70,IF(A71&lt;'Données projet'!$A$114,$BV$205^A71,IF(A71='Données projet'!$A$114,'Données projet'!$B$114,BY70+BX71-CG70)))</f>
        <v>319.33333333333337</v>
      </c>
      <c r="BZ71" s="13">
        <f>BY71*VLOOKUP('Données projet'!$B$12,Paramètres!$A$1:$I$89,3,0)*VLOOKUP('Données projet'!$B$12,Paramètres!$A$1:$I$89,5,0)</f>
        <v>249.08000000000004</v>
      </c>
      <c r="CA71" s="13">
        <f t="shared" si="93"/>
        <v>60.388894447487807</v>
      </c>
      <c r="CB71" s="20">
        <f t="shared" si="64"/>
        <v>538.99165782937473</v>
      </c>
      <c r="CC71" s="59">
        <f t="shared" si="65"/>
        <v>832.3249911627081</v>
      </c>
      <c r="CD71" s="59">
        <f ca="1">AVERAGE(OFFSET($CC$3,0,0,'Données projet'!$E$12+1,1))-AVERAGE(OFFSET($H$3,0,0,'Données projet'!$E$12+1,1))</f>
        <v>216.95993967070063</v>
      </c>
      <c r="CE71" s="59">
        <f t="shared" si="94"/>
        <v>208.79744153433245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2.4343019685547449</v>
      </c>
      <c r="CL71" s="21">
        <f>EXP(-LN(2)/25)*CL70+(1-EXP(-LN(2)/25))/(LN(2)/25)*Calculateur!CG71*Calculateur!CI71*VLOOKUP('Données projet'!$B$12,Paramètres!$A$1:$I$89,3,0)*0.475*44/12</f>
        <v>2.2376417412880993</v>
      </c>
      <c r="CM71" s="21">
        <f>EXP(-LN(2)/2)*CM70+(1-EXP(-LN(2)/2))/(LN(2)/2)*CG71*CJ71*VLOOKUP('Données projet'!$B$12,Paramètres!$A$1:$I$89,3,0)*0.475*44/12</f>
        <v>2.3529212122030772E-6</v>
      </c>
      <c r="CN71" s="22">
        <f t="shared" si="66"/>
        <v>4.6719460627640572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8.6666666666666661</v>
      </c>
      <c r="CT71" s="12">
        <f>IF('Données projet'!$A$140&gt;35,CT70+CS71-DB70,IF(A71&lt;'Données projet'!$A$140,$CQ$205^A71,IF(A71='Données projet'!$A$140,'Données projet'!$B$140,CT70+CS71-DB70)))</f>
        <v>319.33333333333337</v>
      </c>
      <c r="CU71" s="17">
        <f>CT71*VLOOKUP('Données projet'!$B$13,Paramètres!$A$1:$I$89,3,0)*VLOOKUP('Données projet'!$B$13,Paramètres!$A$1:$I$89,5,0)</f>
        <v>214.20880000000005</v>
      </c>
      <c r="CV71" s="13">
        <f t="shared" si="95"/>
        <v>52.854249500357014</v>
      </c>
      <c r="CW71" s="20">
        <f t="shared" si="67"/>
        <v>465.13481121312185</v>
      </c>
      <c r="CX71" s="59">
        <f t="shared" si="68"/>
        <v>758.46814454645516</v>
      </c>
      <c r="CY71" s="59">
        <f ca="1">AVERAGE(OFFSET($CX$3,0,0,'Données projet'!$E$13+1,1))-AVERAGE(OFFSET($H$3,0,0,'Données projet'!$E$13+1,1))</f>
        <v>181.32837315090507</v>
      </c>
      <c r="CZ71" s="59">
        <f t="shared" si="96"/>
        <v>175.03267817980338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2.5803600866680272</v>
      </c>
      <c r="DG71" s="21">
        <f>EXP(-LN(2)/25)*DG70+(1-EXP(-LN(2)/25))/(LN(2)/25)*Calculateur!DB71*Calculateur!DD71*VLOOKUP('Données projet'!$B$13,Paramètres!$A$1:$I$89,3,0)*0.475*44/12</f>
        <v>2.3719002457653864</v>
      </c>
      <c r="DH71" s="21">
        <f>EXP(-LN(2)/2)*DH70+(1-EXP(-LN(2)/2))/(LN(2)/2)*DB71*DE71*VLOOKUP('Données projet'!$B$13,Paramètres!$A$1:$I$89,3,0)*0.475*44/12</f>
        <v>2.0235122424946456E-6</v>
      </c>
      <c r="DI71" s="22">
        <f t="shared" si="69"/>
        <v>4.9522623559456553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5.2</v>
      </c>
      <c r="DO71" s="12">
        <f>IF('Données projet'!$A$166&gt;35,DO70+DN71-DW70,IF(A71&lt;'Données projet'!$A$166,$DL$205^A71,IF(A71='Données projet'!$A$166,'Données projet'!$B$166,DO70+DN71-DW70)))</f>
        <v>355.59999999999968</v>
      </c>
      <c r="DP71" s="17">
        <f>DO71*VLOOKUP('Données projet'!$B$14,Paramètres!$A$1:$I$89,3,0)*VLOOKUP('Données projet'!$B$14,Paramètres!$A$1:$I$89,5,0)</f>
        <v>282.91535999999979</v>
      </c>
      <c r="DQ71" s="13">
        <f t="shared" si="97"/>
        <v>67.582736351531807</v>
      </c>
      <c r="DR71" s="20">
        <f t="shared" si="70"/>
        <v>610.45085114558412</v>
      </c>
      <c r="DS71" s="59">
        <f t="shared" si="71"/>
        <v>903.7841844789175</v>
      </c>
      <c r="DT71" s="59">
        <f ca="1">AVERAGE(OFFSET($DS$3,0,0,'Données projet'!$E$14+1,1))-AVERAGE(OFFSET($H$3,0,0,'Données projet'!$E$14+1,1))</f>
        <v>325.72928944930294</v>
      </c>
      <c r="DU71" s="59">
        <f t="shared" si="98"/>
        <v>318.38876834819752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8.1578395307810574</v>
      </c>
      <c r="EB71" s="21">
        <f>EXP(-LN(2)/25)*EB70+(1-EXP(-LN(2)/25))/(LN(2)/25)*Calculateur!DW71*Calculateur!DY71*VLOOKUP('Données projet'!$B$14,Paramètres!$A$1:$I$89,3,0)*0.475*44/12</f>
        <v>7.2107832147788749</v>
      </c>
      <c r="EC71" s="21">
        <f>EXP(-LN(2)/2)*EC70+(1-EXP(-LN(2)/2))/(LN(2)/2)*DW71*DZ71*VLOOKUP('Données projet'!$B$14,Paramètres!$A$1:$I$89,3,0)*0.475*44/12</f>
        <v>2.2563402240913518E-5</v>
      </c>
      <c r="ED71" s="22">
        <f t="shared" si="72"/>
        <v>15.368645308962174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8.1999999999999993</v>
      </c>
      <c r="EJ71" s="12">
        <f>IF('Données projet'!$A$192&gt;35,EJ70+EI71-ER70,IF(A71&lt;'Données projet'!$A$192,$EG$205^A71,IF(A71='Données projet'!$A$192,'Données projet'!$B$192,EJ70+EI71-ER70)))</f>
        <v>285.59999999999997</v>
      </c>
      <c r="EK71" s="17">
        <f>EJ71*VLOOKUP('Données projet'!$B$15,Paramètres!$A$1:$I$89,3,0)*VLOOKUP('Données projet'!$B$15,Paramètres!$A$1:$I$89,5,0)</f>
        <v>289.59839999999997</v>
      </c>
      <c r="EL71" s="13">
        <f t="shared" si="99"/>
        <v>68.991430542388798</v>
      </c>
      <c r="EM71" s="20">
        <f t="shared" si="73"/>
        <v>624.54395486132705</v>
      </c>
      <c r="EN71" s="59">
        <f t="shared" si="74"/>
        <v>917.87728819466042</v>
      </c>
      <c r="EO71" s="59">
        <f ca="1">AVERAGE(OFFSET($EN$3,0,0,'Données projet'!$E$15+1,1))-AVERAGE(OFFSET($H$3,0,0,'Données projet'!$E$15+1,1))</f>
        <v>384.50065773787549</v>
      </c>
      <c r="EP71" s="59">
        <f t="shared" si="100"/>
        <v>231.92898690465887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3.8590264257169564</v>
      </c>
      <c r="EW71" s="21">
        <f>EXP(-LN(2)/25)*EW70+(1-EXP(-LN(2)/25))/(LN(2)/25)*Calculateur!ER71*Calculateur!ET71*VLOOKUP('Données projet'!$B$15,Paramètres!$A$1:$I$89,3,0)*0.475*44/12</f>
        <v>3.6594574819296866</v>
      </c>
      <c r="EX71" s="21">
        <f>EXP(-LN(2)/2)*EX70+(1-EXP(-LN(2)/2))/(LN(2)/2)*ER71*EU71*VLOOKUP('Données projet'!$B$15,Paramètres!$A$1:$I$89,3,0)*0.475*44/12</f>
        <v>1.8243596251486117E-5</v>
      </c>
      <c r="EY71" s="22">
        <f t="shared" si="75"/>
        <v>7.5185021512428944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8.1999999999999993</v>
      </c>
      <c r="FE71" s="12">
        <f>IF('Données projet'!$A$218&gt;35,FE70+FD71-FM70,IF(A71&lt;'Données projet'!$A$218,$FB$205^A71,IF(A71='Données projet'!$A$218,'Données projet'!$B$218,FE70+FD71-FM70)))</f>
        <v>285.59999999999997</v>
      </c>
      <c r="FF71" s="17">
        <f>FE71*VLOOKUP('Données projet'!$B$16,Paramètres!$A$1:$I$89,3,0)*VLOOKUP('Données projet'!$B$16,Paramètres!$A$1:$I$89,5,0)</f>
        <v>258.41087999999996</v>
      </c>
      <c r="FG71" s="13">
        <f t="shared" si="101"/>
        <v>62.383521020316756</v>
      </c>
      <c r="FH71" s="20">
        <f t="shared" si="76"/>
        <v>558.71691511038489</v>
      </c>
      <c r="FI71" s="59">
        <f t="shared" si="77"/>
        <v>852.05024844371815</v>
      </c>
      <c r="FJ71" s="59">
        <f ca="1">AVERAGE(OFFSET($FI$3,0,0,'Données projet'!$E$16+1,1))-AVERAGE(OFFSET($H$3,0,0,'Données projet'!$E$16+1,1))</f>
        <v>326.46362829268969</v>
      </c>
      <c r="FK71" s="59">
        <f t="shared" si="102"/>
        <v>203.5274665601915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3.4434389644858965</v>
      </c>
      <c r="FR71" s="21">
        <f>EXP(-LN(2)/25)*FR70+(1-EXP(-LN(2)/25))/(LN(2)/25)*Calculateur!FM71*Calculateur!FO71*VLOOKUP('Données projet'!$B$16,Paramètres!$A$1:$I$89,3,0)*0.475*44/12</f>
        <v>3.265362060798795</v>
      </c>
      <c r="FS71" s="21">
        <f>EXP(-LN(2)/2)*FS70+(1-EXP(-LN(2)/2))/(LN(2)/2)*FM71*FP71*VLOOKUP('Données projet'!$B$16,Paramètres!$A$1:$I$89,3,0)*0.475*44/12</f>
        <v>1.6278901270556842E-5</v>
      </c>
      <c r="FT71" s="22">
        <f t="shared" si="78"/>
        <v>6.7088173041859616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8.1999999999999993</v>
      </c>
      <c r="FZ71" s="12">
        <f>IF('Données projet'!$A$244&gt;35,FZ70+FY71-GH70,IF(A71&lt;'Données projet'!$A$244,$FW$205^A71,IF(A71='Données projet'!$A$244,'Données projet'!$B$244,FZ70+FY71-GH70)))</f>
        <v>285.59999999999997</v>
      </c>
      <c r="GA71" s="17">
        <f>FZ71*VLOOKUP('Données projet'!$B$17,Paramètres!$A$1:$I$89,3,0)*VLOOKUP('Données projet'!$B$17,Paramètres!$A$1:$I$89,5,0)</f>
        <v>276.23231999999996</v>
      </c>
      <c r="GB71" s="13">
        <f t="shared" si="103"/>
        <v>66.170163093943458</v>
      </c>
      <c r="GC71" s="20">
        <f t="shared" si="79"/>
        <v>596.35099138861813</v>
      </c>
      <c r="GD71" s="59">
        <f t="shared" si="80"/>
        <v>889.6843247219515</v>
      </c>
      <c r="GE71" s="59">
        <f ca="1">AVERAGE(OFFSET($GD$3,0,0,'Données projet'!$E$17+1,1))-AVERAGE(OFFSET($H$3,0,0,'Données projet'!$E$17+1,1))</f>
        <v>353.24082990916918</v>
      </c>
      <c r="GF71" s="59">
        <f t="shared" si="104"/>
        <v>219.76562717496353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3.6809175137607877</v>
      </c>
      <c r="GM71" s="21">
        <f>EXP(-LN(2)/25)*GM70+(1-EXP(-LN(2)/25))/(LN(2)/25)*Calculateur!GH71*Calculateur!GJ71*VLOOKUP('Données projet'!$B$17,Paramètres!$A$1:$I$89,3,0)*0.475*44/12</f>
        <v>3.4905594443021624</v>
      </c>
      <c r="GN71" s="21">
        <f>EXP(-LN(2)/2)*GN70+(1-EXP(-LN(2)/2))/(LN(2)/2)*GH71*GK71*VLOOKUP('Données projet'!$B$17,Paramètres!$A$1:$I$89,3,0)*0.475*44/12</f>
        <v>1.7401584116802146E-5</v>
      </c>
      <c r="GO71" s="21">
        <f t="shared" si="81"/>
        <v>7.1714943596470668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378.17323480030268</v>
      </c>
      <c r="T72" s="59">
        <f t="shared" si="88"/>
        <v>471.89239871617241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2.03466627002835</v>
      </c>
      <c r="AA72" s="21">
        <f>EXP(-LN(2)/25)*AA71+(1-EXP(-LN(2)/25))/(LN(2)/25)*Calculateur!V72*Calculateur!X72*VLOOKUP('Données projet'!$B$9,Paramètres!$A$1:$I$89,3,0)*0.475*44/12</f>
        <v>7.0548157652119592</v>
      </c>
      <c r="AB72" s="21">
        <f>EXP(-LN(2)/2)*AB71+(1-EXP(-LN(2)/2))/(LN(2)/2)*V72*Y72*VLOOKUP('Données projet'!$B$9,Paramètres!$A$1:$I$89,3,0)*0.475*44/12</f>
        <v>1.4108190121804174E-5</v>
      </c>
      <c r="AC72" s="22">
        <f t="shared" si="57"/>
        <v>9.0894961434304307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141.22849894256314</v>
      </c>
      <c r="AO72" s="59">
        <f t="shared" si="90"/>
        <v>156.12101479343704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3.3975732041235491</v>
      </c>
      <c r="AV72" s="21">
        <f>EXP(-LN(2)/25)*AV71+(1-EXP(-LN(2)/25))/(LN(2)/25)*Calculateur!AQ72*Calculateur!AS72*VLOOKUP('Données projet'!$B$10,Paramètres!$A$1:$I$89,3,0)*0.475*44/12</f>
        <v>2.0425501870365288</v>
      </c>
      <c r="AW72" s="21">
        <f>EXP(-LN(2)/2)*AW71+(1-EXP(-LN(2)/2))/(LN(2)/2)*AQ72*AT72*VLOOKUP('Données projet'!$B$10,Paramètres!$A$1:$I$89,3,0)*0.475*44/12</f>
        <v>3.9894130210911712E-6</v>
      </c>
      <c r="AX72" s="21">
        <f t="shared" si="60"/>
        <v>5.4401273805730996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114.25511901730295</v>
      </c>
      <c r="BJ72" s="59">
        <f t="shared" si="92"/>
        <v>180.96261947642182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1.5790131863010712</v>
      </c>
      <c r="BQ72" s="21">
        <f>EXP(-LN(2)/25)*BQ71+(1-EXP(-LN(2)/25))/(LN(2)/25)*Calculateur!BL72*Calculateur!BN72*VLOOKUP('Données projet'!$B$11,Paramètres!$A$1:$I$89,3,0)*0.475*44/12</f>
        <v>6.0420431389189169</v>
      </c>
      <c r="BR72" s="21">
        <f>EXP(-LN(2)/2)*BR71+(1-EXP(-LN(2)/2))/(LN(2)/2)*BL72*BO72*VLOOKUP('Données projet'!$B$11,Paramètres!$A$1:$I$89,3,0)*0.475*44/12</f>
        <v>9.2143969540384943E-6</v>
      </c>
      <c r="BS72" s="22">
        <f t="shared" si="63"/>
        <v>7.621065539616942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328</v>
      </c>
      <c r="BW72" s="12">
        <f>VLOOKUP(A72,'Données projet'!$A$113:$I$133,9,0)</f>
        <v>8.6666666666666661</v>
      </c>
      <c r="BX72" s="12">
        <f t="array" ref="BX72">INDEX(BW:BW,MIN(IF(ISNUMBER(BW72:BW268),ROW(BW72:BW268),"")))</f>
        <v>8.6666666666666661</v>
      </c>
      <c r="BY72" s="12">
        <f>IF('Données projet'!$A$114&gt;35,BY71+BX72-CG71,IF(A72&lt;'Données projet'!$A$114,$BV$205^A72,IF(A72='Données projet'!$A$114,'Données projet'!$B$114,BY71+BX72-CG71)))</f>
        <v>328.00000000000006</v>
      </c>
      <c r="BZ72" s="13">
        <f>BY72*VLOOKUP('Données projet'!$B$12,Paramètres!$A$1:$I$89,3,0)*VLOOKUP('Données projet'!$B$12,Paramètres!$A$1:$I$89,5,0)</f>
        <v>255.84000000000006</v>
      </c>
      <c r="CA72" s="13">
        <f t="shared" si="93"/>
        <v>61.834803371075836</v>
      </c>
      <c r="CB72" s="20">
        <f t="shared" si="64"/>
        <v>553.28361587129041</v>
      </c>
      <c r="CC72" s="59">
        <f t="shared" si="65"/>
        <v>846.61694920462378</v>
      </c>
      <c r="CD72" s="59">
        <f ca="1">AVERAGE(OFFSET($CC$3,0,0,'Données projet'!$E$12+1,1))-AVERAGE(OFFSET($H$3,0,0,'Données projet'!$E$12+1,1))</f>
        <v>216.95993967070063</v>
      </c>
      <c r="CE72" s="59">
        <f t="shared" si="94"/>
        <v>208.79744153433245</v>
      </c>
      <c r="CF72" s="15">
        <f>IF(ISNA(VLOOKUP(A72,'Données projet'!$A$113:$I$133,3,0)),0,VLOOKUP(A72,'Données projet'!$A$113:$I$133,3,0))</f>
        <v>9</v>
      </c>
      <c r="CG72" s="15">
        <f>IF(ISNA(VLOOKUP(A72,'Données projet'!$A$113:$I$133,4,0)),0,VLOOKUP(A72,'Données projet'!$A$113:$I$133,4,0))</f>
        <v>328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2.3865667917289777</v>
      </c>
      <c r="CL72" s="21">
        <f>EXP(-LN(2)/25)*CL71+(1-EXP(-LN(2)/25))/(LN(2)/25)*Calculateur!CG72*Calculateur!CI72*VLOOKUP('Données projet'!$B$12,Paramètres!$A$1:$I$89,3,0)*0.475*44/12</f>
        <v>2.1764533102001113</v>
      </c>
      <c r="CM72" s="21">
        <f>EXP(-LN(2)/2)*CM71+(1-EXP(-LN(2)/2))/(LN(2)/2)*CG72*CJ72*VLOOKUP('Données projet'!$B$12,Paramètres!$A$1:$I$89,3,0)*0.475*44/12</f>
        <v>1.6637665447464675E-6</v>
      </c>
      <c r="CN72" s="22">
        <f t="shared" si="66"/>
        <v>4.563021765695634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328</v>
      </c>
      <c r="CR72" s="12">
        <f>VLOOKUP(A72,'Données projet'!$A$139:$I$159,9,0)</f>
        <v>8.6666666666666661</v>
      </c>
      <c r="CS72" s="12">
        <f t="array" ref="CS72">INDEX(CR:CR,MIN(IF(ISNUMBER(CR72:CR268),ROW(CR72:CR268),"")))</f>
        <v>8.6666666666666661</v>
      </c>
      <c r="CT72" s="12">
        <f>IF('Données projet'!$A$140&gt;35,CT71+CS72-DB71,IF(A72&lt;'Données projet'!$A$140,$CQ$205^A72,IF(A72='Données projet'!$A$140,'Données projet'!$B$140,CT71+CS72-DB71)))</f>
        <v>328.00000000000006</v>
      </c>
      <c r="CU72" s="17">
        <f>CT72*VLOOKUP('Données projet'!$B$13,Paramètres!$A$1:$I$89,3,0)*VLOOKUP('Données projet'!$B$13,Paramètres!$A$1:$I$89,5,0)</f>
        <v>220.02240000000003</v>
      </c>
      <c r="CV72" s="13">
        <f t="shared" si="95"/>
        <v>54.11975422107303</v>
      </c>
      <c r="CW72" s="20">
        <f t="shared" si="67"/>
        <v>477.46425193503552</v>
      </c>
      <c r="CX72" s="59">
        <f t="shared" si="68"/>
        <v>770.79758526836883</v>
      </c>
      <c r="CY72" s="59">
        <f ca="1">AVERAGE(OFFSET($CX$3,0,0,'Données projet'!$E$13+1,1))-AVERAGE(OFFSET($H$3,0,0,'Données projet'!$E$13+1,1))</f>
        <v>181.32837315090507</v>
      </c>
      <c r="CZ72" s="59">
        <f t="shared" si="96"/>
        <v>175.03267817980338</v>
      </c>
      <c r="DA72" s="15">
        <f>IF(ISNA(VLOOKUP(A72,'Données projet'!$A$139:$I$159,3,0)),0,VLOOKUP(A72,'Données projet'!$A$139:$I$159,3,0))</f>
        <v>9</v>
      </c>
      <c r="DB72" s="15">
        <f>IF(ISNA(VLOOKUP(A72,'Données projet'!$A$139:$I$159,4,0)),0,VLOOKUP(A72,'Données projet'!$A$139:$I$159,4,0))</f>
        <v>328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2.5297607992327138</v>
      </c>
      <c r="DG72" s="21">
        <f>EXP(-LN(2)/25)*DG71+(1-EXP(-LN(2)/25))/(LN(2)/25)*Calculateur!DB72*Calculateur!DD72*VLOOKUP('Données projet'!$B$13,Paramètres!$A$1:$I$89,3,0)*0.475*44/12</f>
        <v>2.3070405088121189</v>
      </c>
      <c r="DH72" s="21">
        <f>EXP(-LN(2)/2)*DH71+(1-EXP(-LN(2)/2))/(LN(2)/2)*DB72*DE72*VLOOKUP('Données projet'!$B$13,Paramètres!$A$1:$I$89,3,0)*0.475*44/12</f>
        <v>1.4308392284819615E-6</v>
      </c>
      <c r="DI72" s="22">
        <f t="shared" si="69"/>
        <v>4.8368027388840611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5.2</v>
      </c>
      <c r="DO72" s="12">
        <f>IF('Données projet'!$A$166&gt;35,DO71+DN72-DW71,IF(A72&lt;'Données projet'!$A$166,$DL$205^A72,IF(A72='Données projet'!$A$166,'Données projet'!$B$166,DO71+DN72-DW71)))</f>
        <v>360.79999999999967</v>
      </c>
      <c r="DP72" s="17">
        <f>DO72*VLOOKUP('Données projet'!$B$14,Paramètres!$A$1:$I$89,3,0)*VLOOKUP('Données projet'!$B$14,Paramètres!$A$1:$I$89,5,0)</f>
        <v>287.05247999999978</v>
      </c>
      <c r="DQ72" s="13">
        <f t="shared" si="97"/>
        <v>68.455236071606535</v>
      </c>
      <c r="DR72" s="20">
        <f t="shared" si="70"/>
        <v>619.17593882471431</v>
      </c>
      <c r="DS72" s="59">
        <f t="shared" si="71"/>
        <v>912.50927215804768</v>
      </c>
      <c r="DT72" s="59">
        <f ca="1">AVERAGE(OFFSET($DS$3,0,0,'Données projet'!$E$14+1,1))-AVERAGE(OFFSET($H$3,0,0,'Données projet'!$E$14+1,1))</f>
        <v>325.72928944930294</v>
      </c>
      <c r="DU72" s="59">
        <f t="shared" si="98"/>
        <v>318.38876834819752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7.9978692733732357</v>
      </c>
      <c r="EB72" s="21">
        <f>EXP(-LN(2)/25)*EB71+(1-EXP(-LN(2)/25))/(LN(2)/25)*Calculateur!DW72*Calculateur!DY72*VLOOKUP('Données projet'!$B$14,Paramètres!$A$1:$I$89,3,0)*0.475*44/12</f>
        <v>7.0136039685721379</v>
      </c>
      <c r="EC72" s="21">
        <f>EXP(-LN(2)/2)*EC71+(1-EXP(-LN(2)/2))/(LN(2)/2)*DW72*DZ72*VLOOKUP('Données projet'!$B$14,Paramètres!$A$1:$I$89,3,0)*0.475*44/12</f>
        <v>1.595473473118969E-5</v>
      </c>
      <c r="ED72" s="22">
        <f t="shared" si="72"/>
        <v>15.011489196680106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8.1999999999999993</v>
      </c>
      <c r="EJ72" s="12">
        <f>IF('Données projet'!$A$192&gt;35,EJ71+EI72-ER71,IF(A72&lt;'Données projet'!$A$192,$EG$205^A72,IF(A72='Données projet'!$A$192,'Données projet'!$B$192,EJ71+EI72-ER71)))</f>
        <v>293.79999999999995</v>
      </c>
      <c r="EK72" s="17">
        <f>EJ72*VLOOKUP('Données projet'!$B$15,Paramètres!$A$1:$I$89,3,0)*VLOOKUP('Données projet'!$B$15,Paramètres!$A$1:$I$89,5,0)</f>
        <v>297.91319999999996</v>
      </c>
      <c r="EL72" s="13">
        <f t="shared" si="99"/>
        <v>70.73881247427552</v>
      </c>
      <c r="EM72" s="20">
        <f t="shared" si="73"/>
        <v>642.06892172602977</v>
      </c>
      <c r="EN72" s="59">
        <f t="shared" si="74"/>
        <v>935.40225505936314</v>
      </c>
      <c r="EO72" s="59">
        <f ca="1">AVERAGE(OFFSET($EN$3,0,0,'Données projet'!$E$15+1,1))-AVERAGE(OFFSET($H$3,0,0,'Données projet'!$E$15+1,1))</f>
        <v>384.50065773787549</v>
      </c>
      <c r="EP72" s="59">
        <f t="shared" si="100"/>
        <v>231.92898690465887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3.7833532712823508</v>
      </c>
      <c r="EW72" s="21">
        <f>EXP(-LN(2)/25)*EW71+(1-EXP(-LN(2)/25))/(LN(2)/25)*Calculateur!ER72*Calculateur!ET72*VLOOKUP('Données projet'!$B$15,Paramètres!$A$1:$I$89,3,0)*0.475*44/12</f>
        <v>3.5593894246438142</v>
      </c>
      <c r="EX72" s="21">
        <f>EXP(-LN(2)/2)*EX71+(1-EXP(-LN(2)/2))/(LN(2)/2)*ER72*EU72*VLOOKUP('Données projet'!$B$15,Paramètres!$A$1:$I$89,3,0)*0.475*44/12</f>
        <v>1.2900170622655312E-5</v>
      </c>
      <c r="EY72" s="22">
        <f t="shared" si="75"/>
        <v>7.3427555960967874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8.1999999999999993</v>
      </c>
      <c r="FE72" s="12">
        <f>IF('Données projet'!$A$218&gt;35,FE71+FD72-FM71,IF(A72&lt;'Données projet'!$A$218,$FB$205^A72,IF(A72='Données projet'!$A$218,'Données projet'!$B$218,FE71+FD72-FM71)))</f>
        <v>293.79999999999995</v>
      </c>
      <c r="FF72" s="17">
        <f>FE72*VLOOKUP('Données projet'!$B$16,Paramètres!$A$1:$I$89,3,0)*VLOOKUP('Données projet'!$B$16,Paramètres!$A$1:$I$89,5,0)</f>
        <v>265.83023999999995</v>
      </c>
      <c r="FG72" s="13">
        <f t="shared" si="101"/>
        <v>63.963540982526439</v>
      </c>
      <c r="FH72" s="20">
        <f t="shared" si="76"/>
        <v>574.39083521123348</v>
      </c>
      <c r="FI72" s="59">
        <f t="shared" si="77"/>
        <v>867.72416854456674</v>
      </c>
      <c r="FJ72" s="59">
        <f ca="1">AVERAGE(OFFSET($FI$3,0,0,'Données projet'!$E$16+1,1))-AVERAGE(OFFSET($H$3,0,0,'Données projet'!$E$16+1,1))</f>
        <v>326.46362829268969</v>
      </c>
      <c r="FK72" s="59">
        <f t="shared" si="102"/>
        <v>203.5274665601915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3.3759152266827099</v>
      </c>
      <c r="FR72" s="21">
        <f>EXP(-LN(2)/25)*FR71+(1-EXP(-LN(2)/25))/(LN(2)/25)*Calculateur!FM72*Calculateur!FO72*VLOOKUP('Données projet'!$B$16,Paramètres!$A$1:$I$89,3,0)*0.475*44/12</f>
        <v>3.1760705635283242</v>
      </c>
      <c r="FS72" s="21">
        <f>EXP(-LN(2)/2)*FS71+(1-EXP(-LN(2)/2))/(LN(2)/2)*FM72*FP72*VLOOKUP('Données projet'!$B$16,Paramètres!$A$1:$I$89,3,0)*0.475*44/12</f>
        <v>1.1510921478677047E-5</v>
      </c>
      <c r="FT72" s="22">
        <f t="shared" si="78"/>
        <v>6.5519973011325137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8.1999999999999993</v>
      </c>
      <c r="FZ72" s="12">
        <f>IF('Données projet'!$A$244&gt;35,FZ71+FY72-GH71,IF(A72&lt;'Données projet'!$A$244,$FW$205^A72,IF(A72='Données projet'!$A$244,'Données projet'!$B$244,FZ71+FY72-GH71)))</f>
        <v>293.79999999999995</v>
      </c>
      <c r="GA72" s="17">
        <f>FZ72*VLOOKUP('Données projet'!$B$17,Paramètres!$A$1:$I$89,3,0)*VLOOKUP('Données projet'!$B$17,Paramètres!$A$1:$I$89,5,0)</f>
        <v>284.16335999999995</v>
      </c>
      <c r="GB72" s="13">
        <f t="shared" si="103"/>
        <v>67.846089314219739</v>
      </c>
      <c r="GC72" s="20">
        <f t="shared" si="79"/>
        <v>613.08312422226595</v>
      </c>
      <c r="GD72" s="59">
        <f t="shared" si="80"/>
        <v>906.41645755559921</v>
      </c>
      <c r="GE72" s="59">
        <f ca="1">AVERAGE(OFFSET($GD$3,0,0,'Données projet'!$E$17+1,1))-AVERAGE(OFFSET($H$3,0,0,'Données projet'!$E$17+1,1))</f>
        <v>353.24082990916918</v>
      </c>
      <c r="GF72" s="59">
        <f t="shared" si="104"/>
        <v>219.76562717496353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3.6087369664539333</v>
      </c>
      <c r="GM72" s="21">
        <f>EXP(-LN(2)/25)*GM71+(1-EXP(-LN(2)/25))/(LN(2)/25)*Calculateur!GH72*Calculateur!GJ72*VLOOKUP('Données projet'!$B$17,Paramètres!$A$1:$I$89,3,0)*0.475*44/12</f>
        <v>3.3951099127371762</v>
      </c>
      <c r="GN72" s="21">
        <f>EXP(-LN(2)/2)*GN71+(1-EXP(-LN(2)/2))/(LN(2)/2)*GH72*GK72*VLOOKUP('Données projet'!$B$17,Paramètres!$A$1:$I$89,3,0)*0.475*44/12</f>
        <v>1.2304778132378916E-5</v>
      </c>
      <c r="GO72" s="21">
        <f t="shared" si="81"/>
        <v>7.0038591839692419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378.17323480030268</v>
      </c>
      <c r="T73" s="59">
        <f t="shared" si="88"/>
        <v>471.89239871617241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1.9947677054969779</v>
      </c>
      <c r="AA73" s="21">
        <f>EXP(-LN(2)/25)*AA72+(1-EXP(-LN(2)/25))/(LN(2)/25)*Calculateur!V73*Calculateur!X73*VLOOKUP('Données projet'!$B$9,Paramètres!$A$1:$I$89,3,0)*0.475*44/12</f>
        <v>6.861901457115601</v>
      </c>
      <c r="AB73" s="21">
        <f>EXP(-LN(2)/2)*AB72+(1-EXP(-LN(2)/2))/(LN(2)/2)*V73*Y73*VLOOKUP('Données projet'!$B$9,Paramètres!$A$1:$I$89,3,0)*0.475*44/12</f>
        <v>9.9759969053967951E-6</v>
      </c>
      <c r="AC73" s="22">
        <f t="shared" si="57"/>
        <v>8.8566791386094845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141.22849894256314</v>
      </c>
      <c r="AO73" s="59">
        <f t="shared" si="90"/>
        <v>156.12101479343704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3.3309488659057167</v>
      </c>
      <c r="AV73" s="21">
        <f>EXP(-LN(2)/25)*AV72+(1-EXP(-LN(2)/25))/(LN(2)/25)*Calculateur!AQ73*Calculateur!AS73*VLOOKUP('Données projet'!$B$10,Paramètres!$A$1:$I$89,3,0)*0.475*44/12</f>
        <v>1.9866965447589688</v>
      </c>
      <c r="AW73" s="21">
        <f>EXP(-LN(2)/2)*AW72+(1-EXP(-LN(2)/2))/(LN(2)/2)*AQ73*AT73*VLOOKUP('Données projet'!$B$10,Paramètres!$A$1:$I$89,3,0)*0.475*44/12</f>
        <v>2.8209410001674784E-6</v>
      </c>
      <c r="AX73" s="21">
        <f t="shared" si="60"/>
        <v>5.317648231605685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114.25511901730295</v>
      </c>
      <c r="BJ73" s="59">
        <f t="shared" si="92"/>
        <v>180.96261947642182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1.5480497008206524</v>
      </c>
      <c r="BQ73" s="21">
        <f>EXP(-LN(2)/25)*BQ72+(1-EXP(-LN(2)/25))/(LN(2)/25)*Calculateur!BL73*Calculateur!BN73*VLOOKUP('Données projet'!$B$11,Paramètres!$A$1:$I$89,3,0)*0.475*44/12</f>
        <v>5.8768231515479394</v>
      </c>
      <c r="BR73" s="21">
        <f>EXP(-LN(2)/2)*BR72+(1-EXP(-LN(2)/2))/(LN(2)/2)*BL73*BO73*VLOOKUP('Données projet'!$B$11,Paramètres!$A$1:$I$89,3,0)*0.475*44/12</f>
        <v>6.5155625707452877E-6</v>
      </c>
      <c r="BS73" s="22">
        <f t="shared" si="63"/>
        <v>7.4248793679311627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5.6843418860808015E-14</v>
      </c>
      <c r="BZ73" s="13">
        <f>BY73*VLOOKUP('Données projet'!$B$12,Paramètres!$A$1:$I$89,3,0)*VLOOKUP('Données projet'!$B$12,Paramètres!$A$1:$I$89,5,0)</f>
        <v>4.4337866711430253E-14</v>
      </c>
      <c r="CA73" s="13">
        <f t="shared" si="93"/>
        <v>7.3222115536967035E-13</v>
      </c>
      <c r="CB73" s="20">
        <f t="shared" si="64"/>
        <v>1.3525069634579169E-12</v>
      </c>
      <c r="CC73" s="59">
        <f t="shared" si="65"/>
        <v>293.33333333333468</v>
      </c>
      <c r="CD73" s="59">
        <f ca="1">AVERAGE(OFFSET($CC$3,0,0,'Données projet'!$E$12+1,1))-AVERAGE(OFFSET($H$3,0,0,'Données projet'!$E$12+1,1))</f>
        <v>216.95993967070063</v>
      </c>
      <c r="CE73" s="59">
        <f t="shared" si="94"/>
        <v>208.79744153433245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2.3397676726051806</v>
      </c>
      <c r="CL73" s="21">
        <f>EXP(-LN(2)/25)*CL72+(1-EXP(-LN(2)/25))/(LN(2)/25)*Calculateur!CG73*Calculateur!CI73*VLOOKUP('Données projet'!$B$12,Paramètres!$A$1:$I$89,3,0)*0.475*44/12</f>
        <v>2.116938079977984</v>
      </c>
      <c r="CM73" s="21">
        <f>EXP(-LN(2)/2)*CM72+(1-EXP(-LN(2)/2))/(LN(2)/2)*CG73*CJ73*VLOOKUP('Données projet'!$B$12,Paramètres!$A$1:$I$89,3,0)*0.475*44/12</f>
        <v>1.1764606061015386E-6</v>
      </c>
      <c r="CN73" s="22">
        <f t="shared" si="66"/>
        <v>4.4567069290437713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5.6843418860808015E-14</v>
      </c>
      <c r="CU73" s="17">
        <f>CT73*VLOOKUP('Données projet'!$B$13,Paramètres!$A$1:$I$89,3,0)*VLOOKUP('Données projet'!$B$13,Paramètres!$A$1:$I$89,5,0)</f>
        <v>3.813056537183002E-14</v>
      </c>
      <c r="CV73" s="13">
        <f t="shared" si="95"/>
        <v>6.4086286045526829E-13</v>
      </c>
      <c r="CW73" s="20">
        <f t="shared" si="67"/>
        <v>1.1825802166488628E-12</v>
      </c>
      <c r="CX73" s="59">
        <f t="shared" si="68"/>
        <v>293.33333333333451</v>
      </c>
      <c r="CY73" s="59">
        <f ca="1">AVERAGE(OFFSET($CX$3,0,0,'Données projet'!$E$13+1,1))-AVERAGE(OFFSET($H$3,0,0,'Données projet'!$E$13+1,1))</f>
        <v>181.32837315090507</v>
      </c>
      <c r="CZ73" s="59">
        <f t="shared" si="96"/>
        <v>175.03267817980338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2.4801537329614889</v>
      </c>
      <c r="DG73" s="21">
        <f>EXP(-LN(2)/25)*DG72+(1-EXP(-LN(2)/25))/(LN(2)/25)*Calculateur!DB73*Calculateur!DD73*VLOOKUP('Données projet'!$B$13,Paramètres!$A$1:$I$89,3,0)*0.475*44/12</f>
        <v>2.243954364776664</v>
      </c>
      <c r="DH73" s="21">
        <f>EXP(-LN(2)/2)*DH72+(1-EXP(-LN(2)/2))/(LN(2)/2)*DB73*DE73*VLOOKUP('Données projet'!$B$13,Paramètres!$A$1:$I$89,3,0)*0.475*44/12</f>
        <v>1.0117561212473228E-6</v>
      </c>
      <c r="DI73" s="22">
        <f t="shared" si="69"/>
        <v>4.7241091094942744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366</v>
      </c>
      <c r="DM73" s="12">
        <f>VLOOKUP(A73,'Données projet'!$A$165:$I$185,9,0)</f>
        <v>5.2</v>
      </c>
      <c r="DN73" s="12">
        <f t="array" ref="DN73">INDEX(DM:DM,MIN(IF(ISNUMBER(DM73:DM269),ROW(DM73:DM269),"")))</f>
        <v>5.2</v>
      </c>
      <c r="DO73" s="12">
        <f>IF('Données projet'!$A$166&gt;35,DO72+DN73-DW72,IF(A73&lt;'Données projet'!$A$166,$DL$205^A73,IF(A73='Données projet'!$A$166,'Données projet'!$B$166,DO72+DN73-DW72)))</f>
        <v>365.99999999999966</v>
      </c>
      <c r="DP73" s="17">
        <f>DO73*VLOOKUP('Données projet'!$B$14,Paramètres!$A$1:$I$89,3,0)*VLOOKUP('Données projet'!$B$14,Paramètres!$A$1:$I$89,5,0)</f>
        <v>291.18959999999976</v>
      </c>
      <c r="DQ73" s="13">
        <f t="shared" si="97"/>
        <v>69.326273255048633</v>
      </c>
      <c r="DR73" s="20">
        <f t="shared" si="70"/>
        <v>627.89847925254264</v>
      </c>
      <c r="DS73" s="59">
        <f t="shared" si="71"/>
        <v>921.23181258587601</v>
      </c>
      <c r="DT73" s="59">
        <f ca="1">AVERAGE(OFFSET($DS$3,0,0,'Données projet'!$E$14+1,1))-AVERAGE(OFFSET($H$3,0,0,'Données projet'!$E$14+1,1))</f>
        <v>325.72928944930294</v>
      </c>
      <c r="DU73" s="59">
        <f t="shared" si="98"/>
        <v>318.38876834819752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15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7.8410359351409591</v>
      </c>
      <c r="EB73" s="21">
        <f>EXP(-LN(2)/25)*EB72+(1-EXP(-LN(2)/25))/(LN(2)/25)*Calculateur!DW73*Calculateur!DY73*VLOOKUP('Données projet'!$B$14,Paramètres!$A$1:$I$89,3,0)*0.475*44/12</f>
        <v>6.8218165992221298</v>
      </c>
      <c r="EC73" s="21">
        <f>EXP(-LN(2)/2)*EC72+(1-EXP(-LN(2)/2))/(LN(2)/2)*DW73*DZ73*VLOOKUP('Données projet'!$B$14,Paramètres!$A$1:$I$89,3,0)*0.475*44/12</f>
        <v>1.1281701120456759E-5</v>
      </c>
      <c r="ED73" s="22">
        <f t="shared" si="72"/>
        <v>14.66286381606421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302</v>
      </c>
      <c r="EH73" s="12">
        <f>VLOOKUP(A73,'Données projet'!$A$191:$I$211,9,0)</f>
        <v>8.1999999999999993</v>
      </c>
      <c r="EI73" s="12">
        <f t="array" ref="EI73">INDEX(EH:EH,MIN(IF(ISNUMBER(EH73:EH269),ROW(EH73:EH269),"")))</f>
        <v>8.1999999999999993</v>
      </c>
      <c r="EJ73" s="12">
        <f>IF('Données projet'!$A$192&gt;35,EJ72+EI73-ER72,IF(A73&lt;'Données projet'!$A$192,$EG$205^A73,IF(A73='Données projet'!$A$192,'Données projet'!$B$192,EJ72+EI73-ER72)))</f>
        <v>301.99999999999994</v>
      </c>
      <c r="EK73" s="17">
        <f>EJ73*VLOOKUP('Données projet'!$B$15,Paramètres!$A$1:$I$89,3,0)*VLOOKUP('Données projet'!$B$15,Paramètres!$A$1:$I$89,5,0)</f>
        <v>306.22800000000001</v>
      </c>
      <c r="EL73" s="13">
        <f t="shared" si="99"/>
        <v>72.480526049067294</v>
      </c>
      <c r="EM73" s="20">
        <f t="shared" si="73"/>
        <v>659.58401620212555</v>
      </c>
      <c r="EN73" s="59">
        <f t="shared" si="74"/>
        <v>952.91734953545892</v>
      </c>
      <c r="EO73" s="59">
        <f ca="1">AVERAGE(OFFSET($EN$3,0,0,'Données projet'!$E$15+1,1))-AVERAGE(OFFSET($H$3,0,0,'Données projet'!$E$15+1,1))</f>
        <v>384.50065773787549</v>
      </c>
      <c r="EP73" s="59">
        <f t="shared" si="100"/>
        <v>231.92898690465887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28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3.7091640212501411</v>
      </c>
      <c r="EW73" s="21">
        <f>EXP(-LN(2)/25)*EW72+(1-EXP(-LN(2)/25))/(LN(2)/25)*Calculateur!ER73*Calculateur!ET73*VLOOKUP('Données projet'!$B$15,Paramètres!$A$1:$I$89,3,0)*0.475*44/12</f>
        <v>3.4620577336467746</v>
      </c>
      <c r="EX73" s="21">
        <f>EXP(-LN(2)/2)*EX72+(1-EXP(-LN(2)/2))/(LN(2)/2)*ER73*EU73*VLOOKUP('Données projet'!$B$15,Paramètres!$A$1:$I$89,3,0)*0.475*44/12</f>
        <v>9.1217981257430583E-6</v>
      </c>
      <c r="EY73" s="22">
        <f t="shared" si="75"/>
        <v>7.1712308766950414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302</v>
      </c>
      <c r="FC73" s="12">
        <f>VLOOKUP(A73,'Données projet'!$A$217:$I$237,9,0)</f>
        <v>8.1999999999999993</v>
      </c>
      <c r="FD73" s="12">
        <f t="array" ref="FD73">INDEX(FC:FC,MIN(IF(ISNUMBER(FC73:FC269),ROW(FC73:FC269),"")))</f>
        <v>8.1999999999999993</v>
      </c>
      <c r="FE73" s="12">
        <f>IF('Données projet'!$A$218&gt;35,FE72+FD73-FM72,IF(A73&lt;'Données projet'!$A$218,$FB$205^A73,IF(A73='Données projet'!$A$218,'Données projet'!$B$218,FE72+FD73-FM72)))</f>
        <v>301.99999999999994</v>
      </c>
      <c r="FF73" s="17">
        <f>FE73*VLOOKUP('Données projet'!$B$16,Paramètres!$A$1:$I$89,3,0)*VLOOKUP('Données projet'!$B$16,Paramètres!$A$1:$I$89,5,0)</f>
        <v>273.24959999999999</v>
      </c>
      <c r="FG73" s="13">
        <f t="shared" si="101"/>
        <v>65.538435495514321</v>
      </c>
      <c r="FH73" s="20">
        <f t="shared" si="76"/>
        <v>590.05582848802067</v>
      </c>
      <c r="FI73" s="59">
        <f t="shared" si="77"/>
        <v>883.38916182135404</v>
      </c>
      <c r="FJ73" s="59">
        <f ca="1">AVERAGE(OFFSET($FI$3,0,0,'Données projet'!$E$16+1,1))-AVERAGE(OFFSET($H$3,0,0,'Données projet'!$E$16+1,1))</f>
        <v>326.46362829268969</v>
      </c>
      <c r="FK73" s="59">
        <f t="shared" si="102"/>
        <v>203.5274665601915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28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3.3097155881924305</v>
      </c>
      <c r="FR73" s="21">
        <f>EXP(-LN(2)/25)*FR72+(1-EXP(-LN(2)/25))/(LN(2)/25)*Calculateur!FM73*Calculateur!FO73*VLOOKUP('Données projet'!$B$16,Paramètres!$A$1:$I$89,3,0)*0.475*44/12</f>
        <v>3.0892207469463502</v>
      </c>
      <c r="FS73" s="21">
        <f>EXP(-LN(2)/2)*FS72+(1-EXP(-LN(2)/2))/(LN(2)/2)*FM73*FP73*VLOOKUP('Données projet'!$B$16,Paramètres!$A$1:$I$89,3,0)*0.475*44/12</f>
        <v>8.1394506352784209E-6</v>
      </c>
      <c r="FT73" s="22">
        <f t="shared" si="78"/>
        <v>6.398944474589416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302</v>
      </c>
      <c r="FX73" s="12">
        <f>VLOOKUP(A73,'Données projet'!$A$243:$I$263,9,0)</f>
        <v>8.1999999999999993</v>
      </c>
      <c r="FY73" s="12">
        <f t="array" ref="FY73">INDEX(FX:FX,MIN(IF(ISNUMBER(FX73:FX269),ROW(FX73:FX269),"")))</f>
        <v>8.1999999999999993</v>
      </c>
      <c r="FZ73" s="12">
        <f>IF('Données projet'!$A$244&gt;35,FZ72+FY73-GH72,IF(A73&lt;'Données projet'!$A$244,$FW$205^A73,IF(A73='Données projet'!$A$244,'Données projet'!$B$244,FZ72+FY73-GH72)))</f>
        <v>301.99999999999994</v>
      </c>
      <c r="GA73" s="17">
        <f>FZ73*VLOOKUP('Données projet'!$B$17,Paramètres!$A$1:$I$89,3,0)*VLOOKUP('Données projet'!$B$17,Paramètres!$A$1:$I$89,5,0)</f>
        <v>292.09439999999995</v>
      </c>
      <c r="GB73" s="13">
        <f t="shared" si="103"/>
        <v>69.516578973599849</v>
      </c>
      <c r="GC73" s="20">
        <f t="shared" si="79"/>
        <v>629.80578837901965</v>
      </c>
      <c r="GD73" s="59">
        <f t="shared" si="80"/>
        <v>923.13912171235302</v>
      </c>
      <c r="GE73" s="59">
        <f ca="1">AVERAGE(OFFSET($GD$3,0,0,'Données projet'!$E$17+1,1))-AVERAGE(OFFSET($H$3,0,0,'Données projet'!$E$17+1,1))</f>
        <v>353.24082990916918</v>
      </c>
      <c r="GF73" s="59">
        <f t="shared" si="104"/>
        <v>219.76562717496353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28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3.5379718356539795</v>
      </c>
      <c r="GM73" s="21">
        <f>EXP(-LN(2)/25)*GM72+(1-EXP(-LN(2)/25))/(LN(2)/25)*Calculateur!GH73*Calculateur!GJ73*VLOOKUP('Données projet'!$B$17,Paramètres!$A$1:$I$89,3,0)*0.475*44/12</f>
        <v>3.3022704536323073</v>
      </c>
      <c r="GN73" s="21">
        <f>EXP(-LN(2)/2)*GN72+(1-EXP(-LN(2)/2))/(LN(2)/2)*GH73*GK73*VLOOKUP('Données projet'!$B$17,Paramètres!$A$1:$I$89,3,0)*0.475*44/12</f>
        <v>8.700792058401073E-6</v>
      </c>
      <c r="GO73" s="21">
        <f t="shared" si="81"/>
        <v>6.8402509900783457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378.17323480030268</v>
      </c>
      <c r="T74" s="59">
        <f t="shared" si="88"/>
        <v>471.89239871617241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1.9556515274803445</v>
      </c>
      <c r="AA74" s="21">
        <f>EXP(-LN(2)/25)*AA73+(1-EXP(-LN(2)/25))/(LN(2)/25)*Calculateur!V74*Calculateur!X74*VLOOKUP('Données projet'!$B$9,Paramètres!$A$1:$I$89,3,0)*0.475*44/12</f>
        <v>6.6742624009190603</v>
      </c>
      <c r="AB74" s="21">
        <f>EXP(-LN(2)/2)*AB73+(1-EXP(-LN(2)/2))/(LN(2)/2)*V74*Y74*VLOOKUP('Données projet'!$B$9,Paramètres!$A$1:$I$89,3,0)*0.475*44/12</f>
        <v>7.0540950609020869E-6</v>
      </c>
      <c r="AC74" s="22">
        <f t="shared" si="57"/>
        <v>8.6299209824944665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141.22849894256314</v>
      </c>
      <c r="AO74" s="59">
        <f t="shared" si="90"/>
        <v>156.12101479343704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3.2656309903235021</v>
      </c>
      <c r="AV74" s="21">
        <f>EXP(-LN(2)/25)*AV73+(1-EXP(-LN(2)/25))/(LN(2)/25)*Calculateur!AQ74*Calculateur!AS74*VLOOKUP('Données projet'!$B$10,Paramètres!$A$1:$I$89,3,0)*0.475*44/12</f>
        <v>1.9323702232667042</v>
      </c>
      <c r="AW74" s="21">
        <f>EXP(-LN(2)/2)*AW73+(1-EXP(-LN(2)/2))/(LN(2)/2)*AQ74*AT74*VLOOKUP('Données projet'!$B$10,Paramètres!$A$1:$I$89,3,0)*0.475*44/12</f>
        <v>1.9947065105455856E-6</v>
      </c>
      <c r="AX74" s="21">
        <f t="shared" si="60"/>
        <v>5.1980032082967167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114.25511901730295</v>
      </c>
      <c r="BJ74" s="59">
        <f t="shared" si="92"/>
        <v>180.96261947642182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1.5176933904046432</v>
      </c>
      <c r="BQ74" s="21">
        <f>EXP(-LN(2)/25)*BQ73+(1-EXP(-LN(2)/25))/(LN(2)/25)*Calculateur!BL74*Calculateur!BN74*VLOOKUP('Données projet'!$B$11,Paramètres!$A$1:$I$89,3,0)*0.475*44/12</f>
        <v>5.7161211134201633</v>
      </c>
      <c r="BR74" s="21">
        <f>EXP(-LN(2)/2)*BR73+(1-EXP(-LN(2)/2))/(LN(2)/2)*BL74*BO74*VLOOKUP('Données projet'!$B$11,Paramètres!$A$1:$I$89,3,0)*0.475*44/12</f>
        <v>4.6071984770192471E-6</v>
      </c>
      <c r="BS74" s="22">
        <f t="shared" si="63"/>
        <v>7.2338191110232835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5.6843418860808015E-14</v>
      </c>
      <c r="BZ74" s="13">
        <f>BY74*VLOOKUP('Données projet'!$B$12,Paramètres!$A$1:$I$89,3,0)*VLOOKUP('Données projet'!$B$12,Paramètres!$A$1:$I$89,5,0)</f>
        <v>4.4337866711430253E-14</v>
      </c>
      <c r="CA74" s="13">
        <f t="shared" si="93"/>
        <v>7.3222115536967035E-13</v>
      </c>
      <c r="CB74" s="20">
        <f t="shared" si="64"/>
        <v>1.3525069634579169E-12</v>
      </c>
      <c r="CC74" s="59">
        <f t="shared" si="65"/>
        <v>293.33333333333468</v>
      </c>
      <c r="CD74" s="59">
        <f ca="1">AVERAGE(OFFSET($CC$3,0,0,'Données projet'!$E$12+1,1))-AVERAGE(OFFSET($H$3,0,0,'Données projet'!$E$12+1,1))</f>
        <v>216.95993967070063</v>
      </c>
      <c r="CE74" s="59">
        <f t="shared" si="94"/>
        <v>208.79744153433245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2.2938862556627573</v>
      </c>
      <c r="CL74" s="21">
        <f>EXP(-LN(2)/25)*CL73+(1-EXP(-LN(2)/25))/(LN(2)/25)*Calculateur!CG74*Calculateur!CI74*VLOOKUP('Données projet'!$B$12,Paramètres!$A$1:$I$89,3,0)*0.475*44/12</f>
        <v>2.0590502968560509</v>
      </c>
      <c r="CM74" s="21">
        <f>EXP(-LN(2)/2)*CM73+(1-EXP(-LN(2)/2))/(LN(2)/2)*CG74*CJ74*VLOOKUP('Données projet'!$B$12,Paramètres!$A$1:$I$89,3,0)*0.475*44/12</f>
        <v>8.3188327237323376E-7</v>
      </c>
      <c r="CN74" s="22">
        <f t="shared" si="66"/>
        <v>4.3529373844020807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5.6843418860808015E-14</v>
      </c>
      <c r="CU74" s="17">
        <f>CT74*VLOOKUP('Données projet'!$B$13,Paramètres!$A$1:$I$89,3,0)*VLOOKUP('Données projet'!$B$13,Paramètres!$A$1:$I$89,5,0)</f>
        <v>3.813056537183002E-14</v>
      </c>
      <c r="CV74" s="13">
        <f t="shared" si="95"/>
        <v>6.4086286045526829E-13</v>
      </c>
      <c r="CW74" s="20">
        <f t="shared" si="67"/>
        <v>1.1825802166488628E-12</v>
      </c>
      <c r="CX74" s="59">
        <f t="shared" si="68"/>
        <v>293.33333333333451</v>
      </c>
      <c r="CY74" s="59">
        <f ca="1">AVERAGE(OFFSET($CX$3,0,0,'Données projet'!$E$13+1,1))-AVERAGE(OFFSET($H$3,0,0,'Données projet'!$E$13+1,1))</f>
        <v>181.32837315090507</v>
      </c>
      <c r="CZ74" s="59">
        <f t="shared" si="96"/>
        <v>175.03267817980338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2.4315194310025201</v>
      </c>
      <c r="DG74" s="21">
        <f>EXP(-LN(2)/25)*DG73+(1-EXP(-LN(2)/25))/(LN(2)/25)*Calculateur!DB74*Calculateur!DD74*VLOOKUP('Données projet'!$B$13,Paramètres!$A$1:$I$89,3,0)*0.475*44/12</f>
        <v>2.1825933146674146</v>
      </c>
      <c r="DH74" s="21">
        <f>EXP(-LN(2)/2)*DH73+(1-EXP(-LN(2)/2))/(LN(2)/2)*DB74*DE74*VLOOKUP('Données projet'!$B$13,Paramètres!$A$1:$I$89,3,0)*0.475*44/12</f>
        <v>7.1541961424098073E-7</v>
      </c>
      <c r="DI74" s="22">
        <f t="shared" si="69"/>
        <v>4.6141134610895493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355.79999999999967</v>
      </c>
      <c r="DP74" s="17">
        <f>DO74*VLOOKUP('Données projet'!$B$14,Paramètres!$A$1:$I$89,3,0)*VLOOKUP('Données projet'!$B$14,Paramètres!$A$1:$I$89,5,0)</f>
        <v>283.07447999999977</v>
      </c>
      <c r="DQ74" s="13">
        <f t="shared" si="97"/>
        <v>67.616321363645156</v>
      </c>
      <c r="DR74" s="20">
        <f t="shared" si="70"/>
        <v>610.78647904168156</v>
      </c>
      <c r="DS74" s="59">
        <f t="shared" si="71"/>
        <v>904.11981237501482</v>
      </c>
      <c r="DT74" s="59">
        <f ca="1">AVERAGE(OFFSET($DS$3,0,0,'Données projet'!$E$14+1,1))-AVERAGE(OFFSET($H$3,0,0,'Données projet'!$E$14+1,1))</f>
        <v>325.72928944930294</v>
      </c>
      <c r="DU74" s="59">
        <f t="shared" si="98"/>
        <v>318.38876834819752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7.6872780030125272</v>
      </c>
      <c r="EB74" s="21">
        <f>EXP(-LN(2)/25)*EB73+(1-EXP(-LN(2)/25))/(LN(2)/25)*Calculateur!DW74*Calculateur!DY74*VLOOKUP('Données projet'!$B$14,Paramètres!$A$1:$I$89,3,0)*0.475*44/12</f>
        <v>6.6352736655726572</v>
      </c>
      <c r="EC74" s="21">
        <f>EXP(-LN(2)/2)*EC73+(1-EXP(-LN(2)/2))/(LN(2)/2)*DW74*DZ74*VLOOKUP('Données projet'!$B$14,Paramètres!$A$1:$I$89,3,0)*0.475*44/12</f>
        <v>7.9773673655948451E-6</v>
      </c>
      <c r="ED74" s="22">
        <f t="shared" si="72"/>
        <v>14.32255964595255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7.6</v>
      </c>
      <c r="EJ74" s="12">
        <f>IF('Données projet'!$A$192&gt;35,EJ73+EI74-ER73,IF(A74&lt;'Données projet'!$A$192,$EG$205^A74,IF(A74='Données projet'!$A$192,'Données projet'!$B$192,EJ73+EI74-ER73)))</f>
        <v>281.59999999999997</v>
      </c>
      <c r="EK74" s="17">
        <f>EJ74*VLOOKUP('Données projet'!$B$15,Paramètres!$A$1:$I$89,3,0)*VLOOKUP('Données projet'!$B$15,Paramètres!$A$1:$I$89,5,0)</f>
        <v>285.54239999999999</v>
      </c>
      <c r="EL74" s="13">
        <f t="shared" si="99"/>
        <v>68.136937829389524</v>
      </c>
      <c r="EM74" s="20">
        <f t="shared" si="73"/>
        <v>615.99151338618674</v>
      </c>
      <c r="EN74" s="59">
        <f t="shared" si="74"/>
        <v>909.32484671952011</v>
      </c>
      <c r="EO74" s="59">
        <f ca="1">AVERAGE(OFFSET($EN$3,0,0,'Données projet'!$E$15+1,1))-AVERAGE(OFFSET($H$3,0,0,'Données projet'!$E$15+1,1))</f>
        <v>384.50065773787549</v>
      </c>
      <c r="EP74" s="59">
        <f t="shared" si="100"/>
        <v>231.92898690465887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3.6364295771600887</v>
      </c>
      <c r="EW74" s="21">
        <f>EXP(-LN(2)/25)*EW73+(1-EXP(-LN(2)/25))/(LN(2)/25)*Calculateur!ER74*Calculateur!ET74*VLOOKUP('Données projet'!$B$15,Paramètres!$A$1:$I$89,3,0)*0.475*44/12</f>
        <v>3.3673875828585</v>
      </c>
      <c r="EX74" s="21">
        <f>EXP(-LN(2)/2)*EX73+(1-EXP(-LN(2)/2))/(LN(2)/2)*ER74*EU74*VLOOKUP('Données projet'!$B$15,Paramètres!$A$1:$I$89,3,0)*0.475*44/12</f>
        <v>6.4500853113276561E-6</v>
      </c>
      <c r="EY74" s="22">
        <f t="shared" si="75"/>
        <v>7.0038236101038995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7.6</v>
      </c>
      <c r="FE74" s="12">
        <f>IF('Données projet'!$A$218&gt;35,FE73+FD74-FM73,IF(A74&lt;'Données projet'!$A$218,$FB$205^A74,IF(A74='Données projet'!$A$218,'Données projet'!$B$218,FE73+FD74-FM73)))</f>
        <v>281.59999999999997</v>
      </c>
      <c r="FF74" s="17">
        <f>FE74*VLOOKUP('Données projet'!$B$16,Paramètres!$A$1:$I$89,3,0)*VLOOKUP('Données projet'!$B$16,Paramètres!$A$1:$I$89,5,0)</f>
        <v>254.79167999999996</v>
      </c>
      <c r="FG74" s="13">
        <f t="shared" si="101"/>
        <v>61.610870508448471</v>
      </c>
      <c r="FH74" s="20">
        <f t="shared" si="76"/>
        <v>551.067775468881</v>
      </c>
      <c r="FI74" s="59">
        <f t="shared" si="77"/>
        <v>844.40110880221437</v>
      </c>
      <c r="FJ74" s="59">
        <f ca="1">AVERAGE(OFFSET($FI$3,0,0,'Données projet'!$E$16+1,1))-AVERAGE(OFFSET($H$3,0,0,'Données projet'!$E$16+1,1))</f>
        <v>326.46362829268969</v>
      </c>
      <c r="FK74" s="59">
        <f t="shared" si="102"/>
        <v>203.5274665601915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3.2448140842351529</v>
      </c>
      <c r="FR74" s="21">
        <f>EXP(-LN(2)/25)*FR73+(1-EXP(-LN(2)/25))/(LN(2)/25)*Calculateur!FM74*Calculateur!FO74*VLOOKUP('Données projet'!$B$16,Paramètres!$A$1:$I$89,3,0)*0.475*44/12</f>
        <v>3.0047458431660439</v>
      </c>
      <c r="FS74" s="21">
        <f>EXP(-LN(2)/2)*FS73+(1-EXP(-LN(2)/2))/(LN(2)/2)*FM74*FP74*VLOOKUP('Données projet'!$B$16,Paramètres!$A$1:$I$89,3,0)*0.475*44/12</f>
        <v>5.7554607393385237E-6</v>
      </c>
      <c r="FT74" s="22">
        <f t="shared" si="78"/>
        <v>6.2495656828619364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7.6</v>
      </c>
      <c r="FZ74" s="12">
        <f>IF('Données projet'!$A$244&gt;35,FZ73+FY74-GH73,IF(A74&lt;'Données projet'!$A$244,$FW$205^A74,IF(A74='Données projet'!$A$244,'Données projet'!$B$244,FZ73+FY74-GH73)))</f>
        <v>281.59999999999997</v>
      </c>
      <c r="GA74" s="17">
        <f>FZ74*VLOOKUP('Données projet'!$B$17,Paramètres!$A$1:$I$89,3,0)*VLOOKUP('Données projet'!$B$17,Paramètres!$A$1:$I$89,5,0)</f>
        <v>272.36351999999999</v>
      </c>
      <c r="GB74" s="13">
        <f t="shared" si="103"/>
        <v>65.350613162347059</v>
      </c>
      <c r="GC74" s="20">
        <f t="shared" si="79"/>
        <v>588.18544859108772</v>
      </c>
      <c r="GD74" s="59">
        <f t="shared" si="80"/>
        <v>881.51878192442109</v>
      </c>
      <c r="GE74" s="59">
        <f ca="1">AVERAGE(OFFSET($GD$3,0,0,'Données projet'!$E$17+1,1))-AVERAGE(OFFSET($H$3,0,0,'Données projet'!$E$17+1,1))</f>
        <v>353.24082990916918</v>
      </c>
      <c r="GF74" s="59">
        <f t="shared" si="104"/>
        <v>219.76562717496353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3.468594365906545</v>
      </c>
      <c r="GM74" s="21">
        <f>EXP(-LN(2)/25)*GM73+(1-EXP(-LN(2)/25))/(LN(2)/25)*Calculateur!GH74*Calculateur!GJ74*VLOOKUP('Données projet'!$B$17,Paramètres!$A$1:$I$89,3,0)*0.475*44/12</f>
        <v>3.211969694418876</v>
      </c>
      <c r="GN74" s="21">
        <f>EXP(-LN(2)/2)*GN73+(1-EXP(-LN(2)/2))/(LN(2)/2)*GH74*GK74*VLOOKUP('Données projet'!$B$17,Paramètres!$A$1:$I$89,3,0)*0.475*44/12</f>
        <v>6.1523890661894581E-6</v>
      </c>
      <c r="GO74" s="21">
        <f t="shared" si="81"/>
        <v>6.6805702127144873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378.17323480030268</v>
      </c>
      <c r="T75" s="59">
        <f t="shared" si="88"/>
        <v>471.89239871617241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1.9173023938561047</v>
      </c>
      <c r="AA75" s="21">
        <f>EXP(-LN(2)/25)*AA74+(1-EXP(-LN(2)/25))/(LN(2)/25)*Calculateur!V75*Calculateur!X75*VLOOKUP('Données projet'!$B$9,Paramètres!$A$1:$I$89,3,0)*0.475*44/12</f>
        <v>6.4917543445817234</v>
      </c>
      <c r="AB75" s="21">
        <f>EXP(-LN(2)/2)*AB74+(1-EXP(-LN(2)/2))/(LN(2)/2)*V75*Y75*VLOOKUP('Données projet'!$B$9,Paramètres!$A$1:$I$89,3,0)*0.475*44/12</f>
        <v>4.9879984526983975E-6</v>
      </c>
      <c r="AC75" s="22">
        <f t="shared" si="57"/>
        <v>8.4090617264362812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141.22849894256314</v>
      </c>
      <c r="AO75" s="59">
        <f t="shared" si="90"/>
        <v>156.12101479343704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3.2015939584414848</v>
      </c>
      <c r="AV75" s="21">
        <f>EXP(-LN(2)/25)*AV74+(1-EXP(-LN(2)/25))/(LN(2)/25)*Calculateur!AQ75*Calculateur!AS75*VLOOKUP('Données projet'!$B$10,Paramètres!$A$1:$I$89,3,0)*0.475*44/12</f>
        <v>1.8795294578925426</v>
      </c>
      <c r="AW75" s="21">
        <f>EXP(-LN(2)/2)*AW74+(1-EXP(-LN(2)/2))/(LN(2)/2)*AQ75*AT75*VLOOKUP('Données projet'!$B$10,Paramètres!$A$1:$I$89,3,0)*0.475*44/12</f>
        <v>1.4104705000837392E-6</v>
      </c>
      <c r="AX75" s="21">
        <f t="shared" si="60"/>
        <v>5.0811248268045279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114.25511901730295</v>
      </c>
      <c r="BJ75" s="59">
        <f t="shared" si="92"/>
        <v>180.96261947642182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1.4879323487203708</v>
      </c>
      <c r="BQ75" s="21">
        <f>EXP(-LN(2)/25)*BQ74+(1-EXP(-LN(2)/25))/(LN(2)/25)*Calculateur!BL75*Calculateur!BN75*VLOOKUP('Données projet'!$B$11,Paramètres!$A$1:$I$89,3,0)*0.475*44/12</f>
        <v>5.5598134809759436</v>
      </c>
      <c r="BR75" s="21">
        <f>EXP(-LN(2)/2)*BR74+(1-EXP(-LN(2)/2))/(LN(2)/2)*BL75*BO75*VLOOKUP('Données projet'!$B$11,Paramètres!$A$1:$I$89,3,0)*0.475*44/12</f>
        <v>3.2577812853726438E-6</v>
      </c>
      <c r="BS75" s="22">
        <f t="shared" si="63"/>
        <v>7.0477490874775999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5.6843418860808015E-14</v>
      </c>
      <c r="BZ75" s="13">
        <f>BY75*VLOOKUP('Données projet'!$B$12,Paramètres!$A$1:$I$89,3,0)*VLOOKUP('Données projet'!$B$12,Paramètres!$A$1:$I$89,5,0)</f>
        <v>4.4337866711430253E-14</v>
      </c>
      <c r="CA75" s="13">
        <f t="shared" si="93"/>
        <v>7.3222115536967035E-13</v>
      </c>
      <c r="CB75" s="20">
        <f t="shared" si="64"/>
        <v>1.3525069634579169E-12</v>
      </c>
      <c r="CC75" s="59">
        <f t="shared" si="65"/>
        <v>293.33333333333468</v>
      </c>
      <c r="CD75" s="59">
        <f ca="1">AVERAGE(OFFSET($CC$3,0,0,'Données projet'!$E$12+1,1))-AVERAGE(OFFSET($H$3,0,0,'Données projet'!$E$12+1,1))</f>
        <v>216.95993967070063</v>
      </c>
      <c r="CE75" s="59">
        <f t="shared" si="94"/>
        <v>208.79744153433245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2.2489045453216736</v>
      </c>
      <c r="CL75" s="21">
        <f>EXP(-LN(2)/25)*CL74+(1-EXP(-LN(2)/25))/(LN(2)/25)*Calculateur!CG75*Calculateur!CI75*VLOOKUP('Données projet'!$B$12,Paramètres!$A$1:$I$89,3,0)*0.475*44/12</f>
        <v>2.0027454582077731</v>
      </c>
      <c r="CM75" s="21">
        <f>EXP(-LN(2)/2)*CM74+(1-EXP(-LN(2)/2))/(LN(2)/2)*CG75*CJ75*VLOOKUP('Données projet'!$B$12,Paramètres!$A$1:$I$89,3,0)*0.475*44/12</f>
        <v>5.8823030305076931E-7</v>
      </c>
      <c r="CN75" s="22">
        <f t="shared" si="66"/>
        <v>4.2516505917597494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5.6843418860808015E-14</v>
      </c>
      <c r="CU75" s="17">
        <f>CT75*VLOOKUP('Données projet'!$B$13,Paramètres!$A$1:$I$89,3,0)*VLOOKUP('Données projet'!$B$13,Paramètres!$A$1:$I$89,5,0)</f>
        <v>3.813056537183002E-14</v>
      </c>
      <c r="CV75" s="13">
        <f t="shared" si="95"/>
        <v>6.4086286045526829E-13</v>
      </c>
      <c r="CW75" s="20">
        <f t="shared" si="67"/>
        <v>1.1825802166488628E-12</v>
      </c>
      <c r="CX75" s="59">
        <f t="shared" si="68"/>
        <v>293.33333333333451</v>
      </c>
      <c r="CY75" s="59">
        <f ca="1">AVERAGE(OFFSET($CX$3,0,0,'Données projet'!$E$13+1,1))-AVERAGE(OFFSET($H$3,0,0,'Données projet'!$E$13+1,1))</f>
        <v>181.32837315090507</v>
      </c>
      <c r="CZ75" s="59">
        <f t="shared" si="96"/>
        <v>175.03267817980338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2.3838388180409718</v>
      </c>
      <c r="DG75" s="21">
        <f>EXP(-LN(2)/25)*DG74+(1-EXP(-LN(2)/25))/(LN(2)/25)*Calculateur!DB75*Calculateur!DD75*VLOOKUP('Données projet'!$B$13,Paramètres!$A$1:$I$89,3,0)*0.475*44/12</f>
        <v>2.1229101857002401</v>
      </c>
      <c r="DH75" s="21">
        <f>EXP(-LN(2)/2)*DH74+(1-EXP(-LN(2)/2))/(LN(2)/2)*DB75*DE75*VLOOKUP('Données projet'!$B$13,Paramètres!$A$1:$I$89,3,0)*0.475*44/12</f>
        <v>5.0587806062366139E-7</v>
      </c>
      <c r="DI75" s="22">
        <f t="shared" si="69"/>
        <v>4.5067495096192722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360.59999999999968</v>
      </c>
      <c r="DP75" s="17">
        <f>DO75*VLOOKUP('Données projet'!$B$14,Paramètres!$A$1:$I$89,3,0)*VLOOKUP('Données projet'!$B$14,Paramètres!$A$1:$I$89,5,0)</f>
        <v>286.89335999999975</v>
      </c>
      <c r="DQ75" s="13">
        <f t="shared" si="97"/>
        <v>68.421705584684744</v>
      </c>
      <c r="DR75" s="20">
        <f t="shared" si="70"/>
        <v>618.84040589332551</v>
      </c>
      <c r="DS75" s="59">
        <f t="shared" si="71"/>
        <v>912.17373922665888</v>
      </c>
      <c r="DT75" s="59">
        <f ca="1">AVERAGE(OFFSET($DS$3,0,0,'Données projet'!$E$14+1,1))-AVERAGE(OFFSET($H$3,0,0,'Données projet'!$E$14+1,1))</f>
        <v>325.72928944930294</v>
      </c>
      <c r="DU75" s="59">
        <f t="shared" si="98"/>
        <v>318.38876834819752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7.5365351701500547</v>
      </c>
      <c r="EB75" s="21">
        <f>EXP(-LN(2)/25)*EB74+(1-EXP(-LN(2)/25))/(LN(2)/25)*Calculateur!DW75*Calculateur!DY75*VLOOKUP('Données projet'!$B$14,Paramètres!$A$1:$I$89,3,0)*0.475*44/12</f>
        <v>6.4538317582536955</v>
      </c>
      <c r="EC75" s="21">
        <f>EXP(-LN(2)/2)*EC74+(1-EXP(-LN(2)/2))/(LN(2)/2)*DW75*DZ75*VLOOKUP('Données projet'!$B$14,Paramètres!$A$1:$I$89,3,0)*0.475*44/12</f>
        <v>5.6408505602283794E-6</v>
      </c>
      <c r="ED75" s="22">
        <f t="shared" si="72"/>
        <v>13.99037256925431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7.6</v>
      </c>
      <c r="EJ75" s="12">
        <f>IF('Données projet'!$A$192&gt;35,EJ74+EI75-ER74,IF(A75&lt;'Données projet'!$A$192,$EG$205^A75,IF(A75='Données projet'!$A$192,'Données projet'!$B$192,EJ74+EI75-ER74)))</f>
        <v>289.2</v>
      </c>
      <c r="EK75" s="17">
        <f>EJ75*VLOOKUP('Données projet'!$B$15,Paramètres!$A$1:$I$89,3,0)*VLOOKUP('Données projet'!$B$15,Paramètres!$A$1:$I$89,5,0)</f>
        <v>293.24880000000002</v>
      </c>
      <c r="EL75" s="13">
        <f t="shared" si="99"/>
        <v>69.759283249126327</v>
      </c>
      <c r="EM75" s="20">
        <f t="shared" si="73"/>
        <v>632.23907832556176</v>
      </c>
      <c r="EN75" s="59">
        <f t="shared" si="74"/>
        <v>925.57241165889513</v>
      </c>
      <c r="EO75" s="59">
        <f ca="1">AVERAGE(OFFSET($EN$3,0,0,'Données projet'!$E$15+1,1))-AVERAGE(OFFSET($H$3,0,0,'Données projet'!$E$15+1,1))</f>
        <v>384.50065773787549</v>
      </c>
      <c r="EP75" s="59">
        <f t="shared" si="100"/>
        <v>231.92898690465887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3.5651214111550118</v>
      </c>
      <c r="EW75" s="21">
        <f>EXP(-LN(2)/25)*EW74+(1-EXP(-LN(2)/25))/(LN(2)/25)*Calculateur!ER75*Calculateur!ET75*VLOOKUP('Données projet'!$B$15,Paramètres!$A$1:$I$89,3,0)*0.475*44/12</f>
        <v>3.2753061923220175</v>
      </c>
      <c r="EX75" s="21">
        <f>EXP(-LN(2)/2)*EX74+(1-EXP(-LN(2)/2))/(LN(2)/2)*ER75*EU75*VLOOKUP('Données projet'!$B$15,Paramètres!$A$1:$I$89,3,0)*0.475*44/12</f>
        <v>4.5608990628715292E-6</v>
      </c>
      <c r="EY75" s="22">
        <f t="shared" si="75"/>
        <v>6.8404321643760921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7.6</v>
      </c>
      <c r="FE75" s="12">
        <f>IF('Données projet'!$A$218&gt;35,FE74+FD75-FM74,IF(A75&lt;'Données projet'!$A$218,$FB$205^A75,IF(A75='Données projet'!$A$218,'Données projet'!$B$218,FE74+FD75-FM74)))</f>
        <v>289.2</v>
      </c>
      <c r="FF75" s="17">
        <f>FE75*VLOOKUP('Données projet'!$B$16,Paramètres!$A$1:$I$89,3,0)*VLOOKUP('Données projet'!$B$16,Paramètres!$A$1:$I$89,5,0)</f>
        <v>261.66816</v>
      </c>
      <c r="FG75" s="13">
        <f t="shared" si="101"/>
        <v>63.077829793082856</v>
      </c>
      <c r="FH75" s="20">
        <f t="shared" si="76"/>
        <v>565.5992655562859</v>
      </c>
      <c r="FI75" s="59">
        <f t="shared" si="77"/>
        <v>858.93259888961916</v>
      </c>
      <c r="FJ75" s="59">
        <f ca="1">AVERAGE(OFFSET($FI$3,0,0,'Données projet'!$E$16+1,1))-AVERAGE(OFFSET($H$3,0,0,'Données projet'!$E$16+1,1))</f>
        <v>326.46362829268969</v>
      </c>
      <c r="FK75" s="59">
        <f t="shared" si="102"/>
        <v>203.5274665601915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3.1811852591844691</v>
      </c>
      <c r="FR75" s="21">
        <f>EXP(-LN(2)/25)*FR74+(1-EXP(-LN(2)/25))/(LN(2)/25)*Calculateur!FM75*Calculateur!FO75*VLOOKUP('Données projet'!$B$16,Paramètres!$A$1:$I$89,3,0)*0.475*44/12</f>
        <v>2.922580910071952</v>
      </c>
      <c r="FS75" s="21">
        <f>EXP(-LN(2)/2)*FS74+(1-EXP(-LN(2)/2))/(LN(2)/2)*FM75*FP75*VLOOKUP('Données projet'!$B$16,Paramètres!$A$1:$I$89,3,0)*0.475*44/12</f>
        <v>4.0697253176392105E-6</v>
      </c>
      <c r="FT75" s="22">
        <f t="shared" si="78"/>
        <v>6.1037702389817383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7.6</v>
      </c>
      <c r="FZ75" s="12">
        <f>IF('Données projet'!$A$244&gt;35,FZ74+FY75-GH74,IF(A75&lt;'Données projet'!$A$244,$FW$205^A75,IF(A75='Données projet'!$A$244,'Données projet'!$B$244,FZ74+FY75-GH74)))</f>
        <v>289.2</v>
      </c>
      <c r="GA75" s="17">
        <f>FZ75*VLOOKUP('Données projet'!$B$17,Paramètres!$A$1:$I$89,3,0)*VLOOKUP('Données projet'!$B$17,Paramètres!$A$1:$I$89,5,0)</f>
        <v>279.71424000000002</v>
      </c>
      <c r="GB75" s="13">
        <f t="shared" si="103"/>
        <v>66.906615990158315</v>
      </c>
      <c r="GC75" s="20">
        <f t="shared" si="79"/>
        <v>603.69799084952581</v>
      </c>
      <c r="GD75" s="59">
        <f t="shared" si="80"/>
        <v>897.03132418285918</v>
      </c>
      <c r="GE75" s="59">
        <f ca="1">AVERAGE(OFFSET($GD$3,0,0,'Données projet'!$E$17+1,1))-AVERAGE(OFFSET($H$3,0,0,'Données projet'!$E$17+1,1))</f>
        <v>353.24082990916918</v>
      </c>
      <c r="GF75" s="59">
        <f t="shared" si="104"/>
        <v>219.76562717496353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3.4005773460247792</v>
      </c>
      <c r="GM75" s="21">
        <f>EXP(-LN(2)/25)*GM74+(1-EXP(-LN(2)/25))/(LN(2)/25)*Calculateur!GH75*Calculateur!GJ75*VLOOKUP('Données projet'!$B$17,Paramètres!$A$1:$I$89,3,0)*0.475*44/12</f>
        <v>3.1241382142148466</v>
      </c>
      <c r="GN75" s="21">
        <f>EXP(-LN(2)/2)*GN74+(1-EXP(-LN(2)/2))/(LN(2)/2)*GH75*GK75*VLOOKUP('Données projet'!$B$17,Paramètres!$A$1:$I$89,3,0)*0.475*44/12</f>
        <v>4.3503960292005365E-6</v>
      </c>
      <c r="GO75" s="21">
        <f t="shared" si="81"/>
        <v>6.524719910635655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378.17323480030268</v>
      </c>
      <c r="T76" s="59">
        <f t="shared" si="88"/>
        <v>471.89239871617241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1.8797052633515743</v>
      </c>
      <c r="AA76" s="21">
        <f>EXP(-LN(2)/25)*AA75+(1-EXP(-LN(2)/25))/(LN(2)/25)*Calculateur!V76*Calculateur!X76*VLOOKUP('Données projet'!$B$9,Paramètres!$A$1:$I$89,3,0)*0.475*44/12</f>
        <v>6.3142369806426126</v>
      </c>
      <c r="AB76" s="21">
        <f>EXP(-LN(2)/2)*AB75+(1-EXP(-LN(2)/2))/(LN(2)/2)*V76*Y76*VLOOKUP('Données projet'!$B$9,Paramètres!$A$1:$I$89,3,0)*0.475*44/12</f>
        <v>3.5270475304510435E-6</v>
      </c>
      <c r="AC76" s="22">
        <f t="shared" si="57"/>
        <v>8.193945771041717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141.22849894256314</v>
      </c>
      <c r="AO76" s="59">
        <f t="shared" si="90"/>
        <v>156.12101479343704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3.1388126536959411</v>
      </c>
      <c r="AV76" s="21">
        <f>EXP(-LN(2)/25)*AV75+(1-EXP(-LN(2)/25))/(LN(2)/25)*Calculateur!AQ76*Calculateur!AS76*VLOOKUP('Données projet'!$B$10,Paramètres!$A$1:$I$89,3,0)*0.475*44/12</f>
        <v>1.8281336260263126</v>
      </c>
      <c r="AW76" s="21">
        <f>EXP(-LN(2)/2)*AW75+(1-EXP(-LN(2)/2))/(LN(2)/2)*AQ76*AT76*VLOOKUP('Données projet'!$B$10,Paramètres!$A$1:$I$89,3,0)*0.475*44/12</f>
        <v>9.9735325527279281E-7</v>
      </c>
      <c r="AX76" s="21">
        <f t="shared" si="60"/>
        <v>4.9669472770755085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114.25511901730295</v>
      </c>
      <c r="BJ76" s="59">
        <f t="shared" si="92"/>
        <v>180.96261947642182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1.458754902911084</v>
      </c>
      <c r="BQ76" s="21">
        <f>EXP(-LN(2)/25)*BQ75+(1-EXP(-LN(2)/25))/(LN(2)/25)*Calculateur!BL76*Calculateur!BN76*VLOOKUP('Données projet'!$B$11,Paramètres!$A$1:$I$89,3,0)*0.475*44/12</f>
        <v>5.4077800889607728</v>
      </c>
      <c r="BR76" s="21">
        <f>EXP(-LN(2)/2)*BR75+(1-EXP(-LN(2)/2))/(LN(2)/2)*BL76*BO76*VLOOKUP('Données projet'!$B$11,Paramètres!$A$1:$I$89,3,0)*0.475*44/12</f>
        <v>2.3035992385096236E-6</v>
      </c>
      <c r="BS76" s="22">
        <f t="shared" si="63"/>
        <v>6.8665372954710957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5.6843418860808015E-14</v>
      </c>
      <c r="BZ76" s="13">
        <f>BY76*VLOOKUP('Données projet'!$B$12,Paramètres!$A$1:$I$89,3,0)*VLOOKUP('Données projet'!$B$12,Paramètres!$A$1:$I$89,5,0)</f>
        <v>4.4337866711430253E-14</v>
      </c>
      <c r="CA76" s="13">
        <f t="shared" si="93"/>
        <v>7.3222115536967035E-13</v>
      </c>
      <c r="CB76" s="20">
        <f t="shared" si="64"/>
        <v>1.3525069634579169E-12</v>
      </c>
      <c r="CC76" s="59">
        <f t="shared" si="65"/>
        <v>293.33333333333468</v>
      </c>
      <c r="CD76" s="59">
        <f ca="1">AVERAGE(OFFSET($CC$3,0,0,'Données projet'!$E$12+1,1))-AVERAGE(OFFSET($H$3,0,0,'Données projet'!$E$12+1,1))</f>
        <v>216.95993967070063</v>
      </c>
      <c r="CE76" s="59">
        <f t="shared" si="94"/>
        <v>208.79744153433245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2.2048048988842446</v>
      </c>
      <c r="CL76" s="21">
        <f>EXP(-LN(2)/25)*CL75+(1-EXP(-LN(2)/25))/(LN(2)/25)*Calculateur!CG76*Calculateur!CI76*VLOOKUP('Données projet'!$B$12,Paramètres!$A$1:$I$89,3,0)*0.475*44/12</f>
        <v>1.9479802783332751</v>
      </c>
      <c r="CM76" s="21">
        <f>EXP(-LN(2)/2)*CM75+(1-EXP(-LN(2)/2))/(LN(2)/2)*CG76*CJ76*VLOOKUP('Données projet'!$B$12,Paramètres!$A$1:$I$89,3,0)*0.475*44/12</f>
        <v>4.1594163618661688E-7</v>
      </c>
      <c r="CN76" s="22">
        <f t="shared" si="66"/>
        <v>4.1527855931591553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5.6843418860808015E-14</v>
      </c>
      <c r="CU76" s="17">
        <f>CT76*VLOOKUP('Données projet'!$B$13,Paramètres!$A$1:$I$89,3,0)*VLOOKUP('Données projet'!$B$13,Paramètres!$A$1:$I$89,5,0)</f>
        <v>3.813056537183002E-14</v>
      </c>
      <c r="CV76" s="13">
        <f t="shared" si="95"/>
        <v>6.4086286045526829E-13</v>
      </c>
      <c r="CW76" s="20">
        <f t="shared" si="67"/>
        <v>1.1825802166488628E-12</v>
      </c>
      <c r="CX76" s="59">
        <f t="shared" si="68"/>
        <v>293.33333333333451</v>
      </c>
      <c r="CY76" s="59">
        <f ca="1">AVERAGE(OFFSET($CX$3,0,0,'Données projet'!$E$13+1,1))-AVERAGE(OFFSET($H$3,0,0,'Données projet'!$E$13+1,1))</f>
        <v>181.32837315090507</v>
      </c>
      <c r="CZ76" s="59">
        <f t="shared" si="96"/>
        <v>175.03267817980338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2.3370931928172971</v>
      </c>
      <c r="DG76" s="21">
        <f>EXP(-LN(2)/25)*DG75+(1-EXP(-LN(2)/25))/(LN(2)/25)*Calculateur!DB76*Calculateur!DD76*VLOOKUP('Données projet'!$B$13,Paramètres!$A$1:$I$89,3,0)*0.475*44/12</f>
        <v>2.0648590950332726</v>
      </c>
      <c r="DH76" s="21">
        <f>EXP(-LN(2)/2)*DH75+(1-EXP(-LN(2)/2))/(LN(2)/2)*DB76*DE76*VLOOKUP('Données projet'!$B$13,Paramètres!$A$1:$I$89,3,0)*0.475*44/12</f>
        <v>3.5770980712049036E-7</v>
      </c>
      <c r="DI76" s="22">
        <f t="shared" si="69"/>
        <v>4.4019526455603772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365.39999999999969</v>
      </c>
      <c r="DP76" s="17">
        <f>DO76*VLOOKUP('Données projet'!$B$14,Paramètres!$A$1:$I$89,3,0)*VLOOKUP('Données projet'!$B$14,Paramètres!$A$1:$I$89,5,0)</f>
        <v>290.71223999999978</v>
      </c>
      <c r="DQ76" s="13">
        <f t="shared" si="97"/>
        <v>69.225842856510994</v>
      </c>
      <c r="DR76" s="20">
        <f t="shared" si="70"/>
        <v>626.89216097508961</v>
      </c>
      <c r="DS76" s="59">
        <f t="shared" si="71"/>
        <v>920.22549430842287</v>
      </c>
      <c r="DT76" s="59">
        <f ca="1">AVERAGE(OFFSET($DS$3,0,0,'Données projet'!$E$14+1,1))-AVERAGE(OFFSET($H$3,0,0,'Données projet'!$E$14+1,1))</f>
        <v>325.72928944930294</v>
      </c>
      <c r="DU76" s="59">
        <f t="shared" si="98"/>
        <v>318.38876834819752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7.3887483122959665</v>
      </c>
      <c r="EB76" s="21">
        <f>EXP(-LN(2)/25)*EB75+(1-EXP(-LN(2)/25))/(LN(2)/25)*Calculateur!DW76*Calculateur!DY76*VLOOKUP('Données projet'!$B$14,Paramètres!$A$1:$I$89,3,0)*0.475*44/12</f>
        <v>6.2773513894319866</v>
      </c>
      <c r="EC76" s="21">
        <f>EXP(-LN(2)/2)*EC75+(1-EXP(-LN(2)/2))/(LN(2)/2)*DW76*DZ76*VLOOKUP('Données projet'!$B$14,Paramètres!$A$1:$I$89,3,0)*0.475*44/12</f>
        <v>3.9886836827974226E-6</v>
      </c>
      <c r="ED76" s="22">
        <f t="shared" si="72"/>
        <v>13.666103690411635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7.6</v>
      </c>
      <c r="EJ76" s="12">
        <f>IF('Données projet'!$A$192&gt;35,EJ75+EI76-ER75,IF(A76&lt;'Données projet'!$A$192,$EG$205^A76,IF(A76='Données projet'!$A$192,'Données projet'!$B$192,EJ75+EI76-ER75)))</f>
        <v>296.8</v>
      </c>
      <c r="EK76" s="17">
        <f>EJ76*VLOOKUP('Données projet'!$B$15,Paramètres!$A$1:$I$89,3,0)*VLOOKUP('Données projet'!$B$15,Paramètres!$A$1:$I$89,5,0)</f>
        <v>300.95520000000005</v>
      </c>
      <c r="EL76" s="13">
        <f t="shared" si="99"/>
        <v>71.376673021759785</v>
      </c>
      <c r="EM76" s="20">
        <f t="shared" si="73"/>
        <v>648.4780121795651</v>
      </c>
      <c r="EN76" s="59">
        <f t="shared" si="74"/>
        <v>941.81134551289847</v>
      </c>
      <c r="EO76" s="59">
        <f ca="1">AVERAGE(OFFSET($EN$3,0,0,'Données projet'!$E$15+1,1))-AVERAGE(OFFSET($H$3,0,0,'Données projet'!$E$15+1,1))</f>
        <v>384.50065773787549</v>
      </c>
      <c r="EP76" s="59">
        <f t="shared" si="100"/>
        <v>231.92898690465887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3.4952115547916081</v>
      </c>
      <c r="EW76" s="21">
        <f>EXP(-LN(2)/25)*EW75+(1-EXP(-LN(2)/25))/(LN(2)/25)*Calculateur!ER76*Calculateur!ET76*VLOOKUP('Données projet'!$B$15,Paramètres!$A$1:$I$89,3,0)*0.475*44/12</f>
        <v>3.1857427722521052</v>
      </c>
      <c r="EX76" s="21">
        <f>EXP(-LN(2)/2)*EX75+(1-EXP(-LN(2)/2))/(LN(2)/2)*ER76*EU76*VLOOKUP('Données projet'!$B$15,Paramètres!$A$1:$I$89,3,0)*0.475*44/12</f>
        <v>3.2250426556638281E-6</v>
      </c>
      <c r="EY76" s="22">
        <f t="shared" si="75"/>
        <v>6.6809575520863689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7.6</v>
      </c>
      <c r="FE76" s="12">
        <f>IF('Données projet'!$A$218&gt;35,FE75+FD76-FM75,IF(A76&lt;'Données projet'!$A$218,$FB$205^A76,IF(A76='Données projet'!$A$218,'Données projet'!$B$218,FE75+FD76-FM75)))</f>
        <v>296.8</v>
      </c>
      <c r="FF76" s="17">
        <f>FE76*VLOOKUP('Données projet'!$B$16,Paramètres!$A$1:$I$89,3,0)*VLOOKUP('Données projet'!$B$16,Paramètres!$A$1:$I$89,5,0)</f>
        <v>268.54464000000002</v>
      </c>
      <c r="FG76" s="13">
        <f t="shared" si="101"/>
        <v>64.54030807605065</v>
      </c>
      <c r="FH76" s="20">
        <f t="shared" si="76"/>
        <v>580.12295123245474</v>
      </c>
      <c r="FI76" s="59">
        <f t="shared" si="77"/>
        <v>873.45628456578811</v>
      </c>
      <c r="FJ76" s="59">
        <f ca="1">AVERAGE(OFFSET($FI$3,0,0,'Données projet'!$E$16+1,1))-AVERAGE(OFFSET($H$3,0,0,'Données projet'!$E$16+1,1))</f>
        <v>326.46362829268969</v>
      </c>
      <c r="FK76" s="59">
        <f t="shared" si="102"/>
        <v>203.5274665601915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3.1188041565832778</v>
      </c>
      <c r="FR76" s="21">
        <f>EXP(-LN(2)/25)*FR75+(1-EXP(-LN(2)/25))/(LN(2)/25)*Calculateur!FM76*Calculateur!FO76*VLOOKUP('Données projet'!$B$16,Paramètres!$A$1:$I$89,3,0)*0.475*44/12</f>
        <v>2.8426627813941838</v>
      </c>
      <c r="FS76" s="21">
        <f>EXP(-LN(2)/2)*FS75+(1-EXP(-LN(2)/2))/(LN(2)/2)*FM76*FP76*VLOOKUP('Données projet'!$B$16,Paramètres!$A$1:$I$89,3,0)*0.475*44/12</f>
        <v>2.8777303696692618E-6</v>
      </c>
      <c r="FT76" s="22">
        <f t="shared" si="78"/>
        <v>5.9614698157078312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7.6</v>
      </c>
      <c r="FZ76" s="12">
        <f>IF('Données projet'!$A$244&gt;35,FZ75+FY76-GH75,IF(A76&lt;'Données projet'!$A$244,$FW$205^A76,IF(A76='Données projet'!$A$244,'Données projet'!$B$244,FZ75+FY76-GH75)))</f>
        <v>296.8</v>
      </c>
      <c r="GA76" s="17">
        <f>FZ76*VLOOKUP('Données projet'!$B$17,Paramètres!$A$1:$I$89,3,0)*VLOOKUP('Données projet'!$B$17,Paramètres!$A$1:$I$89,5,0)</f>
        <v>287.06496000000004</v>
      </c>
      <c r="GB76" s="13">
        <f t="shared" si="103"/>
        <v>68.457865822206315</v>
      </c>
      <c r="GC76" s="20">
        <f t="shared" si="79"/>
        <v>619.20225497367608</v>
      </c>
      <c r="GD76" s="59">
        <f t="shared" si="80"/>
        <v>912.53558830700945</v>
      </c>
      <c r="GE76" s="59">
        <f ca="1">AVERAGE(OFFSET($GD$3,0,0,'Données projet'!$E$17+1,1))-AVERAGE(OFFSET($H$3,0,0,'Données projet'!$E$17+1,1))</f>
        <v>353.24082990916918</v>
      </c>
      <c r="GF76" s="59">
        <f t="shared" si="104"/>
        <v>219.76562717496353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3.3338940984166094</v>
      </c>
      <c r="GM76" s="21">
        <f>EXP(-LN(2)/25)*GM75+(1-EXP(-LN(2)/25))/(LN(2)/25)*Calculateur!GH76*Calculateur!GJ76*VLOOKUP('Données projet'!$B$17,Paramètres!$A$1:$I$89,3,0)*0.475*44/12</f>
        <v>3.0387084904558535</v>
      </c>
      <c r="GN76" s="21">
        <f>EXP(-LN(2)/2)*GN75+(1-EXP(-LN(2)/2))/(LN(2)/2)*GH76*GK76*VLOOKUP('Données projet'!$B$17,Paramètres!$A$1:$I$89,3,0)*0.475*44/12</f>
        <v>3.076194533094729E-6</v>
      </c>
      <c r="GO76" s="21">
        <f t="shared" si="81"/>
        <v>6.3726056650669953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378.17323480030268</v>
      </c>
      <c r="T77" s="59">
        <f t="shared" si="88"/>
        <v>471.89239871617241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1.8428453896442525</v>
      </c>
      <c r="AA77" s="21">
        <f>EXP(-LN(2)/25)*AA76+(1-EXP(-LN(2)/25))/(LN(2)/25)*Calculateur!V77*Calculateur!X77*VLOOKUP('Données projet'!$B$9,Paramètres!$A$1:$I$89,3,0)*0.475*44/12</f>
        <v>6.1415738383556491</v>
      </c>
      <c r="AB77" s="21">
        <f>EXP(-LN(2)/2)*AB76+(1-EXP(-LN(2)/2))/(LN(2)/2)*V77*Y77*VLOOKUP('Données projet'!$B$9,Paramètres!$A$1:$I$89,3,0)*0.475*44/12</f>
        <v>2.4939992263491988E-6</v>
      </c>
      <c r="AC77" s="22">
        <f t="shared" si="57"/>
        <v>7.9844217219991283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141.22849894256314</v>
      </c>
      <c r="AO77" s="59">
        <f t="shared" si="90"/>
        <v>156.12101479343704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3.0772624520436427</v>
      </c>
      <c r="AV77" s="21">
        <f>EXP(-LN(2)/25)*AV76+(1-EXP(-LN(2)/25))/(LN(2)/25)*Calculateur!AQ77*Calculateur!AS77*VLOOKUP('Données projet'!$B$10,Paramètres!$A$1:$I$89,3,0)*0.475*44/12</f>
        <v>1.7781432158852539</v>
      </c>
      <c r="AW77" s="21">
        <f>EXP(-LN(2)/2)*AW76+(1-EXP(-LN(2)/2))/(LN(2)/2)*AQ77*AT77*VLOOKUP('Données projet'!$B$10,Paramètres!$A$1:$I$89,3,0)*0.475*44/12</f>
        <v>7.0523525004186959E-7</v>
      </c>
      <c r="AX77" s="21">
        <f t="shared" si="60"/>
        <v>4.8554063731641461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114.25511901730295</v>
      </c>
      <c r="BJ77" s="59">
        <f t="shared" si="92"/>
        <v>180.96261947642182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1.4301496090176327</v>
      </c>
      <c r="BQ77" s="21">
        <f>EXP(-LN(2)/25)*BQ76+(1-EXP(-LN(2)/25))/(LN(2)/25)*Calculateur!BL77*Calculateur!BN77*VLOOKUP('Données projet'!$B$11,Paramètres!$A$1:$I$89,3,0)*0.475*44/12</f>
        <v>5.2599040580453451</v>
      </c>
      <c r="BR77" s="21">
        <f>EXP(-LN(2)/2)*BR76+(1-EXP(-LN(2)/2))/(LN(2)/2)*BL77*BO77*VLOOKUP('Données projet'!$B$11,Paramètres!$A$1:$I$89,3,0)*0.475*44/12</f>
        <v>1.6288906426863219E-6</v>
      </c>
      <c r="BS77" s="22">
        <f t="shared" si="63"/>
        <v>6.6900552959536208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5.6843418860808015E-14</v>
      </c>
      <c r="BZ77" s="13">
        <f>BY77*VLOOKUP('Données projet'!$B$12,Paramètres!$A$1:$I$89,3,0)*VLOOKUP('Données projet'!$B$12,Paramètres!$A$1:$I$89,5,0)</f>
        <v>4.4337866711430253E-14</v>
      </c>
      <c r="CA77" s="13">
        <f t="shared" si="93"/>
        <v>7.3222115536967035E-13</v>
      </c>
      <c r="CB77" s="20">
        <f t="shared" si="64"/>
        <v>1.3525069634579169E-12</v>
      </c>
      <c r="CC77" s="59">
        <f t="shared" si="65"/>
        <v>293.33333333333468</v>
      </c>
      <c r="CD77" s="59">
        <f ca="1">AVERAGE(OFFSET($CC$3,0,0,'Données projet'!$E$12+1,1))-AVERAGE(OFFSET($H$3,0,0,'Données projet'!$E$12+1,1))</f>
        <v>216.95993967070063</v>
      </c>
      <c r="CE77" s="59">
        <f t="shared" si="94"/>
        <v>208.79744153433245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2.1615700196153251</v>
      </c>
      <c r="CL77" s="21">
        <f>EXP(-LN(2)/25)*CL76+(1-EXP(-LN(2)/25))/(LN(2)/25)*Calculateur!CG77*Calculateur!CI77*VLOOKUP('Données projet'!$B$12,Paramètres!$A$1:$I$89,3,0)*0.475*44/12</f>
        <v>1.8947126551824212</v>
      </c>
      <c r="CM77" s="21">
        <f>EXP(-LN(2)/2)*CM76+(1-EXP(-LN(2)/2))/(LN(2)/2)*CG77*CJ77*VLOOKUP('Données projet'!$B$12,Paramètres!$A$1:$I$89,3,0)*0.475*44/12</f>
        <v>2.9411515152538465E-7</v>
      </c>
      <c r="CN77" s="22">
        <f t="shared" si="66"/>
        <v>4.0562829689128979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5.6843418860808015E-14</v>
      </c>
      <c r="CU77" s="17">
        <f>CT77*VLOOKUP('Données projet'!$B$13,Paramètres!$A$1:$I$89,3,0)*VLOOKUP('Données projet'!$B$13,Paramètres!$A$1:$I$89,5,0)</f>
        <v>3.813056537183002E-14</v>
      </c>
      <c r="CV77" s="13">
        <f t="shared" si="95"/>
        <v>6.4086286045526829E-13</v>
      </c>
      <c r="CW77" s="20">
        <f t="shared" si="67"/>
        <v>1.1825802166488628E-12</v>
      </c>
      <c r="CX77" s="59">
        <f t="shared" si="68"/>
        <v>293.33333333333451</v>
      </c>
      <c r="CY77" s="59">
        <f ca="1">AVERAGE(OFFSET($CX$3,0,0,'Données projet'!$E$13+1,1))-AVERAGE(OFFSET($H$3,0,0,'Données projet'!$E$13+1,1))</f>
        <v>181.32837315090507</v>
      </c>
      <c r="CZ77" s="59">
        <f t="shared" si="96"/>
        <v>175.03267817980338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2.2912642207922427</v>
      </c>
      <c r="DG77" s="21">
        <f>EXP(-LN(2)/25)*DG76+(1-EXP(-LN(2)/25))/(LN(2)/25)*Calculateur!DB77*Calculateur!DD77*VLOOKUP('Données projet'!$B$13,Paramètres!$A$1:$I$89,3,0)*0.475*44/12</f>
        <v>2.0083954144933673</v>
      </c>
      <c r="DH77" s="21">
        <f>EXP(-LN(2)/2)*DH76+(1-EXP(-LN(2)/2))/(LN(2)/2)*DB77*DE77*VLOOKUP('Données projet'!$B$13,Paramètres!$A$1:$I$89,3,0)*0.475*44/12</f>
        <v>2.529390303118307E-7</v>
      </c>
      <c r="DI77" s="22">
        <f t="shared" si="69"/>
        <v>4.2996598882246406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370.1999999999997</v>
      </c>
      <c r="DP77" s="17">
        <f>DO77*VLOOKUP('Données projet'!$B$14,Paramètres!$A$1:$I$89,3,0)*VLOOKUP('Données projet'!$B$14,Paramètres!$A$1:$I$89,5,0)</f>
        <v>294.53111999999976</v>
      </c>
      <c r="DQ77" s="13">
        <f t="shared" si="97"/>
        <v>70.028751453157682</v>
      </c>
      <c r="DR77" s="20">
        <f t="shared" si="70"/>
        <v>634.94177611424914</v>
      </c>
      <c r="DS77" s="59">
        <f t="shared" si="71"/>
        <v>928.27510944758251</v>
      </c>
      <c r="DT77" s="59">
        <f ca="1">AVERAGE(OFFSET($DS$3,0,0,'Données projet'!$E$14+1,1))-AVERAGE(OFFSET($H$3,0,0,'Données projet'!$E$14+1,1))</f>
        <v>325.72928944930294</v>
      </c>
      <c r="DU77" s="59">
        <f t="shared" si="98"/>
        <v>318.38876834819752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7.2438594645833145</v>
      </c>
      <c r="EB77" s="21">
        <f>EXP(-LN(2)/25)*EB76+(1-EXP(-LN(2)/25))/(LN(2)/25)*Calculateur!DW77*Calculateur!DY77*VLOOKUP('Données projet'!$B$14,Paramètres!$A$1:$I$89,3,0)*0.475*44/12</f>
        <v>6.105696885576406</v>
      </c>
      <c r="EC77" s="21">
        <f>EXP(-LN(2)/2)*EC76+(1-EXP(-LN(2)/2))/(LN(2)/2)*DW77*DZ77*VLOOKUP('Données projet'!$B$14,Paramètres!$A$1:$I$89,3,0)*0.475*44/12</f>
        <v>2.8204252801141897E-6</v>
      </c>
      <c r="ED77" s="22">
        <f t="shared" si="72"/>
        <v>13.349559170585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7.6</v>
      </c>
      <c r="EJ77" s="12">
        <f>IF('Données projet'!$A$192&gt;35,EJ76+EI77-ER76,IF(A77&lt;'Données projet'!$A$192,$EG$205^A77,IF(A77='Données projet'!$A$192,'Données projet'!$B$192,EJ76+EI77-ER76)))</f>
        <v>304.40000000000003</v>
      </c>
      <c r="EK77" s="17">
        <f>EJ77*VLOOKUP('Données projet'!$B$15,Paramètres!$A$1:$I$89,3,0)*VLOOKUP('Données projet'!$B$15,Paramètres!$A$1:$I$89,5,0)</f>
        <v>308.66160000000008</v>
      </c>
      <c r="EL77" s="13">
        <f t="shared" si="99"/>
        <v>72.98924863505313</v>
      </c>
      <c r="EM77" s="20">
        <f t="shared" si="73"/>
        <v>664.70856137271755</v>
      </c>
      <c r="EN77" s="59">
        <f t="shared" si="74"/>
        <v>958.04189470605093</v>
      </c>
      <c r="EO77" s="59">
        <f ca="1">AVERAGE(OFFSET($EN$3,0,0,'Données projet'!$E$15+1,1))-AVERAGE(OFFSET($H$3,0,0,'Données projet'!$E$15+1,1))</f>
        <v>384.50065773787549</v>
      </c>
      <c r="EP77" s="59">
        <f t="shared" si="100"/>
        <v>231.92898690465887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3.4266725880706885</v>
      </c>
      <c r="EW77" s="21">
        <f>EXP(-LN(2)/25)*EW76+(1-EXP(-LN(2)/25))/(LN(2)/25)*Calculateur!ER77*Calculateur!ET77*VLOOKUP('Données projet'!$B$15,Paramètres!$A$1:$I$89,3,0)*0.475*44/12</f>
        <v>3.0986284686139403</v>
      </c>
      <c r="EX77" s="21">
        <f>EXP(-LN(2)/2)*EX76+(1-EXP(-LN(2)/2))/(LN(2)/2)*ER77*EU77*VLOOKUP('Données projet'!$B$15,Paramètres!$A$1:$I$89,3,0)*0.475*44/12</f>
        <v>2.2804495314357646E-6</v>
      </c>
      <c r="EY77" s="22">
        <f t="shared" si="75"/>
        <v>6.5253033371341607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7.6</v>
      </c>
      <c r="FE77" s="12">
        <f>IF('Données projet'!$A$218&gt;35,FE76+FD77-FM76,IF(A77&lt;'Données projet'!$A$218,$FB$205^A77,IF(A77='Données projet'!$A$218,'Données projet'!$B$218,FE76+FD77-FM76)))</f>
        <v>304.40000000000003</v>
      </c>
      <c r="FF77" s="17">
        <f>FE77*VLOOKUP('Données projet'!$B$16,Paramètres!$A$1:$I$89,3,0)*VLOOKUP('Données projet'!$B$16,Paramètres!$A$1:$I$89,5,0)</f>
        <v>275.42112000000003</v>
      </c>
      <c r="FG77" s="13">
        <f t="shared" si="101"/>
        <v>65.998433293601067</v>
      </c>
      <c r="FH77" s="20">
        <f t="shared" si="76"/>
        <v>594.63905531968851</v>
      </c>
      <c r="FI77" s="59">
        <f t="shared" si="77"/>
        <v>887.97238865302188</v>
      </c>
      <c r="FJ77" s="59">
        <f ca="1">AVERAGE(OFFSET($FI$3,0,0,'Données projet'!$E$16+1,1))-AVERAGE(OFFSET($H$3,0,0,'Données projet'!$E$16+1,1))</f>
        <v>326.46362829268969</v>
      </c>
      <c r="FK77" s="59">
        <f t="shared" si="102"/>
        <v>203.5274665601915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3.0576463093553805</v>
      </c>
      <c r="FR77" s="21">
        <f>EXP(-LN(2)/25)*FR76+(1-EXP(-LN(2)/25))/(LN(2)/25)*Calculateur!FM77*Calculateur!FO77*VLOOKUP('Données projet'!$B$16,Paramètres!$A$1:$I$89,3,0)*0.475*44/12</f>
        <v>2.7649300181478211</v>
      </c>
      <c r="FS77" s="21">
        <f>EXP(-LN(2)/2)*FS76+(1-EXP(-LN(2)/2))/(LN(2)/2)*FM77*FP77*VLOOKUP('Données projet'!$B$16,Paramètres!$A$1:$I$89,3,0)*0.475*44/12</f>
        <v>2.0348626588196052E-6</v>
      </c>
      <c r="FT77" s="22">
        <f t="shared" si="78"/>
        <v>5.82257836236586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7.6</v>
      </c>
      <c r="FZ77" s="12">
        <f>IF('Données projet'!$A$244&gt;35,FZ76+FY77-GH76,IF(A77&lt;'Données projet'!$A$244,$FW$205^A77,IF(A77='Données projet'!$A$244,'Données projet'!$B$244,FZ76+FY77-GH76)))</f>
        <v>304.40000000000003</v>
      </c>
      <c r="GA77" s="17">
        <f>FZ77*VLOOKUP('Données projet'!$B$17,Paramètres!$A$1:$I$89,3,0)*VLOOKUP('Données projet'!$B$17,Paramètres!$A$1:$I$89,5,0)</f>
        <v>294.41568000000001</v>
      </c>
      <c r="GB77" s="13">
        <f t="shared" si="103"/>
        <v>70.004498360393455</v>
      </c>
      <c r="GC77" s="20">
        <f t="shared" si="79"/>
        <v>634.69847731101868</v>
      </c>
      <c r="GD77" s="59">
        <f t="shared" si="80"/>
        <v>928.03181064435194</v>
      </c>
      <c r="GE77" s="59">
        <f ca="1">AVERAGE(OFFSET($GD$3,0,0,'Données projet'!$E$17+1,1))-AVERAGE(OFFSET($H$3,0,0,'Données projet'!$E$17+1,1))</f>
        <v>353.24082990916918</v>
      </c>
      <c r="GF77" s="59">
        <f t="shared" si="104"/>
        <v>219.76562717496353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3.2685184686212709</v>
      </c>
      <c r="GM77" s="21">
        <f>EXP(-LN(2)/25)*GM76+(1-EXP(-LN(2)/25))/(LN(2)/25)*Calculateur!GH77*Calculateur!GJ77*VLOOKUP('Données projet'!$B$17,Paramètres!$A$1:$I$89,3,0)*0.475*44/12</f>
        <v>2.9556148469856036</v>
      </c>
      <c r="GN77" s="21">
        <f>EXP(-LN(2)/2)*GN76+(1-EXP(-LN(2)/2))/(LN(2)/2)*GH77*GK77*VLOOKUP('Données projet'!$B$17,Paramètres!$A$1:$I$89,3,0)*0.475*44/12</f>
        <v>2.1751980146002683E-6</v>
      </c>
      <c r="GO77" s="21">
        <f t="shared" si="81"/>
        <v>6.2241354908048887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378.17323480030268</v>
      </c>
      <c r="T78" s="59">
        <f t="shared" si="88"/>
        <v>471.89239871617241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1.8067083155780281</v>
      </c>
      <c r="AA78" s="21">
        <f>EXP(-LN(2)/25)*AA77+(1-EXP(-LN(2)/25))/(LN(2)/25)*Calculateur!V78*Calculateur!X78*VLOOKUP('Données projet'!$B$9,Paramètres!$A$1:$I$89,3,0)*0.475*44/12</f>
        <v>5.9736321787744826</v>
      </c>
      <c r="AB78" s="21">
        <f>EXP(-LN(2)/2)*AB77+(1-EXP(-LN(2)/2))/(LN(2)/2)*V78*Y78*VLOOKUP('Données projet'!$B$9,Paramètres!$A$1:$I$89,3,0)*0.475*44/12</f>
        <v>1.7635237652255217E-6</v>
      </c>
      <c r="AC78" s="22">
        <f t="shared" si="57"/>
        <v>7.780342257876276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141.22849894256314</v>
      </c>
      <c r="AO78" s="59">
        <f t="shared" si="90"/>
        <v>156.12101479343704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3.0169192123038298</v>
      </c>
      <c r="AV78" s="21">
        <f>EXP(-LN(2)/25)*AV77+(1-EXP(-LN(2)/25))/(LN(2)/25)*Calculateur!AQ78*Calculateur!AS78*VLOOKUP('Données projet'!$B$10,Paramètres!$A$1:$I$89,3,0)*0.475*44/12</f>
        <v>1.7295197961383839</v>
      </c>
      <c r="AW78" s="21">
        <f>EXP(-LN(2)/2)*AW77+(1-EXP(-LN(2)/2))/(LN(2)/2)*AQ78*AT78*VLOOKUP('Données projet'!$B$10,Paramètres!$A$1:$I$89,3,0)*0.475*44/12</f>
        <v>4.986766276363964E-7</v>
      </c>
      <c r="AX78" s="21">
        <f t="shared" si="60"/>
        <v>4.7464395071188417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114.25511901730295</v>
      </c>
      <c r="BJ78" s="59">
        <f t="shared" si="92"/>
        <v>180.96261947642182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1.4021052474899254</v>
      </c>
      <c r="BQ78" s="21">
        <f>EXP(-LN(2)/25)*BQ77+(1-EXP(-LN(2)/25))/(LN(2)/25)*Calculateur!BL78*Calculateur!BN78*VLOOKUP('Données projet'!$B$11,Paramètres!$A$1:$I$89,3,0)*0.475*44/12</f>
        <v>5.1160717049717626</v>
      </c>
      <c r="BR78" s="21">
        <f>EXP(-LN(2)/2)*BR77+(1-EXP(-LN(2)/2))/(LN(2)/2)*BL78*BO78*VLOOKUP('Données projet'!$B$11,Paramètres!$A$1:$I$89,3,0)*0.475*44/12</f>
        <v>1.1517996192548118E-6</v>
      </c>
      <c r="BS78" s="22">
        <f t="shared" si="63"/>
        <v>6.5181781042613069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5.6843418860808015E-14</v>
      </c>
      <c r="BZ78" s="13">
        <f>BY78*VLOOKUP('Données projet'!$B$12,Paramètres!$A$1:$I$89,3,0)*VLOOKUP('Données projet'!$B$12,Paramètres!$A$1:$I$89,5,0)</f>
        <v>4.4337866711430253E-14</v>
      </c>
      <c r="CA78" s="13">
        <f t="shared" si="93"/>
        <v>7.3222115536967035E-13</v>
      </c>
      <c r="CB78" s="20">
        <f t="shared" si="64"/>
        <v>1.3525069634579169E-12</v>
      </c>
      <c r="CC78" s="59">
        <f t="shared" si="65"/>
        <v>293.33333333333468</v>
      </c>
      <c r="CD78" s="59">
        <f ca="1">AVERAGE(OFFSET($CC$3,0,0,'Données projet'!$E$12+1,1))-AVERAGE(OFFSET($H$3,0,0,'Données projet'!$E$12+1,1))</f>
        <v>216.95993967070063</v>
      </c>
      <c r="CE78" s="59">
        <f t="shared" si="94"/>
        <v>208.79744153433245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2.1191829499581964</v>
      </c>
      <c r="CL78" s="21">
        <f>EXP(-LN(2)/25)*CL77+(1-EXP(-LN(2)/25))/(LN(2)/25)*Calculateur!CG78*Calculateur!CI78*VLOOKUP('Données projet'!$B$12,Paramètres!$A$1:$I$89,3,0)*0.475*44/12</f>
        <v>1.8429016379878498</v>
      </c>
      <c r="CM78" s="21">
        <f>EXP(-LN(2)/2)*CM77+(1-EXP(-LN(2)/2))/(LN(2)/2)*CG78*CJ78*VLOOKUP('Données projet'!$B$12,Paramètres!$A$1:$I$89,3,0)*0.475*44/12</f>
        <v>2.0797081809330844E-7</v>
      </c>
      <c r="CN78" s="22">
        <f t="shared" si="66"/>
        <v>3.9620847959168644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5.6843418860808015E-14</v>
      </c>
      <c r="CU78" s="17">
        <f>CT78*VLOOKUP('Données projet'!$B$13,Paramètres!$A$1:$I$89,3,0)*VLOOKUP('Données projet'!$B$13,Paramètres!$A$1:$I$89,5,0)</f>
        <v>3.813056537183002E-14</v>
      </c>
      <c r="CV78" s="13">
        <f t="shared" si="95"/>
        <v>6.4086286045526829E-13</v>
      </c>
      <c r="CW78" s="20">
        <f t="shared" si="67"/>
        <v>1.1825802166488628E-12</v>
      </c>
      <c r="CX78" s="59">
        <f t="shared" si="68"/>
        <v>293.33333333333451</v>
      </c>
      <c r="CY78" s="59">
        <f ca="1">AVERAGE(OFFSET($CX$3,0,0,'Données projet'!$E$13+1,1))-AVERAGE(OFFSET($H$3,0,0,'Données projet'!$E$13+1,1))</f>
        <v>181.32837315090507</v>
      </c>
      <c r="CZ78" s="59">
        <f t="shared" si="96"/>
        <v>175.03267817980338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2.2463339269556863</v>
      </c>
      <c r="DG78" s="21">
        <f>EXP(-LN(2)/25)*DG77+(1-EXP(-LN(2)/25))/(LN(2)/25)*Calculateur!DB78*Calculateur!DD78*VLOOKUP('Données projet'!$B$13,Paramètres!$A$1:$I$89,3,0)*0.475*44/12</f>
        <v>1.9534757362671216</v>
      </c>
      <c r="DH78" s="21">
        <f>EXP(-LN(2)/2)*DH77+(1-EXP(-LN(2)/2))/(LN(2)/2)*DB78*DE78*VLOOKUP('Données projet'!$B$13,Paramètres!$A$1:$I$89,3,0)*0.475*44/12</f>
        <v>1.7885490356024518E-7</v>
      </c>
      <c r="DI78" s="22">
        <f t="shared" si="69"/>
        <v>4.1998098420777117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375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374.99999999999972</v>
      </c>
      <c r="DP78" s="17">
        <f>DO78*VLOOKUP('Données projet'!$B$14,Paramètres!$A$1:$I$89,3,0)*VLOOKUP('Données projet'!$B$14,Paramètres!$A$1:$I$89,5,0)</f>
        <v>298.3499999999998</v>
      </c>
      <c r="DQ78" s="13">
        <f t="shared" si="97"/>
        <v>70.83044914753448</v>
      </c>
      <c r="DR78" s="20">
        <f t="shared" si="70"/>
        <v>642.98928226528881</v>
      </c>
      <c r="DS78" s="59">
        <f t="shared" si="71"/>
        <v>936.32261559862218</v>
      </c>
      <c r="DT78" s="59">
        <f ca="1">AVERAGE(OFFSET($DS$3,0,0,'Données projet'!$E$14+1,1))-AVERAGE(OFFSET($H$3,0,0,'Données projet'!$E$14+1,1))</f>
        <v>325.72928944930294</v>
      </c>
      <c r="DU78" s="59">
        <f t="shared" si="98"/>
        <v>318.38876834819752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7.1018117988008367</v>
      </c>
      <c r="EB78" s="21">
        <f>EXP(-LN(2)/25)*EB77+(1-EXP(-LN(2)/25))/(LN(2)/25)*Calculateur!DW78*Calculateur!DY78*VLOOKUP('Données projet'!$B$14,Paramètres!$A$1:$I$89,3,0)*0.475*44/12</f>
        <v>5.9387362831556745</v>
      </c>
      <c r="EC78" s="21">
        <f>EXP(-LN(2)/2)*EC77+(1-EXP(-LN(2)/2))/(LN(2)/2)*DW78*DZ78*VLOOKUP('Données projet'!$B$14,Paramètres!$A$1:$I$89,3,0)*0.475*44/12</f>
        <v>1.9943418413987113E-6</v>
      </c>
      <c r="ED78" s="22">
        <f t="shared" si="72"/>
        <v>13.040550076298354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312</v>
      </c>
      <c r="EH78" s="12">
        <f>VLOOKUP(A78,'Données projet'!$A$191:$I$211,9,0)</f>
        <v>7.6</v>
      </c>
      <c r="EI78" s="12">
        <f t="array" ref="EI78">INDEX(EH:EH,MIN(IF(ISNUMBER(EH78:EH274),ROW(EH78:EH274),"")))</f>
        <v>7.6</v>
      </c>
      <c r="EJ78" s="12">
        <f>IF('Données projet'!$A$192&gt;35,EJ77+EI78-ER77,IF(A78&lt;'Données projet'!$A$192,$EG$205^A78,IF(A78='Données projet'!$A$192,'Données projet'!$B$192,EJ77+EI78-ER77)))</f>
        <v>312.00000000000006</v>
      </c>
      <c r="EK78" s="17">
        <f>EJ78*VLOOKUP('Données projet'!$B$15,Paramètres!$A$1:$I$89,3,0)*VLOOKUP('Données projet'!$B$15,Paramètres!$A$1:$I$89,5,0)</f>
        <v>316.36800000000005</v>
      </c>
      <c r="EL78" s="13">
        <f t="shared" si="99"/>
        <v>74.597144109003438</v>
      </c>
      <c r="EM78" s="20">
        <f t="shared" si="73"/>
        <v>680.93095932318113</v>
      </c>
      <c r="EN78" s="59">
        <f t="shared" si="74"/>
        <v>974.2642926565145</v>
      </c>
      <c r="EO78" s="59">
        <f ca="1">AVERAGE(OFFSET($EN$3,0,0,'Données projet'!$E$15+1,1))-AVERAGE(OFFSET($H$3,0,0,'Données projet'!$E$15+1,1))</f>
        <v>384.50065773787549</v>
      </c>
      <c r="EP78" s="59">
        <f t="shared" si="100"/>
        <v>231.92898690465887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28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3.3594776286825243</v>
      </c>
      <c r="EW78" s="21">
        <f>EXP(-LN(2)/25)*EW77+(1-EXP(-LN(2)/25))/(LN(2)/25)*Calculateur!ER78*Calculateur!ET78*VLOOKUP('Données projet'!$B$15,Paramètres!$A$1:$I$89,3,0)*0.475*44/12</f>
        <v>3.013896310189903</v>
      </c>
      <c r="EX78" s="21">
        <f>EXP(-LN(2)/2)*EX77+(1-EXP(-LN(2)/2))/(LN(2)/2)*ER78*EU78*VLOOKUP('Données projet'!$B$15,Paramètres!$A$1:$I$89,3,0)*0.475*44/12</f>
        <v>1.612521327831914E-6</v>
      </c>
      <c r="EY78" s="22">
        <f t="shared" si="75"/>
        <v>6.3733755513937558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312</v>
      </c>
      <c r="FC78" s="12">
        <f>VLOOKUP(A78,'Données projet'!$A$217:$I$237,9,0)</f>
        <v>7.6</v>
      </c>
      <c r="FD78" s="12">
        <f t="array" ref="FD78">INDEX(FC:FC,MIN(IF(ISNUMBER(FC78:FC274),ROW(FC78:FC274),"")))</f>
        <v>7.6</v>
      </c>
      <c r="FE78" s="12">
        <f>IF('Données projet'!$A$218&gt;35,FE77+FD78-FM77,IF(A78&lt;'Données projet'!$A$218,$FB$205^A78,IF(A78='Données projet'!$A$218,'Données projet'!$B$218,FE77+FD78-FM77)))</f>
        <v>312.00000000000006</v>
      </c>
      <c r="FF78" s="17">
        <f>FE78*VLOOKUP('Données projet'!$B$16,Paramètres!$A$1:$I$89,3,0)*VLOOKUP('Données projet'!$B$16,Paramètres!$A$1:$I$89,5,0)</f>
        <v>282.29760000000005</v>
      </c>
      <c r="FG78" s="13">
        <f t="shared" si="101"/>
        <v>67.452326629470178</v>
      </c>
      <c r="FH78" s="20">
        <f t="shared" si="76"/>
        <v>609.14778887966054</v>
      </c>
      <c r="FI78" s="59">
        <f t="shared" si="77"/>
        <v>902.4811222129938</v>
      </c>
      <c r="FJ78" s="59">
        <f ca="1">AVERAGE(OFFSET($FI$3,0,0,'Données projet'!$E$16+1,1))-AVERAGE(OFFSET($H$3,0,0,'Données projet'!$E$16+1,1))</f>
        <v>326.46362829268969</v>
      </c>
      <c r="FK78" s="59">
        <f t="shared" si="102"/>
        <v>203.5274665601915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28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2.9976877302090186</v>
      </c>
      <c r="FR78" s="21">
        <f>EXP(-LN(2)/25)*FR77+(1-EXP(-LN(2)/25))/(LN(2)/25)*Calculateur!FM78*Calculateur!FO78*VLOOKUP('Données projet'!$B$16,Paramètres!$A$1:$I$89,3,0)*0.475*44/12</f>
        <v>2.6893228614002185</v>
      </c>
      <c r="FS78" s="21">
        <f>EXP(-LN(2)/2)*FS77+(1-EXP(-LN(2)/2))/(LN(2)/2)*FM78*FP78*VLOOKUP('Données projet'!$B$16,Paramètres!$A$1:$I$89,3,0)*0.475*44/12</f>
        <v>1.4388651848346309E-6</v>
      </c>
      <c r="FT78" s="22">
        <f t="shared" si="78"/>
        <v>5.6870120304744223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312</v>
      </c>
      <c r="FX78" s="12">
        <f>VLOOKUP(A78,'Données projet'!$A$243:$I$263,9,0)</f>
        <v>7.6</v>
      </c>
      <c r="FY78" s="12">
        <f t="array" ref="FY78">INDEX(FX:FX,MIN(IF(ISNUMBER(FX78:FX274),ROW(FX78:FX274),"")))</f>
        <v>7.6</v>
      </c>
      <c r="FZ78" s="12">
        <f>IF('Données projet'!$A$244&gt;35,FZ77+FY78-GH77,IF(A78&lt;'Données projet'!$A$244,$FW$205^A78,IF(A78='Données projet'!$A$244,'Données projet'!$B$244,FZ77+FY78-GH77)))</f>
        <v>312.00000000000006</v>
      </c>
      <c r="GA78" s="17">
        <f>FZ78*VLOOKUP('Données projet'!$B$17,Paramètres!$A$1:$I$89,3,0)*VLOOKUP('Données projet'!$B$17,Paramètres!$A$1:$I$89,5,0)</f>
        <v>301.76640000000003</v>
      </c>
      <c r="GB78" s="13">
        <f t="shared" si="103"/>
        <v>71.546642144235364</v>
      </c>
      <c r="GC78" s="20">
        <f t="shared" si="79"/>
        <v>650.18688173454336</v>
      </c>
      <c r="GD78" s="59">
        <f t="shared" si="80"/>
        <v>943.52021506787673</v>
      </c>
      <c r="GE78" s="59">
        <f ca="1">AVERAGE(OFFSET($GD$3,0,0,'Données projet'!$E$17+1,1))-AVERAGE(OFFSET($H$3,0,0,'Données projet'!$E$17+1,1))</f>
        <v>353.24082990916918</v>
      </c>
      <c r="GF78" s="59">
        <f t="shared" si="104"/>
        <v>219.76562717496353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28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3.2044248150510222</v>
      </c>
      <c r="GM78" s="21">
        <f>EXP(-LN(2)/25)*GM77+(1-EXP(-LN(2)/25))/(LN(2)/25)*Calculateur!GH78*Calculateur!GJ78*VLOOKUP('Données projet'!$B$17,Paramètres!$A$1:$I$89,3,0)*0.475*44/12</f>
        <v>2.8747934035657527</v>
      </c>
      <c r="GN78" s="21">
        <f>EXP(-LN(2)/2)*GN77+(1-EXP(-LN(2)/2))/(LN(2)/2)*GH78*GK78*VLOOKUP('Données projet'!$B$17,Paramètres!$A$1:$I$89,3,0)*0.475*44/12</f>
        <v>1.5380972665473645E-6</v>
      </c>
      <c r="GO78" s="21">
        <f t="shared" si="81"/>
        <v>6.0792197567140418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378.17323480030268</v>
      </c>
      <c r="T79" s="59">
        <f t="shared" si="88"/>
        <v>471.89239871617241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1.7712798674928036</v>
      </c>
      <c r="AA79" s="21">
        <f>EXP(-LN(2)/25)*AA78+(1-EXP(-LN(2)/25))/(LN(2)/25)*Calculateur!V79*Calculateur!X79*VLOOKUP('Données projet'!$B$9,Paramètres!$A$1:$I$89,3,0)*0.475*44/12</f>
        <v>5.8102828927062307</v>
      </c>
      <c r="AB79" s="21">
        <f>EXP(-LN(2)/2)*AB78+(1-EXP(-LN(2)/2))/(LN(2)/2)*V79*Y79*VLOOKUP('Données projet'!$B$9,Paramètres!$A$1:$I$89,3,0)*0.475*44/12</f>
        <v>1.2469996131745994E-6</v>
      </c>
      <c r="AC79" s="22">
        <f t="shared" si="57"/>
        <v>7.5815640071986472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141.22849894256314</v>
      </c>
      <c r="AO79" s="59">
        <f t="shared" si="90"/>
        <v>156.12101479343704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2.9577592666895725</v>
      </c>
      <c r="AV79" s="21">
        <f>EXP(-LN(2)/25)*AV78+(1-EXP(-LN(2)/25))/(LN(2)/25)*Calculateur!AQ79*Calculateur!AS79*VLOOKUP('Données projet'!$B$10,Paramètres!$A$1:$I$89,3,0)*0.475*44/12</f>
        <v>1.6822259863614866</v>
      </c>
      <c r="AW79" s="21">
        <f>EXP(-LN(2)/2)*AW78+(1-EXP(-LN(2)/2))/(LN(2)/2)*AQ79*AT79*VLOOKUP('Données projet'!$B$10,Paramètres!$A$1:$I$89,3,0)*0.475*44/12</f>
        <v>3.5261762502093479E-7</v>
      </c>
      <c r="AX79" s="21">
        <f t="shared" si="60"/>
        <v>4.6399856056686835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114.25511901730295</v>
      </c>
      <c r="BJ79" s="59">
        <f t="shared" si="92"/>
        <v>180.96261947642182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1.374610818786405</v>
      </c>
      <c r="BQ79" s="21">
        <f>EXP(-LN(2)/25)*BQ78+(1-EXP(-LN(2)/25))/(LN(2)/25)*Calculateur!BL79*Calculateur!BN79*VLOOKUP('Données projet'!$B$11,Paramètres!$A$1:$I$89,3,0)*0.475*44/12</f>
        <v>4.9761724551567914</v>
      </c>
      <c r="BR79" s="21">
        <f>EXP(-LN(2)/2)*BR78+(1-EXP(-LN(2)/2))/(LN(2)/2)*BL79*BO79*VLOOKUP('Données projet'!$B$11,Paramètres!$A$1:$I$89,3,0)*0.475*44/12</f>
        <v>8.1444532134316096E-7</v>
      </c>
      <c r="BS79" s="22">
        <f t="shared" si="63"/>
        <v>6.3507840883885178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5.6843418860808015E-14</v>
      </c>
      <c r="BZ79" s="13">
        <f>BY79*VLOOKUP('Données projet'!$B$12,Paramètres!$A$1:$I$89,3,0)*VLOOKUP('Données projet'!$B$12,Paramètres!$A$1:$I$89,5,0)</f>
        <v>4.4337866711430253E-14</v>
      </c>
      <c r="CA79" s="13">
        <f t="shared" si="93"/>
        <v>7.3222115536967035E-13</v>
      </c>
      <c r="CB79" s="20">
        <f t="shared" si="64"/>
        <v>1.3525069634579169E-12</v>
      </c>
      <c r="CC79" s="59">
        <f t="shared" si="65"/>
        <v>293.33333333333468</v>
      </c>
      <c r="CD79" s="59">
        <f ca="1">AVERAGE(OFFSET($CC$3,0,0,'Données projet'!$E$12+1,1))-AVERAGE(OFFSET($H$3,0,0,'Données projet'!$E$12+1,1))</f>
        <v>216.95993967070063</v>
      </c>
      <c r="CE79" s="59">
        <f t="shared" si="94"/>
        <v>208.79744153433245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2.0776270648834845</v>
      </c>
      <c r="CL79" s="21">
        <f>EXP(-LN(2)/25)*CL78+(1-EXP(-LN(2)/25))/(LN(2)/25)*Calculateur!CG79*Calculateur!CI79*VLOOKUP('Données projet'!$B$12,Paramètres!$A$1:$I$89,3,0)*0.475*44/12</f>
        <v>1.7925073957830868</v>
      </c>
      <c r="CM79" s="21">
        <f>EXP(-LN(2)/2)*CM78+(1-EXP(-LN(2)/2))/(LN(2)/2)*CG79*CJ79*VLOOKUP('Données projet'!$B$12,Paramètres!$A$1:$I$89,3,0)*0.475*44/12</f>
        <v>1.4705757576269233E-7</v>
      </c>
      <c r="CN79" s="22">
        <f t="shared" si="66"/>
        <v>3.8701346077241472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5.6843418860808015E-14</v>
      </c>
      <c r="CU79" s="17">
        <f>CT79*VLOOKUP('Données projet'!$B$13,Paramètres!$A$1:$I$89,3,0)*VLOOKUP('Données projet'!$B$13,Paramètres!$A$1:$I$89,5,0)</f>
        <v>3.813056537183002E-14</v>
      </c>
      <c r="CV79" s="13">
        <f t="shared" si="95"/>
        <v>6.4086286045526829E-13</v>
      </c>
      <c r="CW79" s="20">
        <f t="shared" si="67"/>
        <v>1.1825802166488628E-12</v>
      </c>
      <c r="CX79" s="59">
        <f t="shared" si="68"/>
        <v>293.33333333333451</v>
      </c>
      <c r="CY79" s="59">
        <f ca="1">AVERAGE(OFFSET($CX$3,0,0,'Données projet'!$E$13+1,1))-AVERAGE(OFFSET($H$3,0,0,'Données projet'!$E$13+1,1))</f>
        <v>181.32837315090507</v>
      </c>
      <c r="CZ79" s="59">
        <f t="shared" si="96"/>
        <v>175.03267817980338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2.202284688776492</v>
      </c>
      <c r="DG79" s="21">
        <f>EXP(-LN(2)/25)*DG78+(1-EXP(-LN(2)/25))/(LN(2)/25)*Calculateur!DB79*Calculateur!DD79*VLOOKUP('Données projet'!$B$13,Paramètres!$A$1:$I$89,3,0)*0.475*44/12</f>
        <v>1.9000578395300729</v>
      </c>
      <c r="DH79" s="21">
        <f>EXP(-LN(2)/2)*DH78+(1-EXP(-LN(2)/2))/(LN(2)/2)*DB79*DE79*VLOOKUP('Données projet'!$B$13,Paramètres!$A$1:$I$89,3,0)*0.475*44/12</f>
        <v>1.2646951515591535E-7</v>
      </c>
      <c r="DI79" s="22">
        <f t="shared" si="69"/>
        <v>4.1023426547760797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364.99999999999972</v>
      </c>
      <c r="DP79" s="17">
        <f>DO79*VLOOKUP('Données projet'!$B$14,Paramètres!$A$1:$I$89,3,0)*VLOOKUP('Données projet'!$B$14,Paramètres!$A$1:$I$89,5,0)</f>
        <v>290.39399999999978</v>
      </c>
      <c r="DQ79" s="13">
        <f t="shared" si="97"/>
        <v>69.158878594433091</v>
      </c>
      <c r="DR79" s="20">
        <f t="shared" si="70"/>
        <v>626.22126355197054</v>
      </c>
      <c r="DS79" s="59">
        <f t="shared" si="71"/>
        <v>919.55459688530391</v>
      </c>
      <c r="DT79" s="59">
        <f ca="1">AVERAGE(OFFSET($DS$3,0,0,'Données projet'!$E$14+1,1))-AVERAGE(OFFSET($H$3,0,0,'Données projet'!$E$14+1,1))</f>
        <v>325.72928944930294</v>
      </c>
      <c r="DU79" s="59">
        <f t="shared" si="98"/>
        <v>318.38876834819752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6.9625496011038317</v>
      </c>
      <c r="EB79" s="21">
        <f>EXP(-LN(2)/25)*EB78+(1-EXP(-LN(2)/25))/(LN(2)/25)*Calculateur!DW79*Calculateur!DY79*VLOOKUP('Données projet'!$B$14,Paramètres!$A$1:$I$89,3,0)*0.475*44/12</f>
        <v>5.7763412271882144</v>
      </c>
      <c r="EC79" s="21">
        <f>EXP(-LN(2)/2)*EC78+(1-EXP(-LN(2)/2))/(LN(2)/2)*DW79*DZ79*VLOOKUP('Données projet'!$B$14,Paramètres!$A$1:$I$89,3,0)*0.475*44/12</f>
        <v>1.4102126400570949E-6</v>
      </c>
      <c r="ED79" s="22">
        <f t="shared" si="72"/>
        <v>12.738892238504686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7.2</v>
      </c>
      <c r="EJ79" s="12">
        <f>IF('Données projet'!$A$192&gt;35,EJ78+EI79-ER78,IF(A79&lt;'Données projet'!$A$192,$EG$205^A79,IF(A79='Données projet'!$A$192,'Données projet'!$B$192,EJ78+EI79-ER78)))</f>
        <v>291.20000000000005</v>
      </c>
      <c r="EK79" s="17">
        <f>EJ79*VLOOKUP('Données projet'!$B$15,Paramètres!$A$1:$I$89,3,0)*VLOOKUP('Données projet'!$B$15,Paramètres!$A$1:$I$89,5,0)</f>
        <v>295.27680000000004</v>
      </c>
      <c r="EL79" s="13">
        <f t="shared" si="99"/>
        <v>70.185386686980493</v>
      </c>
      <c r="EM79" s="20">
        <f t="shared" si="73"/>
        <v>636.51330847982445</v>
      </c>
      <c r="EN79" s="59">
        <f t="shared" si="74"/>
        <v>929.8466418131577</v>
      </c>
      <c r="EO79" s="59">
        <f ca="1">AVERAGE(OFFSET($EN$3,0,0,'Données projet'!$E$15+1,1))-AVERAGE(OFFSET($H$3,0,0,'Données projet'!$E$15+1,1))</f>
        <v>384.50065773787549</v>
      </c>
      <c r="EP79" s="59">
        <f t="shared" si="100"/>
        <v>231.92898690465887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3.2936003214630838</v>
      </c>
      <c r="EW79" s="21">
        <f>EXP(-LN(2)/25)*EW78+(1-EXP(-LN(2)/25))/(LN(2)/25)*Calculateur!ER79*Calculateur!ET79*VLOOKUP('Données projet'!$B$15,Paramètres!$A$1:$I$89,3,0)*0.475*44/12</f>
        <v>2.9314811570938417</v>
      </c>
      <c r="EX79" s="21">
        <f>EXP(-LN(2)/2)*EX78+(1-EXP(-LN(2)/2))/(LN(2)/2)*ER79*EU79*VLOOKUP('Données projet'!$B$15,Paramètres!$A$1:$I$89,3,0)*0.475*44/12</f>
        <v>1.1402247657178823E-6</v>
      </c>
      <c r="EY79" s="22">
        <f t="shared" si="75"/>
        <v>6.2250826187816912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7.2</v>
      </c>
      <c r="FE79" s="12">
        <f>IF('Données projet'!$A$218&gt;35,FE78+FD79-FM78,IF(A79&lt;'Données projet'!$A$218,$FB$205^A79,IF(A79='Données projet'!$A$218,'Données projet'!$B$218,FE78+FD79-FM78)))</f>
        <v>291.20000000000005</v>
      </c>
      <c r="FF79" s="17">
        <f>FE79*VLOOKUP('Données projet'!$B$16,Paramètres!$A$1:$I$89,3,0)*VLOOKUP('Données projet'!$B$16,Paramètres!$A$1:$I$89,5,0)</f>
        <v>263.47776000000005</v>
      </c>
      <c r="FG79" s="13">
        <f t="shared" si="101"/>
        <v>63.46312159763346</v>
      </c>
      <c r="FH79" s="20">
        <f t="shared" si="76"/>
        <v>569.42203544921165</v>
      </c>
      <c r="FI79" s="59">
        <f t="shared" si="77"/>
        <v>862.75536878254502</v>
      </c>
      <c r="FJ79" s="59">
        <f ca="1">AVERAGE(OFFSET($FI$3,0,0,'Données projet'!$E$16+1,1))-AVERAGE(OFFSET($H$3,0,0,'Données projet'!$E$16+1,1))</f>
        <v>326.46362829268969</v>
      </c>
      <c r="FK79" s="59">
        <f t="shared" si="102"/>
        <v>203.5274665601915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2.9389049022285949</v>
      </c>
      <c r="FR79" s="21">
        <f>EXP(-LN(2)/25)*FR78+(1-EXP(-LN(2)/25))/(LN(2)/25)*Calculateur!FM79*Calculateur!FO79*VLOOKUP('Données projet'!$B$16,Paramètres!$A$1:$I$89,3,0)*0.475*44/12</f>
        <v>2.6157831863298866</v>
      </c>
      <c r="FS79" s="21">
        <f>EXP(-LN(2)/2)*FS78+(1-EXP(-LN(2)/2))/(LN(2)/2)*FM79*FP79*VLOOKUP('Données projet'!$B$16,Paramètres!$A$1:$I$89,3,0)*0.475*44/12</f>
        <v>1.0174313294098026E-6</v>
      </c>
      <c r="FT79" s="22">
        <f t="shared" si="78"/>
        <v>5.5546891059898114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7.2</v>
      </c>
      <c r="FZ79" s="12">
        <f>IF('Données projet'!$A$244&gt;35,FZ78+FY79-GH78,IF(A79&lt;'Données projet'!$A$244,$FW$205^A79,IF(A79='Données projet'!$A$244,'Données projet'!$B$244,FZ78+FY79-GH78)))</f>
        <v>291.20000000000005</v>
      </c>
      <c r="GA79" s="17">
        <f>FZ79*VLOOKUP('Données projet'!$B$17,Paramètres!$A$1:$I$89,3,0)*VLOOKUP('Données projet'!$B$17,Paramètres!$A$1:$I$89,5,0)</f>
        <v>281.64864000000006</v>
      </c>
      <c r="GB79" s="13">
        <f t="shared" si="103"/>
        <v>67.315294774697747</v>
      </c>
      <c r="GC79" s="20">
        <f t="shared" si="79"/>
        <v>607.77885306593191</v>
      </c>
      <c r="GD79" s="59">
        <f t="shared" si="80"/>
        <v>901.11218639926528</v>
      </c>
      <c r="GE79" s="59">
        <f ca="1">AVERAGE(OFFSET($GD$3,0,0,'Données projet'!$E$17+1,1))-AVERAGE(OFFSET($H$3,0,0,'Données projet'!$E$17+1,1))</f>
        <v>353.24082990916918</v>
      </c>
      <c r="GF79" s="59">
        <f t="shared" si="104"/>
        <v>219.76562717496353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3.1415879989340172</v>
      </c>
      <c r="GM79" s="21">
        <f>EXP(-LN(2)/25)*GM78+(1-EXP(-LN(2)/25))/(LN(2)/25)*Calculateur!GH79*Calculateur!GJ79*VLOOKUP('Données projet'!$B$17,Paramètres!$A$1:$I$89,3,0)*0.475*44/12</f>
        <v>2.7961820267664326</v>
      </c>
      <c r="GN79" s="21">
        <f>EXP(-LN(2)/2)*GN78+(1-EXP(-LN(2)/2))/(LN(2)/2)*GH79*GK79*VLOOKUP('Données projet'!$B$17,Paramètres!$A$1:$I$89,3,0)*0.475*44/12</f>
        <v>1.0875990073001341E-6</v>
      </c>
      <c r="GO79" s="21">
        <f t="shared" si="81"/>
        <v>5.9377711132994575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378.17323480030268</v>
      </c>
      <c r="T80" s="59">
        <f t="shared" si="88"/>
        <v>471.89239871617241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1.736546149665311</v>
      </c>
      <c r="AA80" s="21">
        <f>EXP(-LN(2)/25)*AA79+(1-EXP(-LN(2)/25))/(LN(2)/25)*Calculateur!V80*Calculateur!X80*VLOOKUP('Données projet'!$B$9,Paramètres!$A$1:$I$89,3,0)*0.475*44/12</f>
        <v>5.6514004014556809</v>
      </c>
      <c r="AB80" s="21">
        <f>EXP(-LN(2)/2)*AB79+(1-EXP(-LN(2)/2))/(LN(2)/2)*V80*Y80*VLOOKUP('Données projet'!$B$9,Paramètres!$A$1:$I$89,3,0)*0.475*44/12</f>
        <v>8.8176188261276087E-7</v>
      </c>
      <c r="AC80" s="22">
        <f t="shared" si="57"/>
        <v>7.387947432882874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141.22849894256314</v>
      </c>
      <c r="AO80" s="59">
        <f t="shared" si="90"/>
        <v>156.12101479343704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2.8997594115248071</v>
      </c>
      <c r="AV80" s="21">
        <f>EXP(-LN(2)/25)*AV79+(1-EXP(-LN(2)/25))/(LN(2)/25)*Calculateur!AQ80*Calculateur!AS80*VLOOKUP('Données projet'!$B$10,Paramètres!$A$1:$I$89,3,0)*0.475*44/12</f>
        <v>1.6362254283000119</v>
      </c>
      <c r="AW80" s="21">
        <f>EXP(-LN(2)/2)*AW79+(1-EXP(-LN(2)/2))/(LN(2)/2)*AQ80*AT80*VLOOKUP('Données projet'!$B$10,Paramètres!$A$1:$I$89,3,0)*0.475*44/12</f>
        <v>2.493383138181982E-7</v>
      </c>
      <c r="AX80" s="21">
        <f t="shared" si="60"/>
        <v>4.5359850891631321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114.25511901730295</v>
      </c>
      <c r="BJ80" s="59">
        <f t="shared" si="92"/>
        <v>180.96261947642182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1.3476555390598151</v>
      </c>
      <c r="BQ80" s="21">
        <f>EXP(-LN(2)/25)*BQ79+(1-EXP(-LN(2)/25))/(LN(2)/25)*Calculateur!BL80*Calculateur!BN80*VLOOKUP('Données projet'!$B$11,Paramètres!$A$1:$I$89,3,0)*0.475*44/12</f>
        <v>4.8400987576849923</v>
      </c>
      <c r="BR80" s="21">
        <f>EXP(-LN(2)/2)*BR79+(1-EXP(-LN(2)/2))/(LN(2)/2)*BL80*BO80*VLOOKUP('Données projet'!$B$11,Paramètres!$A$1:$I$89,3,0)*0.475*44/12</f>
        <v>5.7589980962740589E-7</v>
      </c>
      <c r="BS80" s="22">
        <f t="shared" si="63"/>
        <v>6.187754872644617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5.6843418860808015E-14</v>
      </c>
      <c r="BZ80" s="13">
        <f>BY80*VLOOKUP('Données projet'!$B$12,Paramètres!$A$1:$I$89,3,0)*VLOOKUP('Données projet'!$B$12,Paramètres!$A$1:$I$89,5,0)</f>
        <v>4.4337866711430253E-14</v>
      </c>
      <c r="CA80" s="13">
        <f t="shared" si="93"/>
        <v>7.3222115536967035E-13</v>
      </c>
      <c r="CB80" s="20">
        <f t="shared" si="64"/>
        <v>1.3525069634579169E-12</v>
      </c>
      <c r="CC80" s="59">
        <f t="shared" si="65"/>
        <v>293.33333333333468</v>
      </c>
      <c r="CD80" s="59">
        <f ca="1">AVERAGE(OFFSET($CC$3,0,0,'Données projet'!$E$12+1,1))-AVERAGE(OFFSET($H$3,0,0,'Données projet'!$E$12+1,1))</f>
        <v>216.95993967070063</v>
      </c>
      <c r="CE80" s="59">
        <f t="shared" si="94"/>
        <v>208.79744153433245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2.0368860653685008</v>
      </c>
      <c r="CL80" s="21">
        <f>EXP(-LN(2)/25)*CL79+(1-EXP(-LN(2)/25))/(LN(2)/25)*Calculateur!CG80*Calculateur!CI80*VLOOKUP('Données projet'!$B$12,Paramètres!$A$1:$I$89,3,0)*0.475*44/12</f>
        <v>1.7434911867815313</v>
      </c>
      <c r="CM80" s="21">
        <f>EXP(-LN(2)/2)*CM79+(1-EXP(-LN(2)/2))/(LN(2)/2)*CG80*CJ80*VLOOKUP('Données projet'!$B$12,Paramètres!$A$1:$I$89,3,0)*0.475*44/12</f>
        <v>1.0398540904665422E-7</v>
      </c>
      <c r="CN80" s="22">
        <f t="shared" si="66"/>
        <v>3.7803773561354412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5.6843418860808015E-14</v>
      </c>
      <c r="CU80" s="17">
        <f>CT80*VLOOKUP('Données projet'!$B$13,Paramètres!$A$1:$I$89,3,0)*VLOOKUP('Données projet'!$B$13,Paramètres!$A$1:$I$89,5,0)</f>
        <v>3.813056537183002E-14</v>
      </c>
      <c r="CV80" s="13">
        <f t="shared" si="95"/>
        <v>6.4086286045526829E-13</v>
      </c>
      <c r="CW80" s="20">
        <f t="shared" si="67"/>
        <v>1.1825802166488628E-12</v>
      </c>
      <c r="CX80" s="59">
        <f t="shared" si="68"/>
        <v>293.33333333333451</v>
      </c>
      <c r="CY80" s="59">
        <f ca="1">AVERAGE(OFFSET($CX$3,0,0,'Données projet'!$E$13+1,1))-AVERAGE(OFFSET($H$3,0,0,'Données projet'!$E$13+1,1))</f>
        <v>181.32837315090507</v>
      </c>
      <c r="CZ80" s="59">
        <f t="shared" si="96"/>
        <v>175.03267817980338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2.159099229290609</v>
      </c>
      <c r="DG80" s="21">
        <f>EXP(-LN(2)/25)*DG79+(1-EXP(-LN(2)/25))/(LN(2)/25)*Calculateur!DB80*Calculateur!DD80*VLOOKUP('Données projet'!$B$13,Paramètres!$A$1:$I$89,3,0)*0.475*44/12</f>
        <v>1.8481006579884238</v>
      </c>
      <c r="DH80" s="21">
        <f>EXP(-LN(2)/2)*DH79+(1-EXP(-LN(2)/2))/(LN(2)/2)*DB80*DE80*VLOOKUP('Données projet'!$B$13,Paramètres!$A$1:$I$89,3,0)*0.475*44/12</f>
        <v>8.9427451780122591E-8</v>
      </c>
      <c r="DI80" s="22">
        <f t="shared" si="69"/>
        <v>4.0071999767064845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368.99999999999972</v>
      </c>
      <c r="DP80" s="17">
        <f>DO80*VLOOKUP('Données projet'!$B$14,Paramètres!$A$1:$I$89,3,0)*VLOOKUP('Données projet'!$B$14,Paramètres!$A$1:$I$89,5,0)</f>
        <v>293.57639999999981</v>
      </c>
      <c r="DQ80" s="13">
        <f t="shared" si="97"/>
        <v>69.828138511965548</v>
      </c>
      <c r="DR80" s="20">
        <f t="shared" si="70"/>
        <v>632.92957124167299</v>
      </c>
      <c r="DS80" s="59">
        <f t="shared" si="71"/>
        <v>926.26290457500636</v>
      </c>
      <c r="DT80" s="59">
        <f ca="1">AVERAGE(OFFSET($DS$3,0,0,'Données projet'!$E$14+1,1))-AVERAGE(OFFSET($H$3,0,0,'Données projet'!$E$14+1,1))</f>
        <v>325.72928944930294</v>
      </c>
      <c r="DU80" s="59">
        <f t="shared" si="98"/>
        <v>318.38876834819752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6.8260182501621118</v>
      </c>
      <c r="EB80" s="21">
        <f>EXP(-LN(2)/25)*EB79+(1-EXP(-LN(2)/25))/(LN(2)/25)*Calculateur!DW80*Calculateur!DY80*VLOOKUP('Données projet'!$B$14,Paramètres!$A$1:$I$89,3,0)*0.475*44/12</f>
        <v>5.6183868725661696</v>
      </c>
      <c r="EC80" s="21">
        <f>EXP(-LN(2)/2)*EC79+(1-EXP(-LN(2)/2))/(LN(2)/2)*DW80*DZ80*VLOOKUP('Données projet'!$B$14,Paramètres!$A$1:$I$89,3,0)*0.475*44/12</f>
        <v>9.9717092069935564E-7</v>
      </c>
      <c r="ED80" s="22">
        <f t="shared" si="72"/>
        <v>12.444406119899201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7.2</v>
      </c>
      <c r="EJ80" s="12">
        <f>IF('Données projet'!$A$192&gt;35,EJ79+EI80-ER79,IF(A80&lt;'Données projet'!$A$192,$EG$205^A80,IF(A80='Données projet'!$A$192,'Données projet'!$B$192,EJ79+EI80-ER79)))</f>
        <v>298.40000000000003</v>
      </c>
      <c r="EK80" s="17">
        <f>EJ80*VLOOKUP('Données projet'!$B$15,Paramètres!$A$1:$I$89,3,0)*VLOOKUP('Données projet'!$B$15,Paramètres!$A$1:$I$89,5,0)</f>
        <v>302.57760000000007</v>
      </c>
      <c r="EL80" s="13">
        <f t="shared" si="99"/>
        <v>71.716558091076294</v>
      </c>
      <c r="EM80" s="20">
        <f t="shared" si="73"/>
        <v>651.89565867529132</v>
      </c>
      <c r="EN80" s="59">
        <f t="shared" si="74"/>
        <v>945.22899200862457</v>
      </c>
      <c r="EO80" s="59">
        <f ca="1">AVERAGE(OFFSET($EN$3,0,0,'Données projet'!$E$15+1,1))-AVERAGE(OFFSET($H$3,0,0,'Données projet'!$E$15+1,1))</f>
        <v>384.50065773787549</v>
      </c>
      <c r="EP80" s="59">
        <f t="shared" si="100"/>
        <v>231.92898690465887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3.2290148280570268</v>
      </c>
      <c r="EW80" s="21">
        <f>EXP(-LN(2)/25)*EW79+(1-EXP(-LN(2)/25))/(LN(2)/25)*Calculateur!ER80*Calculateur!ET80*VLOOKUP('Données projet'!$B$15,Paramètres!$A$1:$I$89,3,0)*0.475*44/12</f>
        <v>2.8513196506932164</v>
      </c>
      <c r="EX80" s="21">
        <f>EXP(-LN(2)/2)*EX79+(1-EXP(-LN(2)/2))/(LN(2)/2)*ER80*EU80*VLOOKUP('Données projet'!$B$15,Paramètres!$A$1:$I$89,3,0)*0.475*44/12</f>
        <v>8.0626066391595702E-7</v>
      </c>
      <c r="EY80" s="22">
        <f t="shared" si="75"/>
        <v>6.0803352850109071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7.2</v>
      </c>
      <c r="FE80" s="12">
        <f>IF('Données projet'!$A$218&gt;35,FE79+FD80-FM79,IF(A80&lt;'Données projet'!$A$218,$FB$205^A80,IF(A80='Données projet'!$A$218,'Données projet'!$B$218,FE79+FD80-FM79)))</f>
        <v>298.40000000000003</v>
      </c>
      <c r="FF80" s="17">
        <f>FE80*VLOOKUP('Données projet'!$B$16,Paramètres!$A$1:$I$89,3,0)*VLOOKUP('Données projet'!$B$16,Paramètres!$A$1:$I$89,5,0)</f>
        <v>269.99232000000001</v>
      </c>
      <c r="FG80" s="13">
        <f t="shared" si="101"/>
        <v>64.847639395310296</v>
      </c>
      <c r="FH80" s="20">
        <f t="shared" si="76"/>
        <v>583.17959594683214</v>
      </c>
      <c r="FI80" s="59">
        <f t="shared" si="77"/>
        <v>876.51292928016551</v>
      </c>
      <c r="FJ80" s="59">
        <f ca="1">AVERAGE(OFFSET($FI$3,0,0,'Données projet'!$E$16+1,1))-AVERAGE(OFFSET($H$3,0,0,'Données projet'!$E$16+1,1))</f>
        <v>326.46362829268969</v>
      </c>
      <c r="FK80" s="59">
        <f t="shared" si="102"/>
        <v>203.5274665601915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2.8812747696508825</v>
      </c>
      <c r="FR80" s="21">
        <f>EXP(-LN(2)/25)*FR79+(1-EXP(-LN(2)/25))/(LN(2)/25)*Calculateur!FM80*Calculateur!FO80*VLOOKUP('Données projet'!$B$16,Paramètres!$A$1:$I$89,3,0)*0.475*44/12</f>
        <v>2.5442544575416366</v>
      </c>
      <c r="FS80" s="21">
        <f>EXP(-LN(2)/2)*FS79+(1-EXP(-LN(2)/2))/(LN(2)/2)*FM80*FP80*VLOOKUP('Données projet'!$B$16,Paramètres!$A$1:$I$89,3,0)*0.475*44/12</f>
        <v>7.1943259241731546E-7</v>
      </c>
      <c r="FT80" s="22">
        <f t="shared" si="78"/>
        <v>5.4255299466251117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7.2</v>
      </c>
      <c r="FZ80" s="12">
        <f>IF('Données projet'!$A$244&gt;35,FZ79+FY80-GH79,IF(A80&lt;'Données projet'!$A$244,$FW$205^A80,IF(A80='Données projet'!$A$244,'Données projet'!$B$244,FZ79+FY80-GH79)))</f>
        <v>298.40000000000003</v>
      </c>
      <c r="GA80" s="17">
        <f>FZ80*VLOOKUP('Données projet'!$B$17,Paramètres!$A$1:$I$89,3,0)*VLOOKUP('Données projet'!$B$17,Paramètres!$A$1:$I$89,5,0)</f>
        <v>288.61248000000001</v>
      </c>
      <c r="GB80" s="13">
        <f t="shared" si="103"/>
        <v>68.783851967051476</v>
      </c>
      <c r="GC80" s="20">
        <f t="shared" si="79"/>
        <v>622.4652781759479</v>
      </c>
      <c r="GD80" s="59">
        <f t="shared" si="80"/>
        <v>915.79861150928127</v>
      </c>
      <c r="GE80" s="59">
        <f ca="1">AVERAGE(OFFSET($GD$3,0,0,'Données projet'!$E$17+1,1))-AVERAGE(OFFSET($H$3,0,0,'Données projet'!$E$17+1,1))</f>
        <v>353.24082990916918</v>
      </c>
      <c r="GF80" s="59">
        <f t="shared" si="104"/>
        <v>219.76562717496353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3.0799833744543936</v>
      </c>
      <c r="GM80" s="21">
        <f>EXP(-LN(2)/25)*GM79+(1-EXP(-LN(2)/25))/(LN(2)/25)*Calculateur!GH80*Calculateur!GJ80*VLOOKUP('Données projet'!$B$17,Paramètres!$A$1:$I$89,3,0)*0.475*44/12</f>
        <v>2.7197202821996824</v>
      </c>
      <c r="GN80" s="21">
        <f>EXP(-LN(2)/2)*GN79+(1-EXP(-LN(2)/2))/(LN(2)/2)*GH80*GK80*VLOOKUP('Données projet'!$B$17,Paramètres!$A$1:$I$89,3,0)*0.475*44/12</f>
        <v>7.6904863327368226E-7</v>
      </c>
      <c r="GO80" s="21">
        <f t="shared" si="81"/>
        <v>5.7997044257027097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378.17323480030268</v>
      </c>
      <c r="T81" s="59">
        <f t="shared" si="88"/>
        <v>471.89239871617241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1.7024935388589393</v>
      </c>
      <c r="AA81" s="21">
        <f>EXP(-LN(2)/25)*AA80+(1-EXP(-LN(2)/25))/(LN(2)/25)*Calculateur!V81*Calculateur!X81*VLOOKUP('Données projet'!$B$9,Paramètres!$A$1:$I$89,3,0)*0.475*44/12</f>
        <v>5.4968625602836445</v>
      </c>
      <c r="AB81" s="21">
        <f>EXP(-LN(2)/2)*AB80+(1-EXP(-LN(2)/2))/(LN(2)/2)*V81*Y81*VLOOKUP('Données projet'!$B$9,Paramètres!$A$1:$I$89,3,0)*0.475*44/12</f>
        <v>6.2349980658729969E-7</v>
      </c>
      <c r="AC81" s="22">
        <f t="shared" si="57"/>
        <v>7.1993567226423902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141.22849894256314</v>
      </c>
      <c r="AO81" s="59">
        <f t="shared" si="90"/>
        <v>156.12101479343704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2.8428968981434042</v>
      </c>
      <c r="AV81" s="21">
        <f>EXP(-LN(2)/25)*AV80+(1-EXP(-LN(2)/25))/(LN(2)/25)*Calculateur!AQ81*Calculateur!AS81*VLOOKUP('Données projet'!$B$10,Paramètres!$A$1:$I$89,3,0)*0.475*44/12</f>
        <v>1.5914827579177926</v>
      </c>
      <c r="AW81" s="21">
        <f>EXP(-LN(2)/2)*AW80+(1-EXP(-LN(2)/2))/(LN(2)/2)*AQ81*AT81*VLOOKUP('Données projet'!$B$10,Paramètres!$A$1:$I$89,3,0)*0.475*44/12</f>
        <v>1.763088125104674E-7</v>
      </c>
      <c r="AX81" s="21">
        <f t="shared" si="60"/>
        <v>4.4343798323700092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114.25511901730295</v>
      </c>
      <c r="BJ81" s="59">
        <f t="shared" si="92"/>
        <v>180.96261947642182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1.3212288359275663</v>
      </c>
      <c r="BQ81" s="21">
        <f>EXP(-LN(2)/25)*BQ80+(1-EXP(-LN(2)/25))/(LN(2)/25)*Calculateur!BL81*Calculateur!BN81*VLOOKUP('Données projet'!$B$11,Paramètres!$A$1:$I$89,3,0)*0.475*44/12</f>
        <v>4.7077460026263651</v>
      </c>
      <c r="BR81" s="21">
        <f>EXP(-LN(2)/2)*BR80+(1-EXP(-LN(2)/2))/(LN(2)/2)*BL81*BO81*VLOOKUP('Données projet'!$B$11,Paramètres!$A$1:$I$89,3,0)*0.475*44/12</f>
        <v>4.0722266067158048E-7</v>
      </c>
      <c r="BS81" s="22">
        <f t="shared" si="63"/>
        <v>6.0289752457765928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5.6843418860808015E-14</v>
      </c>
      <c r="BZ81" s="13">
        <f>BY81*VLOOKUP('Données projet'!$B$12,Paramètres!$A$1:$I$89,3,0)*VLOOKUP('Données projet'!$B$12,Paramètres!$A$1:$I$89,5,0)</f>
        <v>4.4337866711430253E-14</v>
      </c>
      <c r="CA81" s="13">
        <f t="shared" si="93"/>
        <v>7.3222115536967035E-13</v>
      </c>
      <c r="CB81" s="20">
        <f t="shared" si="64"/>
        <v>1.3525069634579169E-12</v>
      </c>
      <c r="CC81" s="59">
        <f t="shared" si="65"/>
        <v>293.33333333333468</v>
      </c>
      <c r="CD81" s="59">
        <f ca="1">AVERAGE(OFFSET($CC$3,0,0,'Données projet'!$E$12+1,1))-AVERAGE(OFFSET($H$3,0,0,'Données projet'!$E$12+1,1))</f>
        <v>216.95993967070063</v>
      </c>
      <c r="CE81" s="59">
        <f t="shared" si="94"/>
        <v>208.79744153433245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1.9969439720044497</v>
      </c>
      <c r="CL81" s="21">
        <f>EXP(-LN(2)/25)*CL80+(1-EXP(-LN(2)/25))/(LN(2)/25)*Calculateur!CG81*Calculateur!CI81*VLOOKUP('Données projet'!$B$12,Paramètres!$A$1:$I$89,3,0)*0.475*44/12</f>
        <v>1.6958153285927735</v>
      </c>
      <c r="CM81" s="21">
        <f>EXP(-LN(2)/2)*CM80+(1-EXP(-LN(2)/2))/(LN(2)/2)*CG81*CJ81*VLOOKUP('Données projet'!$B$12,Paramètres!$A$1:$I$89,3,0)*0.475*44/12</f>
        <v>7.3528787881346164E-8</v>
      </c>
      <c r="CN81" s="22">
        <f t="shared" si="66"/>
        <v>3.6927593741260112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5.6843418860808015E-14</v>
      </c>
      <c r="CU81" s="17">
        <f>CT81*VLOOKUP('Données projet'!$B$13,Paramètres!$A$1:$I$89,3,0)*VLOOKUP('Données projet'!$B$13,Paramètres!$A$1:$I$89,5,0)</f>
        <v>3.813056537183002E-14</v>
      </c>
      <c r="CV81" s="13">
        <f t="shared" si="95"/>
        <v>6.4086286045526829E-13</v>
      </c>
      <c r="CW81" s="20">
        <f t="shared" si="67"/>
        <v>1.1825802166488628E-12</v>
      </c>
      <c r="CX81" s="59">
        <f t="shared" si="68"/>
        <v>293.33333333333451</v>
      </c>
      <c r="CY81" s="59">
        <f ca="1">AVERAGE(OFFSET($CX$3,0,0,'Données projet'!$E$13+1,1))-AVERAGE(OFFSET($H$3,0,0,'Données projet'!$E$13+1,1))</f>
        <v>181.32837315090507</v>
      </c>
      <c r="CZ81" s="59">
        <f t="shared" si="96"/>
        <v>175.03267817980338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2.116760610324715</v>
      </c>
      <c r="DG81" s="21">
        <f>EXP(-LN(2)/25)*DG80+(1-EXP(-LN(2)/25))/(LN(2)/25)*Calculateur!DB81*Calculateur!DD81*VLOOKUP('Données projet'!$B$13,Paramètres!$A$1:$I$89,3,0)*0.475*44/12</f>
        <v>1.7975642483083407</v>
      </c>
      <c r="DH81" s="21">
        <f>EXP(-LN(2)/2)*DH80+(1-EXP(-LN(2)/2))/(LN(2)/2)*DB81*DE81*VLOOKUP('Données projet'!$B$13,Paramètres!$A$1:$I$89,3,0)*0.475*44/12</f>
        <v>6.3234757577957674E-8</v>
      </c>
      <c r="DI81" s="22">
        <f t="shared" si="69"/>
        <v>3.9143249218678133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372.99999999999972</v>
      </c>
      <c r="DP81" s="17">
        <f>DO81*VLOOKUP('Données projet'!$B$14,Paramètres!$A$1:$I$89,3,0)*VLOOKUP('Données projet'!$B$14,Paramètres!$A$1:$I$89,5,0)</f>
        <v>296.75879999999978</v>
      </c>
      <c r="DQ81" s="13">
        <f t="shared" si="97"/>
        <v>70.496554480015604</v>
      </c>
      <c r="DR81" s="20">
        <f t="shared" si="70"/>
        <v>639.63640905269347</v>
      </c>
      <c r="DS81" s="59">
        <f t="shared" si="71"/>
        <v>932.96974238602684</v>
      </c>
      <c r="DT81" s="59">
        <f ca="1">AVERAGE(OFFSET($DS$3,0,0,'Données projet'!$E$14+1,1))-AVERAGE(OFFSET($H$3,0,0,'Données projet'!$E$14+1,1))</f>
        <v>325.72928944930294</v>
      </c>
      <c r="DU81" s="59">
        <f t="shared" si="98"/>
        <v>318.38876834819752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6.6921641957364582</v>
      </c>
      <c r="EB81" s="21">
        <f>EXP(-LN(2)/25)*EB80+(1-EXP(-LN(2)/25))/(LN(2)/25)*Calculateur!DW81*Calculateur!DY81*VLOOKUP('Données projet'!$B$14,Paramètres!$A$1:$I$89,3,0)*0.475*44/12</f>
        <v>5.4647517880777228</v>
      </c>
      <c r="EC81" s="21">
        <f>EXP(-LN(2)/2)*EC80+(1-EXP(-LN(2)/2))/(LN(2)/2)*DW81*DZ81*VLOOKUP('Données projet'!$B$14,Paramètres!$A$1:$I$89,3,0)*0.475*44/12</f>
        <v>7.0510632002854743E-7</v>
      </c>
      <c r="ED81" s="22">
        <f t="shared" si="72"/>
        <v>12.1569166889205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7.2</v>
      </c>
      <c r="EJ81" s="12">
        <f>IF('Données projet'!$A$192&gt;35,EJ80+EI81-ER80,IF(A81&lt;'Données projet'!$A$192,$EG$205^A81,IF(A81='Données projet'!$A$192,'Données projet'!$B$192,EJ80+EI81-ER80)))</f>
        <v>305.60000000000002</v>
      </c>
      <c r="EK81" s="17">
        <f>EJ81*VLOOKUP('Données projet'!$B$15,Paramètres!$A$1:$I$89,3,0)*VLOOKUP('Données projet'!$B$15,Paramètres!$A$1:$I$89,5,0)</f>
        <v>309.87840000000006</v>
      </c>
      <c r="EL81" s="13">
        <f t="shared" si="99"/>
        <v>73.243434672131556</v>
      </c>
      <c r="EM81" s="20">
        <f t="shared" si="73"/>
        <v>667.27052872062916</v>
      </c>
      <c r="EN81" s="59">
        <f t="shared" si="74"/>
        <v>960.60386205396253</v>
      </c>
      <c r="EO81" s="59">
        <f ca="1">AVERAGE(OFFSET($EN$3,0,0,'Données projet'!$E$15+1,1))-AVERAGE(OFFSET($H$3,0,0,'Données projet'!$E$15+1,1))</f>
        <v>384.50065773787549</v>
      </c>
      <c r="EP81" s="59">
        <f t="shared" si="100"/>
        <v>231.92898690465887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3.1656958167834013</v>
      </c>
      <c r="EW81" s="21">
        <f>EXP(-LN(2)/25)*EW80+(1-EXP(-LN(2)/25))/(LN(2)/25)*Calculateur!ER81*Calculateur!ET81*VLOOKUP('Données projet'!$B$15,Paramètres!$A$1:$I$89,3,0)*0.475*44/12</f>
        <v>2.7733501649006267</v>
      </c>
      <c r="EX81" s="21">
        <f>EXP(-LN(2)/2)*EX80+(1-EXP(-LN(2)/2))/(LN(2)/2)*ER81*EU81*VLOOKUP('Données projet'!$B$15,Paramètres!$A$1:$I$89,3,0)*0.475*44/12</f>
        <v>5.7011238285894114E-7</v>
      </c>
      <c r="EY81" s="22">
        <f t="shared" si="75"/>
        <v>5.9390465517964115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7.2</v>
      </c>
      <c r="FE81" s="12">
        <f>IF('Données projet'!$A$218&gt;35,FE80+FD81-FM80,IF(A81&lt;'Données projet'!$A$218,$FB$205^A81,IF(A81='Données projet'!$A$218,'Données projet'!$B$218,FE80+FD81-FM80)))</f>
        <v>305.60000000000002</v>
      </c>
      <c r="FF81" s="17">
        <f>FE81*VLOOKUP('Données projet'!$B$16,Paramètres!$A$1:$I$89,3,0)*VLOOKUP('Données projet'!$B$16,Paramètres!$A$1:$I$89,5,0)</f>
        <v>276.50687999999997</v>
      </c>
      <c r="FG81" s="13">
        <f t="shared" si="101"/>
        <v>66.228273722513677</v>
      </c>
      <c r="FH81" s="20">
        <f t="shared" si="76"/>
        <v>596.93039273337797</v>
      </c>
      <c r="FI81" s="59">
        <f t="shared" si="77"/>
        <v>890.26372606671134</v>
      </c>
      <c r="FJ81" s="59">
        <f ca="1">AVERAGE(OFFSET($FI$3,0,0,'Données projet'!$E$16+1,1))-AVERAGE(OFFSET($H$3,0,0,'Données projet'!$E$16+1,1))</f>
        <v>326.46362829268969</v>
      </c>
      <c r="FK81" s="59">
        <f t="shared" si="102"/>
        <v>203.5274665601915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2.824774728822109</v>
      </c>
      <c r="FR81" s="21">
        <f>EXP(-LN(2)/25)*FR80+(1-EXP(-LN(2)/25))/(LN(2)/25)*Calculateur!FM81*Calculateur!FO81*VLOOKUP('Données projet'!$B$16,Paramètres!$A$1:$I$89,3,0)*0.475*44/12</f>
        <v>2.4746816856036338</v>
      </c>
      <c r="FS81" s="21">
        <f>EXP(-LN(2)/2)*FS80+(1-EXP(-LN(2)/2))/(LN(2)/2)*FM81*FP81*VLOOKUP('Données projet'!$B$16,Paramètres!$A$1:$I$89,3,0)*0.475*44/12</f>
        <v>5.0871566470490131E-7</v>
      </c>
      <c r="FT81" s="22">
        <f t="shared" si="78"/>
        <v>5.2994569231414079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7.2</v>
      </c>
      <c r="FZ81" s="12">
        <f>IF('Données projet'!$A$244&gt;35,FZ80+FY81-GH80,IF(A81&lt;'Données projet'!$A$244,$FW$205^A81,IF(A81='Données projet'!$A$244,'Données projet'!$B$244,FZ80+FY81-GH80)))</f>
        <v>305.60000000000002</v>
      </c>
      <c r="GA81" s="17">
        <f>FZ81*VLOOKUP('Données projet'!$B$17,Paramètres!$A$1:$I$89,3,0)*VLOOKUP('Données projet'!$B$17,Paramètres!$A$1:$I$89,5,0)</f>
        <v>295.57632000000001</v>
      </c>
      <c r="GB81" s="13">
        <f t="shared" si="103"/>
        <v>70.24828996461811</v>
      </c>
      <c r="GC81" s="20">
        <f t="shared" si="79"/>
        <v>637.1445290217099</v>
      </c>
      <c r="GD81" s="59">
        <f t="shared" si="80"/>
        <v>930.47786235504327</v>
      </c>
      <c r="GE81" s="59">
        <f ca="1">AVERAGE(OFFSET($GD$3,0,0,'Données projet'!$E$17+1,1))-AVERAGE(OFFSET($H$3,0,0,'Données projet'!$E$17+1,1))</f>
        <v>353.24082990916918</v>
      </c>
      <c r="GF81" s="59">
        <f t="shared" si="104"/>
        <v>219.76562717496353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3.0195867790857047</v>
      </c>
      <c r="GM81" s="21">
        <f>EXP(-LN(2)/25)*GM80+(1-EXP(-LN(2)/25))/(LN(2)/25)*Calculateur!GH81*Calculateur!GJ81*VLOOKUP('Données projet'!$B$17,Paramètres!$A$1:$I$89,3,0)*0.475*44/12</f>
        <v>2.6453493880590586</v>
      </c>
      <c r="GN81" s="21">
        <f>EXP(-LN(2)/2)*GN80+(1-EXP(-LN(2)/2))/(LN(2)/2)*GH81*GK81*VLOOKUP('Données projet'!$B$17,Paramètres!$A$1:$I$89,3,0)*0.475*44/12</f>
        <v>5.4379950365006706E-7</v>
      </c>
      <c r="GO81" s="21">
        <f t="shared" si="81"/>
        <v>5.664936710944267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378.17323480030268</v>
      </c>
      <c r="T82" s="59">
        <f t="shared" si="88"/>
        <v>471.89239871617241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1.6691086789804388</v>
      </c>
      <c r="AA82" s="21">
        <f>EXP(-LN(2)/25)*AA81+(1-EXP(-LN(2)/25))/(LN(2)/25)*Calculateur!V82*Calculateur!X82*VLOOKUP('Données projet'!$B$9,Paramètres!$A$1:$I$89,3,0)*0.475*44/12</f>
        <v>5.3465505645052493</v>
      </c>
      <c r="AB82" s="21">
        <f>EXP(-LN(2)/2)*AB81+(1-EXP(-LN(2)/2))/(LN(2)/2)*V82*Y82*VLOOKUP('Données projet'!$B$9,Paramètres!$A$1:$I$89,3,0)*0.475*44/12</f>
        <v>4.4088094130638043E-7</v>
      </c>
      <c r="AC82" s="22">
        <f t="shared" si="57"/>
        <v>7.0156596843666295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141.22849894256314</v>
      </c>
      <c r="AO82" s="59">
        <f t="shared" si="90"/>
        <v>156.12101479343704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2.7871494239667021</v>
      </c>
      <c r="AV82" s="21">
        <f>EXP(-LN(2)/25)*AV81+(1-EXP(-LN(2)/25))/(LN(2)/25)*Calculateur!AQ82*Calculateur!AS82*VLOOKUP('Données projet'!$B$10,Paramètres!$A$1:$I$89,3,0)*0.475*44/12</f>
        <v>1.5479635782100898</v>
      </c>
      <c r="AW82" s="21">
        <f>EXP(-LN(2)/2)*AW81+(1-EXP(-LN(2)/2))/(LN(2)/2)*AQ82*AT82*VLOOKUP('Données projet'!$B$10,Paramètres!$A$1:$I$89,3,0)*0.475*44/12</f>
        <v>1.246691569090991E-7</v>
      </c>
      <c r="AX82" s="21">
        <f t="shared" si="60"/>
        <v>4.3351131268459486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114.25511901730295</v>
      </c>
      <c r="BJ82" s="59">
        <f t="shared" si="92"/>
        <v>180.96261947642182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1.2953203443250436</v>
      </c>
      <c r="BQ82" s="21">
        <f>EXP(-LN(2)/25)*BQ81+(1-EXP(-LN(2)/25))/(LN(2)/25)*Calculateur!BL82*Calculateur!BN82*VLOOKUP('Données projet'!$B$11,Paramètres!$A$1:$I$89,3,0)*0.475*44/12</f>
        <v>4.5790124406149442</v>
      </c>
      <c r="BR82" s="21">
        <f>EXP(-LN(2)/2)*BR81+(1-EXP(-LN(2)/2))/(LN(2)/2)*BL82*BO82*VLOOKUP('Données projet'!$B$11,Paramètres!$A$1:$I$89,3,0)*0.475*44/12</f>
        <v>2.8794990481370295E-7</v>
      </c>
      <c r="BS82" s="22">
        <f t="shared" si="63"/>
        <v>5.8743330728898924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5.6843418860808015E-14</v>
      </c>
      <c r="BZ82" s="13">
        <f>BY82*VLOOKUP('Données projet'!$B$12,Paramètres!$A$1:$I$89,3,0)*VLOOKUP('Données projet'!$B$12,Paramètres!$A$1:$I$89,5,0)</f>
        <v>4.4337866711430253E-14</v>
      </c>
      <c r="CA82" s="13">
        <f t="shared" si="93"/>
        <v>7.3222115536967035E-13</v>
      </c>
      <c r="CB82" s="20">
        <f t="shared" si="64"/>
        <v>1.3525069634579169E-12</v>
      </c>
      <c r="CC82" s="59">
        <f t="shared" si="65"/>
        <v>293.33333333333468</v>
      </c>
      <c r="CD82" s="59">
        <f ca="1">AVERAGE(OFFSET($CC$3,0,0,'Données projet'!$E$12+1,1))-AVERAGE(OFFSET($H$3,0,0,'Données projet'!$E$12+1,1))</f>
        <v>216.95993967070063</v>
      </c>
      <c r="CE82" s="59">
        <f t="shared" si="94"/>
        <v>208.79744153433245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1.9577851187289963</v>
      </c>
      <c r="CL82" s="21">
        <f>EXP(-LN(2)/25)*CL81+(1-EXP(-LN(2)/25))/(LN(2)/25)*Calculateur!CG82*Calculateur!CI82*VLOOKUP('Données projet'!$B$12,Paramètres!$A$1:$I$89,3,0)*0.475*44/12</f>
        <v>1.6494431692533518</v>
      </c>
      <c r="CM82" s="21">
        <f>EXP(-LN(2)/2)*CM81+(1-EXP(-LN(2)/2))/(LN(2)/2)*CG82*CJ82*VLOOKUP('Données projet'!$B$12,Paramètres!$A$1:$I$89,3,0)*0.475*44/12</f>
        <v>5.199270452332711E-8</v>
      </c>
      <c r="CN82" s="22">
        <f t="shared" si="66"/>
        <v>3.6072283399750527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5.6843418860808015E-14</v>
      </c>
      <c r="CU82" s="17">
        <f>CT82*VLOOKUP('Données projet'!$B$13,Paramètres!$A$1:$I$89,3,0)*VLOOKUP('Données projet'!$B$13,Paramètres!$A$1:$I$89,5,0)</f>
        <v>3.813056537183002E-14</v>
      </c>
      <c r="CV82" s="13">
        <f t="shared" si="95"/>
        <v>6.4086286045526829E-13</v>
      </c>
      <c r="CW82" s="20">
        <f t="shared" si="67"/>
        <v>1.1825802166488628E-12</v>
      </c>
      <c r="CX82" s="59">
        <f t="shared" si="68"/>
        <v>293.33333333333451</v>
      </c>
      <c r="CY82" s="59">
        <f ca="1">AVERAGE(OFFSET($CX$3,0,0,'Données projet'!$E$13+1,1))-AVERAGE(OFFSET($H$3,0,0,'Données projet'!$E$13+1,1))</f>
        <v>181.32837315090507</v>
      </c>
      <c r="CZ82" s="59">
        <f t="shared" si="96"/>
        <v>175.03267817980338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2.0752522258527346</v>
      </c>
      <c r="DG82" s="21">
        <f>EXP(-LN(2)/25)*DG81+(1-EXP(-LN(2)/25))/(LN(2)/25)*Calculateur!DB82*Calculateur!DD82*VLOOKUP('Données projet'!$B$13,Paramètres!$A$1:$I$89,3,0)*0.475*44/12</f>
        <v>1.7484097594085537</v>
      </c>
      <c r="DH82" s="21">
        <f>EXP(-LN(2)/2)*DH81+(1-EXP(-LN(2)/2))/(LN(2)/2)*DB82*DE82*VLOOKUP('Données projet'!$B$13,Paramètres!$A$1:$I$89,3,0)*0.475*44/12</f>
        <v>4.4713725890061295E-8</v>
      </c>
      <c r="DI82" s="22">
        <f t="shared" si="69"/>
        <v>3.8236620299750141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376.99999999999972</v>
      </c>
      <c r="DP82" s="17">
        <f>DO82*VLOOKUP('Données projet'!$B$14,Paramètres!$A$1:$I$89,3,0)*VLOOKUP('Données projet'!$B$14,Paramètres!$A$1:$I$89,5,0)</f>
        <v>299.94119999999981</v>
      </c>
      <c r="DQ82" s="13">
        <f t="shared" si="97"/>
        <v>71.164136596531506</v>
      </c>
      <c r="DR82" s="20">
        <f t="shared" si="70"/>
        <v>646.34179457229197</v>
      </c>
      <c r="DS82" s="59">
        <f t="shared" si="71"/>
        <v>939.67512790562523</v>
      </c>
      <c r="DT82" s="59">
        <f ca="1">AVERAGE(OFFSET($DS$3,0,0,'Données projet'!$E$14+1,1))-AVERAGE(OFFSET($H$3,0,0,'Données projet'!$E$14+1,1))</f>
        <v>325.72928944930294</v>
      </c>
      <c r="DU82" s="59">
        <f t="shared" si="98"/>
        <v>318.38876834819752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6.5609349376751798</v>
      </c>
      <c r="EB82" s="21">
        <f>EXP(-LN(2)/25)*EB81+(1-EXP(-LN(2)/25))/(LN(2)/25)*Calculateur!DW82*Calculateur!DY82*VLOOKUP('Données projet'!$B$14,Paramètres!$A$1:$I$89,3,0)*0.475*44/12</f>
        <v>5.3153178630539308</v>
      </c>
      <c r="EC82" s="21">
        <f>EXP(-LN(2)/2)*EC81+(1-EXP(-LN(2)/2))/(LN(2)/2)*DW82*DZ82*VLOOKUP('Données projet'!$B$14,Paramètres!$A$1:$I$89,3,0)*0.475*44/12</f>
        <v>4.9858546034967782E-7</v>
      </c>
      <c r="ED82" s="22">
        <f t="shared" si="72"/>
        <v>11.876253299314572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7.2</v>
      </c>
      <c r="EJ82" s="12">
        <f>IF('Données projet'!$A$192&gt;35,EJ81+EI82-ER81,IF(A82&lt;'Données projet'!$A$192,$EG$205^A82,IF(A82='Données projet'!$A$192,'Données projet'!$B$192,EJ81+EI82-ER81)))</f>
        <v>312.8</v>
      </c>
      <c r="EK82" s="17">
        <f>EJ82*VLOOKUP('Données projet'!$B$15,Paramètres!$A$1:$I$89,3,0)*VLOOKUP('Données projet'!$B$15,Paramètres!$A$1:$I$89,5,0)</f>
        <v>317.17920000000004</v>
      </c>
      <c r="EL82" s="13">
        <f t="shared" si="99"/>
        <v>74.766129261581426</v>
      </c>
      <c r="EM82" s="20">
        <f t="shared" si="73"/>
        <v>682.63811513058772</v>
      </c>
      <c r="EN82" s="59">
        <f t="shared" si="74"/>
        <v>975.97144846392098</v>
      </c>
      <c r="EO82" s="59">
        <f ca="1">AVERAGE(OFFSET($EN$3,0,0,'Données projet'!$E$15+1,1))-AVERAGE(OFFSET($H$3,0,0,'Données projet'!$E$15+1,1))</f>
        <v>384.50065773787549</v>
      </c>
      <c r="EP82" s="59">
        <f t="shared" si="100"/>
        <v>231.92898690465887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3.1036184527000681</v>
      </c>
      <c r="EW82" s="21">
        <f>EXP(-LN(2)/25)*EW81+(1-EXP(-LN(2)/25))/(LN(2)/25)*Calculateur!ER82*Calculateur!ET82*VLOOKUP('Données projet'!$B$15,Paramètres!$A$1:$I$89,3,0)*0.475*44/12</f>
        <v>2.6975127587972723</v>
      </c>
      <c r="EX82" s="21">
        <f>EXP(-LN(2)/2)*EX81+(1-EXP(-LN(2)/2))/(LN(2)/2)*ER82*EU82*VLOOKUP('Données projet'!$B$15,Paramètres!$A$1:$I$89,3,0)*0.475*44/12</f>
        <v>4.0313033195797851E-7</v>
      </c>
      <c r="EY82" s="22">
        <f t="shared" si="75"/>
        <v>5.8011316146276721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7.2</v>
      </c>
      <c r="FE82" s="12">
        <f>IF('Données projet'!$A$218&gt;35,FE81+FD82-FM81,IF(A82&lt;'Données projet'!$A$218,$FB$205^A82,IF(A82='Données projet'!$A$218,'Données projet'!$B$218,FE81+FD82-FM81)))</f>
        <v>312.8</v>
      </c>
      <c r="FF82" s="17">
        <f>FE82*VLOOKUP('Données projet'!$B$16,Paramètres!$A$1:$I$89,3,0)*VLOOKUP('Données projet'!$B$16,Paramètres!$A$1:$I$89,5,0)</f>
        <v>283.02144000000004</v>
      </c>
      <c r="FG82" s="13">
        <f t="shared" si="101"/>
        <v>67.605126603830598</v>
      </c>
      <c r="FH82" s="20">
        <f t="shared" si="76"/>
        <v>610.67460350167164</v>
      </c>
      <c r="FI82" s="59">
        <f t="shared" si="77"/>
        <v>904.00793683500501</v>
      </c>
      <c r="FJ82" s="59">
        <f ca="1">AVERAGE(OFFSET($FI$3,0,0,'Données projet'!$E$16+1,1))-AVERAGE(OFFSET($H$3,0,0,'Données projet'!$E$16+1,1))</f>
        <v>326.46362829268969</v>
      </c>
      <c r="FK82" s="59">
        <f t="shared" si="102"/>
        <v>203.5274665601915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2.7693826193323656</v>
      </c>
      <c r="FR82" s="21">
        <f>EXP(-LN(2)/25)*FR81+(1-EXP(-LN(2)/25))/(LN(2)/25)*Calculateur!FM82*Calculateur!FO82*VLOOKUP('Données projet'!$B$16,Paramètres!$A$1:$I$89,3,0)*0.475*44/12</f>
        <v>2.4070113847729484</v>
      </c>
      <c r="FS82" s="21">
        <f>EXP(-LN(2)/2)*FS81+(1-EXP(-LN(2)/2))/(LN(2)/2)*FM82*FP82*VLOOKUP('Données projet'!$B$16,Paramètres!$A$1:$I$89,3,0)*0.475*44/12</f>
        <v>3.5971629620865773E-7</v>
      </c>
      <c r="FT82" s="22">
        <f t="shared" si="78"/>
        <v>5.1763943638216094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7.2</v>
      </c>
      <c r="FZ82" s="12">
        <f>IF('Données projet'!$A$244&gt;35,FZ81+FY82-GH81,IF(A82&lt;'Données projet'!$A$244,$FW$205^A82,IF(A82='Données projet'!$A$244,'Données projet'!$B$244,FZ81+FY82-GH81)))</f>
        <v>312.8</v>
      </c>
      <c r="GA82" s="17">
        <f>FZ82*VLOOKUP('Données projet'!$B$17,Paramètres!$A$1:$I$89,3,0)*VLOOKUP('Données projet'!$B$17,Paramètres!$A$1:$I$89,5,0)</f>
        <v>302.54016000000001</v>
      </c>
      <c r="GB82" s="13">
        <f t="shared" si="103"/>
        <v>71.708716984815311</v>
      </c>
      <c r="GC82" s="20">
        <f t="shared" si="79"/>
        <v>651.81679408188654</v>
      </c>
      <c r="GD82" s="59">
        <f t="shared" si="80"/>
        <v>945.15012741521991</v>
      </c>
      <c r="GE82" s="59">
        <f ca="1">AVERAGE(OFFSET($GD$3,0,0,'Données projet'!$E$17+1,1))-AVERAGE(OFFSET($H$3,0,0,'Données projet'!$E$17+1,1))</f>
        <v>353.24082990916918</v>
      </c>
      <c r="GF82" s="59">
        <f t="shared" si="104"/>
        <v>219.76562717496353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2.9603745241139099</v>
      </c>
      <c r="GM82" s="21">
        <f>EXP(-LN(2)/25)*GM81+(1-EXP(-LN(2)/25))/(LN(2)/25)*Calculateur!GH82*Calculateur!GJ82*VLOOKUP('Données projet'!$B$17,Paramètres!$A$1:$I$89,3,0)*0.475*44/12</f>
        <v>2.5730121699297053</v>
      </c>
      <c r="GN82" s="21">
        <f>EXP(-LN(2)/2)*GN81+(1-EXP(-LN(2)/2))/(LN(2)/2)*GH82*GK82*VLOOKUP('Données projet'!$B$17,Paramètres!$A$1:$I$89,3,0)*0.475*44/12</f>
        <v>3.8452431663684113E-7</v>
      </c>
      <c r="GO82" s="21">
        <f t="shared" si="81"/>
        <v>5.533387078567932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378.17323480030268</v>
      </c>
      <c r="T83" s="59">
        <f t="shared" si="88"/>
        <v>471.89239871617241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1.6363784758414019</v>
      </c>
      <c r="AA83" s="21">
        <f>EXP(-LN(2)/25)*AA82+(1-EXP(-LN(2)/25))/(LN(2)/25)*Calculateur!V83*Calculateur!X83*VLOOKUP('Données projet'!$B$9,Paramètres!$A$1:$I$89,3,0)*0.475*44/12</f>
        <v>5.2003488581559791</v>
      </c>
      <c r="AB83" s="21">
        <f>EXP(-LN(2)/2)*AB82+(1-EXP(-LN(2)/2))/(LN(2)/2)*V83*Y83*VLOOKUP('Données projet'!$B$9,Paramètres!$A$1:$I$89,3,0)*0.475*44/12</f>
        <v>3.1174990329364985E-7</v>
      </c>
      <c r="AC83" s="22">
        <f t="shared" si="57"/>
        <v>6.8367276457472839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141.22849894256314</v>
      </c>
      <c r="AO83" s="59">
        <f t="shared" si="90"/>
        <v>156.12101479343704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2.7324951237560033</v>
      </c>
      <c r="AV83" s="21">
        <f>EXP(-LN(2)/25)*AV82+(1-EXP(-LN(2)/25))/(LN(2)/25)*Calculateur!AQ83*Calculateur!AS83*VLOOKUP('Données projet'!$B$10,Paramètres!$A$1:$I$89,3,0)*0.475*44/12</f>
        <v>1.5056344327600681</v>
      </c>
      <c r="AW83" s="21">
        <f>EXP(-LN(2)/2)*AW82+(1-EXP(-LN(2)/2))/(LN(2)/2)*AQ83*AT83*VLOOKUP('Données projet'!$B$10,Paramètres!$A$1:$I$89,3,0)*0.475*44/12</f>
        <v>8.8154406255233699E-8</v>
      </c>
      <c r="AX83" s="21">
        <f t="shared" si="60"/>
        <v>4.2381296446704777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114.25511901730295</v>
      </c>
      <c r="BJ83" s="59">
        <f t="shared" si="92"/>
        <v>180.96261947642182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1.2699199024402268</v>
      </c>
      <c r="BQ83" s="21">
        <f>EXP(-LN(2)/25)*BQ82+(1-EXP(-LN(2)/25))/(LN(2)/25)*Calculateur!BL83*Calculateur!BN83*VLOOKUP('Données projet'!$B$11,Paramètres!$A$1:$I$89,3,0)*0.475*44/12</f>
        <v>4.4537991046265297</v>
      </c>
      <c r="BR83" s="21">
        <f>EXP(-LN(2)/2)*BR82+(1-EXP(-LN(2)/2))/(LN(2)/2)*BL83*BO83*VLOOKUP('Données projet'!$B$11,Paramètres!$A$1:$I$89,3,0)*0.475*44/12</f>
        <v>2.0361133033579024E-7</v>
      </c>
      <c r="BS83" s="22">
        <f t="shared" si="63"/>
        <v>5.7237192106780874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5.6843418860808015E-14</v>
      </c>
      <c r="BZ83" s="13">
        <f>BY83*VLOOKUP('Données projet'!$B$12,Paramètres!$A$1:$I$89,3,0)*VLOOKUP('Données projet'!$B$12,Paramètres!$A$1:$I$89,5,0)</f>
        <v>4.4337866711430253E-14</v>
      </c>
      <c r="CA83" s="13">
        <f t="shared" si="93"/>
        <v>7.3222115536967035E-13</v>
      </c>
      <c r="CB83" s="20">
        <f t="shared" si="64"/>
        <v>1.3525069634579169E-12</v>
      </c>
      <c r="CC83" s="59">
        <f t="shared" si="65"/>
        <v>293.33333333333468</v>
      </c>
      <c r="CD83" s="59">
        <f ca="1">AVERAGE(OFFSET($CC$3,0,0,'Données projet'!$E$12+1,1))-AVERAGE(OFFSET($H$3,0,0,'Données projet'!$E$12+1,1))</f>
        <v>216.95993967070063</v>
      </c>
      <c r="CE83" s="59">
        <f t="shared" si="94"/>
        <v>208.79744153433245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1.9193941466817324</v>
      </c>
      <c r="CL83" s="21">
        <f>EXP(-LN(2)/25)*CL82+(1-EXP(-LN(2)/25))/(LN(2)/25)*Calculateur!CG83*Calculateur!CI83*VLOOKUP('Données projet'!$B$12,Paramètres!$A$1:$I$89,3,0)*0.475*44/12</f>
        <v>1.6043390590496724</v>
      </c>
      <c r="CM83" s="21">
        <f>EXP(-LN(2)/2)*CM82+(1-EXP(-LN(2)/2))/(LN(2)/2)*CG83*CJ83*VLOOKUP('Données projet'!$B$12,Paramètres!$A$1:$I$89,3,0)*0.475*44/12</f>
        <v>3.6764393940673082E-8</v>
      </c>
      <c r="CN83" s="22">
        <f t="shared" si="66"/>
        <v>3.5237332424957986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5.6843418860808015E-14</v>
      </c>
      <c r="CU83" s="17">
        <f>CT83*VLOOKUP('Données projet'!$B$13,Paramètres!$A$1:$I$89,3,0)*VLOOKUP('Données projet'!$B$13,Paramètres!$A$1:$I$89,5,0)</f>
        <v>3.813056537183002E-14</v>
      </c>
      <c r="CV83" s="13">
        <f t="shared" si="95"/>
        <v>6.4086286045526829E-13</v>
      </c>
      <c r="CW83" s="20">
        <f t="shared" si="67"/>
        <v>1.1825802166488628E-12</v>
      </c>
      <c r="CX83" s="59">
        <f t="shared" si="68"/>
        <v>293.33333333333451</v>
      </c>
      <c r="CY83" s="59">
        <f ca="1">AVERAGE(OFFSET($CX$3,0,0,'Données projet'!$E$13+1,1))-AVERAGE(OFFSET($H$3,0,0,'Données projet'!$E$13+1,1))</f>
        <v>181.32837315090507</v>
      </c>
      <c r="CZ83" s="59">
        <f t="shared" si="96"/>
        <v>175.03267817980338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2.0345577954826348</v>
      </c>
      <c r="DG83" s="21">
        <f>EXP(-LN(2)/25)*DG82+(1-EXP(-LN(2)/25))/(LN(2)/25)*Calculateur!DB83*Calculateur!DD83*VLOOKUP('Données projet'!$B$13,Paramètres!$A$1:$I$89,3,0)*0.475*44/12</f>
        <v>1.7005994025926536</v>
      </c>
      <c r="DH83" s="21">
        <f>EXP(-LN(2)/2)*DH82+(1-EXP(-LN(2)/2))/(LN(2)/2)*DB83*DE83*VLOOKUP('Données projet'!$B$13,Paramètres!$A$1:$I$89,3,0)*0.475*44/12</f>
        <v>3.1617378788978837E-8</v>
      </c>
      <c r="DI83" s="22">
        <f t="shared" si="69"/>
        <v>3.7351572296926676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381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380.99999999999972</v>
      </c>
      <c r="DP83" s="17">
        <f>DO83*VLOOKUP('Données projet'!$B$14,Paramètres!$A$1:$I$89,3,0)*VLOOKUP('Données projet'!$B$14,Paramètres!$A$1:$I$89,5,0)</f>
        <v>303.12359999999978</v>
      </c>
      <c r="DQ83" s="13">
        <f t="shared" si="97"/>
        <v>71.830894732837621</v>
      </c>
      <c r="DR83" s="20">
        <f t="shared" si="70"/>
        <v>653.0457449930251</v>
      </c>
      <c r="DS83" s="59">
        <f t="shared" si="71"/>
        <v>946.37907832635847</v>
      </c>
      <c r="DT83" s="59">
        <f ca="1">AVERAGE(OFFSET($DS$3,0,0,'Données projet'!$E$14+1,1))-AVERAGE(OFFSET($H$3,0,0,'Données projet'!$E$14+1,1))</f>
        <v>325.72928944930294</v>
      </c>
      <c r="DU83" s="59">
        <f t="shared" si="98"/>
        <v>318.38876834819752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381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6.4322790053225392</v>
      </c>
      <c r="EB83" s="21">
        <f>EXP(-LN(2)/25)*EB82+(1-EXP(-LN(2)/25))/(LN(2)/25)*Calculateur!DW83*Calculateur!DY83*VLOOKUP('Données projet'!$B$14,Paramètres!$A$1:$I$89,3,0)*0.475*44/12</f>
        <v>5.169970216568303</v>
      </c>
      <c r="EC83" s="21">
        <f>EXP(-LN(2)/2)*EC82+(1-EXP(-LN(2)/2))/(LN(2)/2)*DW83*DZ83*VLOOKUP('Données projet'!$B$14,Paramètres!$A$1:$I$89,3,0)*0.475*44/12</f>
        <v>3.5255316001427371E-7</v>
      </c>
      <c r="ED83" s="22">
        <f t="shared" si="72"/>
        <v>11.602249574444002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320</v>
      </c>
      <c r="EH83" s="12">
        <f>VLOOKUP(A83,'Données projet'!$A$191:$I$211,9,0)</f>
        <v>7.2</v>
      </c>
      <c r="EI83" s="12">
        <f t="array" ref="EI83">INDEX(EH:EH,MIN(IF(ISNUMBER(EH83:EH279),ROW(EH83:EH279),"")))</f>
        <v>7.2</v>
      </c>
      <c r="EJ83" s="12">
        <f>IF('Données projet'!$A$192&gt;35,EJ82+EI83-ER82,IF(A83&lt;'Données projet'!$A$192,$EG$205^A83,IF(A83='Données projet'!$A$192,'Données projet'!$B$192,EJ82+EI83-ER82)))</f>
        <v>320</v>
      </c>
      <c r="EK83" s="17">
        <f>EJ83*VLOOKUP('Données projet'!$B$15,Paramètres!$A$1:$I$89,3,0)*VLOOKUP('Données projet'!$B$15,Paramètres!$A$1:$I$89,5,0)</f>
        <v>324.48</v>
      </c>
      <c r="EL83" s="13">
        <f t="shared" si="99"/>
        <v>76.284749200165578</v>
      </c>
      <c r="EM83" s="20">
        <f t="shared" si="73"/>
        <v>697.99860485695501</v>
      </c>
      <c r="EN83" s="59">
        <f t="shared" si="74"/>
        <v>991.33193819028838</v>
      </c>
      <c r="EO83" s="59">
        <f ca="1">AVERAGE(OFFSET($EN$3,0,0,'Données projet'!$E$15+1,1))-AVERAGE(OFFSET($H$3,0,0,'Données projet'!$E$15+1,1))</f>
        <v>384.50065773787549</v>
      </c>
      <c r="EP83" s="59">
        <f t="shared" si="100"/>
        <v>231.92898690465887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28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3.0427583878629556</v>
      </c>
      <c r="EW83" s="21">
        <f>EXP(-LN(2)/25)*EW82+(1-EXP(-LN(2)/25))/(LN(2)/25)*Calculateur!ER83*Calculateur!ET83*VLOOKUP('Données projet'!$B$15,Paramètres!$A$1:$I$89,3,0)*0.475*44/12</f>
        <v>2.6237491305519303</v>
      </c>
      <c r="EX83" s="21">
        <f>EXP(-LN(2)/2)*EX82+(1-EXP(-LN(2)/2))/(LN(2)/2)*ER83*EU83*VLOOKUP('Données projet'!$B$15,Paramètres!$A$1:$I$89,3,0)*0.475*44/12</f>
        <v>2.8505619142947057E-7</v>
      </c>
      <c r="EY83" s="22">
        <f t="shared" si="75"/>
        <v>5.6665078034710765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320</v>
      </c>
      <c r="FC83" s="12">
        <f>VLOOKUP(A83,'Données projet'!$A$217:$I$237,9,0)</f>
        <v>7.2</v>
      </c>
      <c r="FD83" s="12">
        <f t="array" ref="FD83">INDEX(FC:FC,MIN(IF(ISNUMBER(FC83:FC279),ROW(FC83:FC279),"")))</f>
        <v>7.2</v>
      </c>
      <c r="FE83" s="12">
        <f>IF('Données projet'!$A$218&gt;35,FE82+FD83-FM82,IF(A83&lt;'Données projet'!$A$218,$FB$205^A83,IF(A83='Données projet'!$A$218,'Données projet'!$B$218,FE82+FD83-FM82)))</f>
        <v>320</v>
      </c>
      <c r="FF83" s="17">
        <f>FE83*VLOOKUP('Données projet'!$B$16,Paramètres!$A$1:$I$89,3,0)*VLOOKUP('Données projet'!$B$16,Paramètres!$A$1:$I$89,5,0)</f>
        <v>289.536</v>
      </c>
      <c r="FG83" s="13">
        <f t="shared" si="101"/>
        <v>68.97829509904436</v>
      </c>
      <c r="FH83" s="20">
        <f t="shared" si="76"/>
        <v>624.41239729750225</v>
      </c>
      <c r="FI83" s="59">
        <f t="shared" si="77"/>
        <v>917.74573063083562</v>
      </c>
      <c r="FJ83" s="59">
        <f ca="1">AVERAGE(OFFSET($FI$3,0,0,'Données projet'!$E$16+1,1))-AVERAGE(OFFSET($H$3,0,0,'Données projet'!$E$16+1,1))</f>
        <v>326.46362829268969</v>
      </c>
      <c r="FK83" s="59">
        <f t="shared" si="102"/>
        <v>203.5274665601915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28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2.7150767153238653</v>
      </c>
      <c r="FR83" s="21">
        <f>EXP(-LN(2)/25)*FR82+(1-EXP(-LN(2)/25))/(LN(2)/25)*Calculateur!FM83*Calculateur!FO83*VLOOKUP('Données projet'!$B$16,Paramètres!$A$1:$I$89,3,0)*0.475*44/12</f>
        <v>2.3411915318771048</v>
      </c>
      <c r="FS83" s="21">
        <f>EXP(-LN(2)/2)*FS82+(1-EXP(-LN(2)/2))/(LN(2)/2)*FM83*FP83*VLOOKUP('Données projet'!$B$16,Paramètres!$A$1:$I$89,3,0)*0.475*44/12</f>
        <v>2.5435783235245065E-7</v>
      </c>
      <c r="FT83" s="22">
        <f t="shared" si="78"/>
        <v>5.0562685015588027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320</v>
      </c>
      <c r="FX83" s="12">
        <f>VLOOKUP(A83,'Données projet'!$A$243:$I$263,9,0)</f>
        <v>7.2</v>
      </c>
      <c r="FY83" s="12">
        <f t="array" ref="FY83">INDEX(FX:FX,MIN(IF(ISNUMBER(FX83:FX279),ROW(FX83:FX279),"")))</f>
        <v>7.2</v>
      </c>
      <c r="FZ83" s="12">
        <f>IF('Données projet'!$A$244&gt;35,FZ82+FY83-GH82,IF(A83&lt;'Données projet'!$A$244,$FW$205^A83,IF(A83='Données projet'!$A$244,'Données projet'!$B$244,FZ82+FY83-GH82)))</f>
        <v>320</v>
      </c>
      <c r="GA83" s="17">
        <f>FZ83*VLOOKUP('Données projet'!$B$17,Paramètres!$A$1:$I$89,3,0)*VLOOKUP('Données projet'!$B$17,Paramètres!$A$1:$I$89,5,0)</f>
        <v>309.50400000000002</v>
      </c>
      <c r="GB83" s="13">
        <f t="shared" si="103"/>
        <v>73.165235978896504</v>
      </c>
      <c r="GC83" s="20">
        <f t="shared" si="79"/>
        <v>666.48225266324471</v>
      </c>
      <c r="GD83" s="59">
        <f t="shared" si="80"/>
        <v>959.81558599657797</v>
      </c>
      <c r="GE83" s="59">
        <f ca="1">AVERAGE(OFFSET($GD$3,0,0,'Données projet'!$E$17+1,1))-AVERAGE(OFFSET($H$3,0,0,'Données projet'!$E$17+1,1))</f>
        <v>353.24082990916918</v>
      </c>
      <c r="GF83" s="59">
        <f t="shared" si="104"/>
        <v>219.76562717496353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28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2.9023233853462025</v>
      </c>
      <c r="GM83" s="21">
        <f>EXP(-LN(2)/25)*GM82+(1-EXP(-LN(2)/25))/(LN(2)/25)*Calculateur!GH83*Calculateur!GJ83*VLOOKUP('Données projet'!$B$17,Paramètres!$A$1:$I$89,3,0)*0.475*44/12</f>
        <v>2.5026530168341483</v>
      </c>
      <c r="GN83" s="21">
        <f>EXP(-LN(2)/2)*GN82+(1-EXP(-LN(2)/2))/(LN(2)/2)*GH83*GK83*VLOOKUP('Données projet'!$B$17,Paramètres!$A$1:$I$89,3,0)*0.475*44/12</f>
        <v>2.7189975182503353E-7</v>
      </c>
      <c r="GO83" s="21">
        <f t="shared" si="81"/>
        <v>5.4049766740801024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378.17323480030268</v>
      </c>
      <c r="T84" s="59">
        <f t="shared" si="88"/>
        <v>471.89239871617241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1.604290092022469</v>
      </c>
      <c r="AA84" s="21">
        <f>EXP(-LN(2)/25)*AA83+(1-EXP(-LN(2)/25))/(LN(2)/25)*Calculateur!V84*Calculateur!X84*VLOOKUP('Données projet'!$B$9,Paramètres!$A$1:$I$89,3,0)*0.475*44/12</f>
        <v>5.0581450451552428</v>
      </c>
      <c r="AB84" s="21">
        <f>EXP(-LN(2)/2)*AB83+(1-EXP(-LN(2)/2))/(LN(2)/2)*V84*Y84*VLOOKUP('Données projet'!$B$9,Paramètres!$A$1:$I$89,3,0)*0.475*44/12</f>
        <v>2.2044047065319022E-7</v>
      </c>
      <c r="AC84" s="22">
        <f t="shared" si="57"/>
        <v>6.6624353576181816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141.22849894256314</v>
      </c>
      <c r="AO84" s="59">
        <f t="shared" si="90"/>
        <v>156.12101479343704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2.6789125610366047</v>
      </c>
      <c r="AV84" s="21">
        <f>EXP(-LN(2)/25)*AV83+(1-EXP(-LN(2)/25))/(LN(2)/25)*Calculateur!AQ84*Calculateur!AS84*VLOOKUP('Données projet'!$B$10,Paramètres!$A$1:$I$89,3,0)*0.475*44/12</f>
        <v>1.4644627800183705</v>
      </c>
      <c r="AW84" s="21">
        <f>EXP(-LN(2)/2)*AW83+(1-EXP(-LN(2)/2))/(LN(2)/2)*AQ84*AT84*VLOOKUP('Données projet'!$B$10,Paramètres!$A$1:$I$89,3,0)*0.475*44/12</f>
        <v>6.233457845454955E-8</v>
      </c>
      <c r="AX84" s="21">
        <f t="shared" si="60"/>
        <v>4.1433754033895536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114.25511901730295</v>
      </c>
      <c r="BJ84" s="59">
        <f t="shared" si="92"/>
        <v>180.96261947642182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1.2450175477280316</v>
      </c>
      <c r="BQ84" s="21">
        <f>EXP(-LN(2)/25)*BQ83+(1-EXP(-LN(2)/25))/(LN(2)/25)*Calculateur!BL84*Calculateur!BN84*VLOOKUP('Données projet'!$B$11,Paramètres!$A$1:$I$89,3,0)*0.475*44/12</f>
        <v>4.3320097338954016</v>
      </c>
      <c r="BR84" s="21">
        <f>EXP(-LN(2)/2)*BR83+(1-EXP(-LN(2)/2))/(LN(2)/2)*BL84*BO84*VLOOKUP('Données projet'!$B$11,Paramètres!$A$1:$I$89,3,0)*0.475*44/12</f>
        <v>1.4397495240685147E-7</v>
      </c>
      <c r="BS84" s="22">
        <f t="shared" si="63"/>
        <v>5.577027425598386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4.4337866711430253E-14</v>
      </c>
      <c r="CA84" s="13">
        <f t="shared" si="93"/>
        <v>7.3222115536967035E-13</v>
      </c>
      <c r="CB84" s="20">
        <f t="shared" si="64"/>
        <v>1.3525069634579169E-12</v>
      </c>
      <c r="CC84" s="59">
        <f t="shared" si="65"/>
        <v>293.33333333333468</v>
      </c>
      <c r="CD84" s="59">
        <f ca="1">AVERAGE(OFFSET($CC$3,0,0,'Données projet'!$E$12+1,1))-AVERAGE(OFFSET($H$3,0,0,'Données projet'!$E$12+1,1))</f>
        <v>216.95993967070063</v>
      </c>
      <c r="CE84" s="59">
        <f t="shared" si="94"/>
        <v>208.79744153433245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1.8817559981801346</v>
      </c>
      <c r="CL84" s="21">
        <f>EXP(-LN(2)/25)*CL83+(1-EXP(-LN(2)/25))/(LN(2)/25)*Calculateur!CG84*Calculateur!CI84*VLOOKUP('Données projet'!$B$12,Paramètres!$A$1:$I$89,3,0)*0.475*44/12</f>
        <v>1.5604683231114349</v>
      </c>
      <c r="CM84" s="21">
        <f>EXP(-LN(2)/2)*CM83+(1-EXP(-LN(2)/2))/(LN(2)/2)*CG84*CJ84*VLOOKUP('Données projet'!$B$12,Paramètres!$A$1:$I$89,3,0)*0.475*44/12</f>
        <v>2.5996352261663555E-8</v>
      </c>
      <c r="CN84" s="22">
        <f t="shared" si="66"/>
        <v>3.4422243472879219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3.813056537183002E-14</v>
      </c>
      <c r="CV84" s="13">
        <f t="shared" si="95"/>
        <v>6.4086286045526829E-13</v>
      </c>
      <c r="CW84" s="20">
        <f t="shared" si="67"/>
        <v>1.1825802166488628E-12</v>
      </c>
      <c r="CX84" s="59">
        <f t="shared" si="68"/>
        <v>293.33333333333451</v>
      </c>
      <c r="CY84" s="59">
        <f ca="1">AVERAGE(OFFSET($CX$3,0,0,'Données projet'!$E$13+1,1))-AVERAGE(OFFSET($H$3,0,0,'Données projet'!$E$13+1,1))</f>
        <v>181.32837315090507</v>
      </c>
      <c r="CZ84" s="59">
        <f t="shared" si="96"/>
        <v>175.03267817980338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1.9946613580709411</v>
      </c>
      <c r="DG84" s="21">
        <f>EXP(-LN(2)/25)*DG83+(1-EXP(-LN(2)/25))/(LN(2)/25)*Calculateur!DB84*Calculateur!DD84*VLOOKUP('Données projet'!$B$13,Paramètres!$A$1:$I$89,3,0)*0.475*44/12</f>
        <v>1.6540964224981216</v>
      </c>
      <c r="DH84" s="21">
        <f>EXP(-LN(2)/2)*DH83+(1-EXP(-LN(2)/2))/(LN(2)/2)*DB84*DE84*VLOOKUP('Données projet'!$B$13,Paramètres!$A$1:$I$89,3,0)*0.475*44/12</f>
        <v>2.2356862945030648E-8</v>
      </c>
      <c r="DI84" s="22">
        <f t="shared" si="69"/>
        <v>3.6487578029259256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-2.8421709430404007E-13</v>
      </c>
      <c r="DP84" s="17">
        <f>DO84*VLOOKUP('Données projet'!$B$14,Paramètres!$A$1:$I$89,3,0)*VLOOKUP('Données projet'!$B$14,Paramètres!$A$1:$I$89,5,0)</f>
        <v>-2.2612312022829427E-13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325.72928944930294</v>
      </c>
      <c r="DU84" s="59">
        <f t="shared" si="98"/>
        <v>318.38876834819752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6.3061459373309638</v>
      </c>
      <c r="EB84" s="21">
        <f>EXP(-LN(2)/25)*EB83+(1-EXP(-LN(2)/25))/(LN(2)/25)*Calculateur!DW84*Calculateur!DY84*VLOOKUP('Données projet'!$B$14,Paramètres!$A$1:$I$89,3,0)*0.475*44/12</f>
        <v>5.0285971091193256</v>
      </c>
      <c r="EC84" s="21">
        <f>EXP(-LN(2)/2)*EC83+(1-EXP(-LN(2)/2))/(LN(2)/2)*DW84*DZ84*VLOOKUP('Données projet'!$B$14,Paramètres!$A$1:$I$89,3,0)*0.475*44/12</f>
        <v>2.4929273017483891E-7</v>
      </c>
      <c r="ED84" s="22">
        <f t="shared" si="72"/>
        <v>11.334743295743019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6.8</v>
      </c>
      <c r="EJ84" s="12">
        <f>IF('Données projet'!$A$192&gt;35,EJ83+EI84-ER83,IF(A84&lt;'Données projet'!$A$192,$EG$205^A84,IF(A84='Données projet'!$A$192,'Données projet'!$B$192,EJ83+EI84-ER83)))</f>
        <v>298.8</v>
      </c>
      <c r="EK84" s="17">
        <f>EJ84*VLOOKUP('Données projet'!$B$15,Paramètres!$A$1:$I$89,3,0)*VLOOKUP('Données projet'!$B$15,Paramètres!$A$1:$I$89,5,0)</f>
        <v>302.98320000000007</v>
      </c>
      <c r="EL84" s="13">
        <f t="shared" si="99"/>
        <v>71.801496173397709</v>
      </c>
      <c r="EM84" s="20">
        <f t="shared" si="73"/>
        <v>652.75001250200114</v>
      </c>
      <c r="EN84" s="59">
        <f t="shared" si="74"/>
        <v>946.08334583533451</v>
      </c>
      <c r="EO84" s="59">
        <f ca="1">AVERAGE(OFFSET($EN$3,0,0,'Données projet'!$E$15+1,1))-AVERAGE(OFFSET($H$3,0,0,'Données projet'!$E$15+1,1))</f>
        <v>384.50065773787549</v>
      </c>
      <c r="EP84" s="59">
        <f t="shared" si="100"/>
        <v>231.92898690465887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2.9830917517763247</v>
      </c>
      <c r="EW84" s="21">
        <f>EXP(-LN(2)/25)*EW83+(1-EXP(-LN(2)/25))/(LN(2)/25)*Calculateur!ER84*Calculateur!ET84*VLOOKUP('Données projet'!$B$15,Paramètres!$A$1:$I$89,3,0)*0.475*44/12</f>
        <v>2.5520025726000175</v>
      </c>
      <c r="EX84" s="21">
        <f>EXP(-LN(2)/2)*EX83+(1-EXP(-LN(2)/2))/(LN(2)/2)*ER84*EU84*VLOOKUP('Données projet'!$B$15,Paramètres!$A$1:$I$89,3,0)*0.475*44/12</f>
        <v>2.0156516597898925E-7</v>
      </c>
      <c r="EY84" s="22">
        <f t="shared" si="75"/>
        <v>5.5350945259415081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6.8</v>
      </c>
      <c r="FE84" s="12">
        <f>IF('Données projet'!$A$218&gt;35,FE83+FD84-FM83,IF(A84&lt;'Données projet'!$A$218,$FB$205^A84,IF(A84='Données projet'!$A$218,'Données projet'!$B$218,FE83+FD84-FM83)))</f>
        <v>298.8</v>
      </c>
      <c r="FF84" s="17">
        <f>FE84*VLOOKUP('Données projet'!$B$16,Paramètres!$A$1:$I$89,3,0)*VLOOKUP('Données projet'!$B$16,Paramètres!$A$1:$I$89,5,0)</f>
        <v>270.35424</v>
      </c>
      <c r="FG84" s="13">
        <f t="shared" si="101"/>
        <v>64.924442218534367</v>
      </c>
      <c r="FH84" s="20">
        <f t="shared" si="76"/>
        <v>583.94370486394735</v>
      </c>
      <c r="FI84" s="59">
        <f t="shared" si="77"/>
        <v>877.27703819728072</v>
      </c>
      <c r="FJ84" s="59">
        <f ca="1">AVERAGE(OFFSET($FI$3,0,0,'Données projet'!$E$16+1,1))-AVERAGE(OFFSET($H$3,0,0,'Données projet'!$E$16+1,1))</f>
        <v>326.46362829268969</v>
      </c>
      <c r="FK84" s="59">
        <f t="shared" si="102"/>
        <v>203.5274665601915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2.6618357169696409</v>
      </c>
      <c r="FR84" s="21">
        <f>EXP(-LN(2)/25)*FR83+(1-EXP(-LN(2)/25))/(LN(2)/25)*Calculateur!FM84*Calculateur!FO84*VLOOKUP('Données projet'!$B$16,Paramètres!$A$1:$I$89,3,0)*0.475*44/12</f>
        <v>2.2771715263200134</v>
      </c>
      <c r="FS84" s="21">
        <f>EXP(-LN(2)/2)*FS83+(1-EXP(-LN(2)/2))/(LN(2)/2)*FM84*FP84*VLOOKUP('Données projet'!$B$16,Paramètres!$A$1:$I$89,3,0)*0.475*44/12</f>
        <v>1.7985814810432887E-7</v>
      </c>
      <c r="FT84" s="22">
        <f t="shared" si="78"/>
        <v>4.9390074231478023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6.8</v>
      </c>
      <c r="FZ84" s="12">
        <f>IF('Données projet'!$A$244&gt;35,FZ83+FY84-GH83,IF(A84&lt;'Données projet'!$A$244,$FW$205^A84,IF(A84='Données projet'!$A$244,'Données projet'!$B$244,FZ83+FY84-GH83)))</f>
        <v>298.8</v>
      </c>
      <c r="GA84" s="17">
        <f>FZ84*VLOOKUP('Données projet'!$B$17,Paramètres!$A$1:$I$89,3,0)*VLOOKUP('Données projet'!$B$17,Paramètres!$A$1:$I$89,5,0)</f>
        <v>288.99936000000002</v>
      </c>
      <c r="GB84" s="13">
        <f t="shared" si="103"/>
        <v>68.86531667529006</v>
      </c>
      <c r="GC84" s="20">
        <f t="shared" si="79"/>
        <v>623.2809785427969</v>
      </c>
      <c r="GD84" s="59">
        <f t="shared" si="80"/>
        <v>916.61431187613016</v>
      </c>
      <c r="GE84" s="59">
        <f ca="1">AVERAGE(OFFSET($GD$3,0,0,'Données projet'!$E$17+1,1))-AVERAGE(OFFSET($H$3,0,0,'Données projet'!$E$17+1,1))</f>
        <v>353.24082990916918</v>
      </c>
      <c r="GF84" s="59">
        <f t="shared" si="104"/>
        <v>219.76562717496353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2.8454105940020318</v>
      </c>
      <c r="GM84" s="21">
        <f>EXP(-LN(2)/25)*GM83+(1-EXP(-LN(2)/25))/(LN(2)/25)*Calculateur!GH84*Calculateur!GJ84*VLOOKUP('Données projet'!$B$17,Paramètres!$A$1:$I$89,3,0)*0.475*44/12</f>
        <v>2.4342178384800164</v>
      </c>
      <c r="GN84" s="21">
        <f>EXP(-LN(2)/2)*GN83+(1-EXP(-LN(2)/2))/(LN(2)/2)*GH84*GK84*VLOOKUP('Données projet'!$B$17,Paramètres!$A$1:$I$89,3,0)*0.475*44/12</f>
        <v>1.9226215831842056E-7</v>
      </c>
      <c r="GO84" s="21">
        <f t="shared" si="81"/>
        <v>5.2796286247442064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378.17323480030268</v>
      </c>
      <c r="T85" s="59">
        <f t="shared" si="88"/>
        <v>471.89239871617241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1.5728309418382436</v>
      </c>
      <c r="AA85" s="21">
        <f>EXP(-LN(2)/25)*AA84+(1-EXP(-LN(2)/25))/(LN(2)/25)*Calculateur!V85*Calculateur!X85*VLOOKUP('Données projet'!$B$9,Paramètres!$A$1:$I$89,3,0)*0.475*44/12</f>
        <v>4.9198298028991854</v>
      </c>
      <c r="AB85" s="21">
        <f>EXP(-LN(2)/2)*AB84+(1-EXP(-LN(2)/2))/(LN(2)/2)*V85*Y85*VLOOKUP('Données projet'!$B$9,Paramètres!$A$1:$I$89,3,0)*0.475*44/12</f>
        <v>1.5587495164682492E-7</v>
      </c>
      <c r="AC85" s="22">
        <f t="shared" si="57"/>
        <v>6.492660900612381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141.22849894256314</v>
      </c>
      <c r="AO85" s="59">
        <f t="shared" si="90"/>
        <v>156.12101479343704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2.6263807196899975</v>
      </c>
      <c r="AV85" s="21">
        <f>EXP(-LN(2)/25)*AV84+(1-EXP(-LN(2)/25))/(LN(2)/25)*Calculateur!AQ85*Calculateur!AS85*VLOOKUP('Données projet'!$B$10,Paramètres!$A$1:$I$89,3,0)*0.475*44/12</f>
        <v>1.4244169682860177</v>
      </c>
      <c r="AW85" s="21">
        <f>EXP(-LN(2)/2)*AW84+(1-EXP(-LN(2)/2))/(LN(2)/2)*AQ85*AT85*VLOOKUP('Données projet'!$B$10,Paramètres!$A$1:$I$89,3,0)*0.475*44/12</f>
        <v>4.4077203127616849E-8</v>
      </c>
      <c r="AX85" s="21">
        <f t="shared" si="60"/>
        <v>4.0507977320532182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114.25511901730295</v>
      </c>
      <c r="BJ85" s="59">
        <f t="shared" si="92"/>
        <v>180.96261947642182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1.2206035130028059</v>
      </c>
      <c r="BQ85" s="21">
        <f>EXP(-LN(2)/25)*BQ84+(1-EXP(-LN(2)/25))/(LN(2)/25)*Calculateur!BL85*Calculateur!BN85*VLOOKUP('Données projet'!$B$11,Paramètres!$A$1:$I$89,3,0)*0.475*44/12</f>
        <v>4.2135506999115409</v>
      </c>
      <c r="BR85" s="21">
        <f>EXP(-LN(2)/2)*BR84+(1-EXP(-LN(2)/2))/(LN(2)/2)*BL85*BO85*VLOOKUP('Données projet'!$B$11,Paramètres!$A$1:$I$89,3,0)*0.475*44/12</f>
        <v>1.0180566516789512E-7</v>
      </c>
      <c r="BS85" s="22">
        <f t="shared" si="63"/>
        <v>5.4341543147200122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4.4337866711430253E-14</v>
      </c>
      <c r="CA85" s="13">
        <f t="shared" si="93"/>
        <v>7.3222115536967035E-13</v>
      </c>
      <c r="CB85" s="20">
        <f t="shared" si="64"/>
        <v>1.3525069634579169E-12</v>
      </c>
      <c r="CC85" s="59">
        <f t="shared" si="65"/>
        <v>293.33333333333468</v>
      </c>
      <c r="CD85" s="59">
        <f ca="1">AVERAGE(OFFSET($CC$3,0,0,'Données projet'!$E$12+1,1))-AVERAGE(OFFSET($H$3,0,0,'Données projet'!$E$12+1,1))</f>
        <v>216.95993967070063</v>
      </c>
      <c r="CE85" s="59">
        <f t="shared" si="94"/>
        <v>208.79744153433245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1.8448559108136493</v>
      </c>
      <c r="CL85" s="21">
        <f>EXP(-LN(2)/25)*CL84+(1-EXP(-LN(2)/25))/(LN(2)/25)*Calculateur!CG85*Calculateur!CI85*VLOOKUP('Données projet'!$B$12,Paramètres!$A$1:$I$89,3,0)*0.475*44/12</f>
        <v>1.5177972347544901</v>
      </c>
      <c r="CM85" s="21">
        <f>EXP(-LN(2)/2)*CM84+(1-EXP(-LN(2)/2))/(LN(2)/2)*CG85*CJ85*VLOOKUP('Données projet'!$B$12,Paramètres!$A$1:$I$89,3,0)*0.475*44/12</f>
        <v>1.8382196970336541E-8</v>
      </c>
      <c r="CN85" s="22">
        <f t="shared" si="66"/>
        <v>3.3626531639503368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3.813056537183002E-14</v>
      </c>
      <c r="CV85" s="13">
        <f t="shared" si="95"/>
        <v>6.4086286045526829E-13</v>
      </c>
      <c r="CW85" s="20">
        <f t="shared" si="67"/>
        <v>1.1825802166488628E-12</v>
      </c>
      <c r="CX85" s="59">
        <f t="shared" si="68"/>
        <v>293.33333333333451</v>
      </c>
      <c r="CY85" s="59">
        <f ca="1">AVERAGE(OFFSET($CX$3,0,0,'Données projet'!$E$13+1,1))-AVERAGE(OFFSET($H$3,0,0,'Données projet'!$E$13+1,1))</f>
        <v>181.32837315090507</v>
      </c>
      <c r="CZ85" s="59">
        <f t="shared" si="96"/>
        <v>175.03267817980338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1.9555472654624668</v>
      </c>
      <c r="DG85" s="21">
        <f>EXP(-LN(2)/25)*DG84+(1-EXP(-LN(2)/25))/(LN(2)/25)*Calculateur!DB85*Calculateur!DD85*VLOOKUP('Données projet'!$B$13,Paramètres!$A$1:$I$89,3,0)*0.475*44/12</f>
        <v>1.6088650688397601</v>
      </c>
      <c r="DH85" s="21">
        <f>EXP(-LN(2)/2)*DH84+(1-EXP(-LN(2)/2))/(LN(2)/2)*DB85*DE85*VLOOKUP('Données projet'!$B$13,Paramètres!$A$1:$I$89,3,0)*0.475*44/12</f>
        <v>1.5808689394489418E-8</v>
      </c>
      <c r="DI85" s="22">
        <f t="shared" si="69"/>
        <v>3.5644123501109162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-2.8421709430404007E-13</v>
      </c>
      <c r="DP85" s="17">
        <f>DO85*VLOOKUP('Données projet'!$B$14,Paramètres!$A$1:$I$89,3,0)*VLOOKUP('Données projet'!$B$14,Paramètres!$A$1:$I$89,5,0)</f>
        <v>-2.2612312022829427E-13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325.72928944930294</v>
      </c>
      <c r="DU85" s="59">
        <f t="shared" si="98"/>
        <v>318.38876834819752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6.1824862618691281</v>
      </c>
      <c r="EB85" s="21">
        <f>EXP(-LN(2)/25)*EB84+(1-EXP(-LN(2)/25))/(LN(2)/25)*Calculateur!DW85*Calculateur!DY85*VLOOKUP('Données projet'!$B$14,Paramètres!$A$1:$I$89,3,0)*0.475*44/12</f>
        <v>4.891089856728029</v>
      </c>
      <c r="EC85" s="21">
        <f>EXP(-LN(2)/2)*EC84+(1-EXP(-LN(2)/2))/(LN(2)/2)*DW85*DZ85*VLOOKUP('Données projet'!$B$14,Paramètres!$A$1:$I$89,3,0)*0.475*44/12</f>
        <v>1.7627658000713686E-7</v>
      </c>
      <c r="ED85" s="22">
        <f t="shared" si="72"/>
        <v>11.073576294873737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6.8</v>
      </c>
      <c r="EJ85" s="12">
        <f>IF('Données projet'!$A$192&gt;35,EJ84+EI85-ER84,IF(A85&lt;'Données projet'!$A$192,$EG$205^A85,IF(A85='Données projet'!$A$192,'Données projet'!$B$192,EJ84+EI85-ER84)))</f>
        <v>305.60000000000002</v>
      </c>
      <c r="EK85" s="17">
        <f>EJ85*VLOOKUP('Données projet'!$B$15,Paramètres!$A$1:$I$89,3,0)*VLOOKUP('Données projet'!$B$15,Paramètres!$A$1:$I$89,5,0)</f>
        <v>309.87840000000006</v>
      </c>
      <c r="EL85" s="13">
        <f t="shared" si="99"/>
        <v>73.243434672131556</v>
      </c>
      <c r="EM85" s="20">
        <f t="shared" si="73"/>
        <v>667.27052872062916</v>
      </c>
      <c r="EN85" s="59">
        <f t="shared" si="74"/>
        <v>960.60386205396253</v>
      </c>
      <c r="EO85" s="59">
        <f ca="1">AVERAGE(OFFSET($EN$3,0,0,'Données projet'!$E$15+1,1))-AVERAGE(OFFSET($H$3,0,0,'Données projet'!$E$15+1,1))</f>
        <v>384.50065773787549</v>
      </c>
      <c r="EP85" s="59">
        <f t="shared" si="100"/>
        <v>231.92898690465887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2.9245951420302982</v>
      </c>
      <c r="EW85" s="21">
        <f>EXP(-LN(2)/25)*EW84+(1-EXP(-LN(2)/25))/(LN(2)/25)*Calculateur!ER85*Calculateur!ET85*VLOOKUP('Données projet'!$B$15,Paramètres!$A$1:$I$89,3,0)*0.475*44/12</f>
        <v>2.4822179280482874</v>
      </c>
      <c r="EX85" s="21">
        <f>EXP(-LN(2)/2)*EX84+(1-EXP(-LN(2)/2))/(LN(2)/2)*ER85*EU85*VLOOKUP('Données projet'!$B$15,Paramètres!$A$1:$I$89,3,0)*0.475*44/12</f>
        <v>1.4252809571473529E-7</v>
      </c>
      <c r="EY85" s="22">
        <f t="shared" si="75"/>
        <v>5.4068132126066821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6.8</v>
      </c>
      <c r="FE85" s="12">
        <f>IF('Données projet'!$A$218&gt;35,FE84+FD85-FM84,IF(A85&lt;'Données projet'!$A$218,$FB$205^A85,IF(A85='Données projet'!$A$218,'Données projet'!$B$218,FE84+FD85-FM84)))</f>
        <v>305.60000000000002</v>
      </c>
      <c r="FF85" s="17">
        <f>FE85*VLOOKUP('Données projet'!$B$16,Paramètres!$A$1:$I$89,3,0)*VLOOKUP('Données projet'!$B$16,Paramètres!$A$1:$I$89,5,0)</f>
        <v>276.50687999999997</v>
      </c>
      <c r="FG85" s="13">
        <f t="shared" si="101"/>
        <v>66.228273722513677</v>
      </c>
      <c r="FH85" s="20">
        <f t="shared" si="76"/>
        <v>596.93039273337797</v>
      </c>
      <c r="FI85" s="59">
        <f t="shared" si="77"/>
        <v>890.26372606671134</v>
      </c>
      <c r="FJ85" s="59">
        <f ca="1">AVERAGE(OFFSET($FI$3,0,0,'Données projet'!$E$16+1,1))-AVERAGE(OFFSET($H$3,0,0,'Données projet'!$E$16+1,1))</f>
        <v>326.46362829268969</v>
      </c>
      <c r="FK85" s="59">
        <f t="shared" si="102"/>
        <v>203.5274665601915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2.6096387421193405</v>
      </c>
      <c r="FR85" s="21">
        <f>EXP(-LN(2)/25)*FR84+(1-EXP(-LN(2)/25))/(LN(2)/25)*Calculateur!FM85*Calculateur!FO85*VLOOKUP('Données projet'!$B$16,Paramètres!$A$1:$I$89,3,0)*0.475*44/12</f>
        <v>2.2149021511815468</v>
      </c>
      <c r="FS85" s="21">
        <f>EXP(-LN(2)/2)*FS84+(1-EXP(-LN(2)/2))/(LN(2)/2)*FM85*FP85*VLOOKUP('Données projet'!$B$16,Paramètres!$A$1:$I$89,3,0)*0.475*44/12</f>
        <v>1.2717891617622533E-7</v>
      </c>
      <c r="FT85" s="22">
        <f t="shared" si="78"/>
        <v>4.8245410204798036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6.8</v>
      </c>
      <c r="FZ85" s="12">
        <f>IF('Données projet'!$A$244&gt;35,FZ84+FY85-GH84,IF(A85&lt;'Données projet'!$A$244,$FW$205^A85,IF(A85='Données projet'!$A$244,'Données projet'!$B$244,FZ84+FY85-GH84)))</f>
        <v>305.60000000000002</v>
      </c>
      <c r="GA85" s="17">
        <f>FZ85*VLOOKUP('Données projet'!$B$17,Paramètres!$A$1:$I$89,3,0)*VLOOKUP('Données projet'!$B$17,Paramètres!$A$1:$I$89,5,0)</f>
        <v>295.57632000000001</v>
      </c>
      <c r="GB85" s="13">
        <f t="shared" si="103"/>
        <v>70.24828996461811</v>
      </c>
      <c r="GC85" s="20">
        <f t="shared" si="79"/>
        <v>637.1445290217099</v>
      </c>
      <c r="GD85" s="59">
        <f t="shared" si="80"/>
        <v>930.47786235504327</v>
      </c>
      <c r="GE85" s="59">
        <f ca="1">AVERAGE(OFFSET($GD$3,0,0,'Données projet'!$E$17+1,1))-AVERAGE(OFFSET($H$3,0,0,'Données projet'!$E$17+1,1))</f>
        <v>353.24082990916918</v>
      </c>
      <c r="GF85" s="59">
        <f t="shared" si="104"/>
        <v>219.76562717496353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2.7896138277827451</v>
      </c>
      <c r="GM85" s="21">
        <f>EXP(-LN(2)/25)*GM84+(1-EXP(-LN(2)/25))/(LN(2)/25)*Calculateur!GH85*Calculateur!GJ85*VLOOKUP('Données projet'!$B$17,Paramètres!$A$1:$I$89,3,0)*0.475*44/12</f>
        <v>2.3676540236768275</v>
      </c>
      <c r="GN85" s="21">
        <f>EXP(-LN(2)/2)*GN84+(1-EXP(-LN(2)/2))/(LN(2)/2)*GH85*GK85*VLOOKUP('Données projet'!$B$17,Paramètres!$A$1:$I$89,3,0)*0.475*44/12</f>
        <v>1.3594987591251677E-7</v>
      </c>
      <c r="GO85" s="21">
        <f t="shared" si="81"/>
        <v>5.1572679874094485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378.17323480030268</v>
      </c>
      <c r="T86" s="59">
        <f t="shared" si="88"/>
        <v>471.89239871617241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1.541988686400944</v>
      </c>
      <c r="AA86" s="21">
        <f>EXP(-LN(2)/25)*AA85+(1-EXP(-LN(2)/25))/(LN(2)/25)*Calculateur!V86*Calculateur!X86*VLOOKUP('Données projet'!$B$9,Paramètres!$A$1:$I$89,3,0)*0.475*44/12</f>
        <v>4.7852967982163026</v>
      </c>
      <c r="AB86" s="21">
        <f>EXP(-LN(2)/2)*AB85+(1-EXP(-LN(2)/2))/(LN(2)/2)*V86*Y86*VLOOKUP('Données projet'!$B$9,Paramètres!$A$1:$I$89,3,0)*0.475*44/12</f>
        <v>1.1022023532659511E-7</v>
      </c>
      <c r="AC86" s="22">
        <f t="shared" si="57"/>
        <v>6.3272855948374822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141.22849894256314</v>
      </c>
      <c r="AO86" s="59">
        <f t="shared" si="90"/>
        <v>156.12101479343704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2.5748789957109377</v>
      </c>
      <c r="AV86" s="21">
        <f>EXP(-LN(2)/25)*AV85+(1-EXP(-LN(2)/25))/(LN(2)/25)*Calculateur!AQ86*Calculateur!AS86*VLOOKUP('Données projet'!$B$10,Paramètres!$A$1:$I$89,3,0)*0.475*44/12</f>
        <v>1.3854662113814038</v>
      </c>
      <c r="AW86" s="21">
        <f>EXP(-LN(2)/2)*AW85+(1-EXP(-LN(2)/2))/(LN(2)/2)*AQ86*AT86*VLOOKUP('Données projet'!$B$10,Paramètres!$A$1:$I$89,3,0)*0.475*44/12</f>
        <v>3.1167289227274775E-8</v>
      </c>
      <c r="AX86" s="21">
        <f t="shared" si="60"/>
        <v>3.9603452382596309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114.25511901730295</v>
      </c>
      <c r="BJ86" s="59">
        <f t="shared" si="92"/>
        <v>180.96261947642182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1.196668222607451</v>
      </c>
      <c r="BQ86" s="21">
        <f>EXP(-LN(2)/25)*BQ85+(1-EXP(-LN(2)/25))/(LN(2)/25)*Calculateur!BL86*Calculateur!BN86*VLOOKUP('Données projet'!$B$11,Paramètres!$A$1:$I$89,3,0)*0.475*44/12</f>
        <v>4.0983309344414582</v>
      </c>
      <c r="BR86" s="21">
        <f>EXP(-LN(2)/2)*BR85+(1-EXP(-LN(2)/2))/(LN(2)/2)*BL86*BO86*VLOOKUP('Données projet'!$B$11,Paramètres!$A$1:$I$89,3,0)*0.475*44/12</f>
        <v>7.1987476203425736E-8</v>
      </c>
      <c r="BS86" s="22">
        <f t="shared" si="63"/>
        <v>5.2949992290363861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4.4337866711430253E-14</v>
      </c>
      <c r="CA86" s="13">
        <f t="shared" si="93"/>
        <v>7.3222115536967035E-13</v>
      </c>
      <c r="CB86" s="20">
        <f t="shared" si="64"/>
        <v>1.3525069634579169E-12</v>
      </c>
      <c r="CC86" s="59">
        <f t="shared" si="65"/>
        <v>293.33333333333468</v>
      </c>
      <c r="CD86" s="59">
        <f ca="1">AVERAGE(OFFSET($CC$3,0,0,'Données projet'!$E$12+1,1))-AVERAGE(OFFSET($H$3,0,0,'Données projet'!$E$12+1,1))</f>
        <v>216.95993967070063</v>
      </c>
      <c r="CE86" s="59">
        <f t="shared" si="94"/>
        <v>208.79744153433245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1.80867941165359</v>
      </c>
      <c r="CL86" s="21">
        <f>EXP(-LN(2)/25)*CL85+(1-EXP(-LN(2)/25))/(LN(2)/25)*Calculateur!CG86*Calculateur!CI86*VLOOKUP('Données projet'!$B$12,Paramètres!$A$1:$I$89,3,0)*0.475*44/12</f>
        <v>1.4762929895526411</v>
      </c>
      <c r="CM86" s="21">
        <f>EXP(-LN(2)/2)*CM85+(1-EXP(-LN(2)/2))/(LN(2)/2)*CG86*CJ86*VLOOKUP('Données projet'!$B$12,Paramètres!$A$1:$I$89,3,0)*0.475*44/12</f>
        <v>1.2998176130831777E-8</v>
      </c>
      <c r="CN86" s="22">
        <f t="shared" si="66"/>
        <v>3.2849724142044074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3.813056537183002E-14</v>
      </c>
      <c r="CV86" s="13">
        <f t="shared" si="95"/>
        <v>6.4086286045526829E-13</v>
      </c>
      <c r="CW86" s="20">
        <f t="shared" si="67"/>
        <v>1.1825802166488628E-12</v>
      </c>
      <c r="CX86" s="59">
        <f t="shared" si="68"/>
        <v>293.33333333333451</v>
      </c>
      <c r="CY86" s="59">
        <f ca="1">AVERAGE(OFFSET($CX$3,0,0,'Données projet'!$E$13+1,1))-AVERAGE(OFFSET($H$3,0,0,'Données projet'!$E$13+1,1))</f>
        <v>181.32837315090507</v>
      </c>
      <c r="CZ86" s="59">
        <f t="shared" si="96"/>
        <v>175.03267817980338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1.9172001763528039</v>
      </c>
      <c r="DG86" s="21">
        <f>EXP(-LN(2)/25)*DG85+(1-EXP(-LN(2)/25))/(LN(2)/25)*Calculateur!DB86*Calculateur!DD86*VLOOKUP('Données projet'!$B$13,Paramètres!$A$1:$I$89,3,0)*0.475*44/12</f>
        <v>1.5648705689258</v>
      </c>
      <c r="DH86" s="21">
        <f>EXP(-LN(2)/2)*DH85+(1-EXP(-LN(2)/2))/(LN(2)/2)*DB86*DE86*VLOOKUP('Données projet'!$B$13,Paramètres!$A$1:$I$89,3,0)*0.475*44/12</f>
        <v>1.1178431472515324E-8</v>
      </c>
      <c r="DI86" s="22">
        <f t="shared" si="69"/>
        <v>3.4820707564570355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-2.8421709430404007E-13</v>
      </c>
      <c r="DP86" s="17">
        <f>DO86*VLOOKUP('Données projet'!$B$14,Paramètres!$A$1:$I$89,3,0)*VLOOKUP('Données projet'!$B$14,Paramètres!$A$1:$I$89,5,0)</f>
        <v>-2.2612312022829427E-13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325.72928944930294</v>
      </c>
      <c r="DU86" s="59">
        <f t="shared" si="98"/>
        <v>318.38876834819752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6.0612514772181445</v>
      </c>
      <c r="EB86" s="21">
        <f>EXP(-LN(2)/25)*EB85+(1-EXP(-LN(2)/25))/(LN(2)/25)*Calculateur!DW86*Calculateur!DY86*VLOOKUP('Données projet'!$B$14,Paramètres!$A$1:$I$89,3,0)*0.475*44/12</f>
        <v>4.7573427473845644</v>
      </c>
      <c r="EC86" s="21">
        <f>EXP(-LN(2)/2)*EC85+(1-EXP(-LN(2)/2))/(LN(2)/2)*DW86*DZ86*VLOOKUP('Données projet'!$B$14,Paramètres!$A$1:$I$89,3,0)*0.475*44/12</f>
        <v>1.2464636508741946E-7</v>
      </c>
      <c r="ED86" s="22">
        <f t="shared" si="72"/>
        <v>10.818594349249073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6.8</v>
      </c>
      <c r="EJ86" s="12">
        <f>IF('Données projet'!$A$192&gt;35,EJ85+EI86-ER85,IF(A86&lt;'Données projet'!$A$192,$EG$205^A86,IF(A86='Données projet'!$A$192,'Données projet'!$B$192,EJ85+EI86-ER85)))</f>
        <v>312.40000000000003</v>
      </c>
      <c r="EK86" s="17">
        <f>EJ86*VLOOKUP('Données projet'!$B$15,Paramètres!$A$1:$I$89,3,0)*VLOOKUP('Données projet'!$B$15,Paramètres!$A$1:$I$89,5,0)</f>
        <v>316.77360000000004</v>
      </c>
      <c r="EL86" s="13">
        <f t="shared" si="99"/>
        <v>74.681642981668006</v>
      </c>
      <c r="EM86" s="20">
        <f t="shared" si="73"/>
        <v>681.78454819307183</v>
      </c>
      <c r="EN86" s="59">
        <f t="shared" si="74"/>
        <v>975.1178815264052</v>
      </c>
      <c r="EO86" s="59">
        <f ca="1">AVERAGE(OFFSET($EN$3,0,0,'Données projet'!$E$15+1,1))-AVERAGE(OFFSET($H$3,0,0,'Données projet'!$E$15+1,1))</f>
        <v>384.50065773787549</v>
      </c>
      <c r="EP86" s="59">
        <f t="shared" si="100"/>
        <v>231.92898690465887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2.8672456151219823</v>
      </c>
      <c r="EW86" s="21">
        <f>EXP(-LN(2)/25)*EW85+(1-EXP(-LN(2)/25))/(LN(2)/25)*Calculateur!ER86*Calculateur!ET86*VLOOKUP('Données projet'!$B$15,Paramètres!$A$1:$I$89,3,0)*0.475*44/12</f>
        <v>2.4143415482716395</v>
      </c>
      <c r="EX86" s="21">
        <f>EXP(-LN(2)/2)*EX85+(1-EXP(-LN(2)/2))/(LN(2)/2)*ER86*EU86*VLOOKUP('Données projet'!$B$15,Paramètres!$A$1:$I$89,3,0)*0.475*44/12</f>
        <v>1.0078258298949463E-7</v>
      </c>
      <c r="EY86" s="22">
        <f t="shared" si="75"/>
        <v>5.2815872641762054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6.8</v>
      </c>
      <c r="FE86" s="12">
        <f>IF('Données projet'!$A$218&gt;35,FE85+FD86-FM85,IF(A86&lt;'Données projet'!$A$218,$FB$205^A86,IF(A86='Données projet'!$A$218,'Données projet'!$B$218,FE85+FD86-FM85)))</f>
        <v>312.40000000000003</v>
      </c>
      <c r="FF86" s="17">
        <f>FE86*VLOOKUP('Données projet'!$B$16,Paramètres!$A$1:$I$89,3,0)*VLOOKUP('Données projet'!$B$16,Paramètres!$A$1:$I$89,5,0)</f>
        <v>282.65952000000004</v>
      </c>
      <c r="FG86" s="13">
        <f t="shared" si="101"/>
        <v>67.528732309967324</v>
      </c>
      <c r="FH86" s="20">
        <f t="shared" si="76"/>
        <v>609.91120610652649</v>
      </c>
      <c r="FI86" s="59">
        <f t="shared" si="77"/>
        <v>903.24453943985986</v>
      </c>
      <c r="FJ86" s="59">
        <f ca="1">AVERAGE(OFFSET($FI$3,0,0,'Données projet'!$E$16+1,1))-AVERAGE(OFFSET($H$3,0,0,'Données projet'!$E$16+1,1))</f>
        <v>326.46362829268969</v>
      </c>
      <c r="FK86" s="59">
        <f t="shared" si="102"/>
        <v>203.5274665601915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2.5584653181088433</v>
      </c>
      <c r="FR86" s="21">
        <f>EXP(-LN(2)/25)*FR85+(1-EXP(-LN(2)/25))/(LN(2)/25)*Calculateur!FM86*Calculateur!FO86*VLOOKUP('Données projet'!$B$16,Paramètres!$A$1:$I$89,3,0)*0.475*44/12</f>
        <v>2.1543355353808455</v>
      </c>
      <c r="FS86" s="21">
        <f>EXP(-LN(2)/2)*FS85+(1-EXP(-LN(2)/2))/(LN(2)/2)*FM86*FP86*VLOOKUP('Données projet'!$B$16,Paramètres!$A$1:$I$89,3,0)*0.475*44/12</f>
        <v>8.9929074052164433E-8</v>
      </c>
      <c r="FT86" s="22">
        <f t="shared" si="78"/>
        <v>4.7128009434187632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6.8</v>
      </c>
      <c r="FZ86" s="12">
        <f>IF('Données projet'!$A$244&gt;35,FZ85+FY86-GH85,IF(A86&lt;'Données projet'!$A$244,$FW$205^A86,IF(A86='Données projet'!$A$244,'Données projet'!$B$244,FZ85+FY86-GH85)))</f>
        <v>312.40000000000003</v>
      </c>
      <c r="GA86" s="17">
        <f>FZ86*VLOOKUP('Données projet'!$B$17,Paramètres!$A$1:$I$89,3,0)*VLOOKUP('Données projet'!$B$17,Paramètres!$A$1:$I$89,5,0)</f>
        <v>302.15328000000005</v>
      </c>
      <c r="GB86" s="13">
        <f t="shared" si="103"/>
        <v>71.627685603423203</v>
      </c>
      <c r="GC86" s="20">
        <f t="shared" si="79"/>
        <v>651.00184842596218</v>
      </c>
      <c r="GD86" s="59">
        <f t="shared" si="80"/>
        <v>944.33518175929544</v>
      </c>
      <c r="GE86" s="59">
        <f ca="1">AVERAGE(OFFSET($GD$3,0,0,'Données projet'!$E$17+1,1))-AVERAGE(OFFSET($H$3,0,0,'Données projet'!$E$17+1,1))</f>
        <v>353.24082990916918</v>
      </c>
      <c r="GF86" s="59">
        <f t="shared" si="104"/>
        <v>219.76562717496353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2.7349112021163515</v>
      </c>
      <c r="GM86" s="21">
        <f>EXP(-LN(2)/25)*GM85+(1-EXP(-LN(2)/25))/(LN(2)/25)*Calculateur!GH86*Calculateur!GJ86*VLOOKUP('Données projet'!$B$17,Paramètres!$A$1:$I$89,3,0)*0.475*44/12</f>
        <v>2.3029103998898708</v>
      </c>
      <c r="GN86" s="21">
        <f>EXP(-LN(2)/2)*GN85+(1-EXP(-LN(2)/2))/(LN(2)/2)*GH86*GK86*VLOOKUP('Données projet'!$B$17,Paramètres!$A$1:$I$89,3,0)*0.475*44/12</f>
        <v>9.6131079159210282E-8</v>
      </c>
      <c r="GO86" s="21">
        <f t="shared" si="81"/>
        <v>5.037821698137301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378.17323480030268</v>
      </c>
      <c r="T87" s="59">
        <f t="shared" si="88"/>
        <v>471.89239871617241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1.5117512287808514</v>
      </c>
      <c r="AA87" s="21">
        <f>EXP(-LN(2)/25)*AA86+(1-EXP(-LN(2)/25))/(LN(2)/25)*Calculateur!V87*Calculateur!X87*VLOOKUP('Données projet'!$B$9,Paramètres!$A$1:$I$89,3,0)*0.475*44/12</f>
        <v>4.6544426056212558</v>
      </c>
      <c r="AB87" s="21">
        <f>EXP(-LN(2)/2)*AB86+(1-EXP(-LN(2)/2))/(LN(2)/2)*V87*Y87*VLOOKUP('Données projet'!$B$9,Paramètres!$A$1:$I$89,3,0)*0.475*44/12</f>
        <v>7.7937475823412462E-8</v>
      </c>
      <c r="AC87" s="22">
        <f t="shared" si="57"/>
        <v>6.1661939123395832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141.22849894256314</v>
      </c>
      <c r="AO87" s="59">
        <f t="shared" si="90"/>
        <v>156.12101479343704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2.5243871891261573</v>
      </c>
      <c r="AV87" s="21">
        <f>EXP(-LN(2)/25)*AV86+(1-EXP(-LN(2)/25))/(LN(2)/25)*Calculateur!AQ87*Calculateur!AS87*VLOOKUP('Données projet'!$B$10,Paramètres!$A$1:$I$89,3,0)*0.475*44/12</f>
        <v>1.3475805649726778</v>
      </c>
      <c r="AW87" s="21">
        <f>EXP(-LN(2)/2)*AW86+(1-EXP(-LN(2)/2))/(LN(2)/2)*AQ87*AT87*VLOOKUP('Données projet'!$B$10,Paramètres!$A$1:$I$89,3,0)*0.475*44/12</f>
        <v>2.2038601563808425E-8</v>
      </c>
      <c r="AX87" s="21">
        <f t="shared" si="60"/>
        <v>3.8719677761374367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114.25511901730295</v>
      </c>
      <c r="BJ87" s="59">
        <f t="shared" si="92"/>
        <v>180.96261947642182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1.1732022886576634</v>
      </c>
      <c r="BQ87" s="21">
        <f>EXP(-LN(2)/25)*BQ86+(1-EXP(-LN(2)/25))/(LN(2)/25)*Calculateur!BL87*Calculateur!BN87*VLOOKUP('Données projet'!$B$11,Paramètres!$A$1:$I$89,3,0)*0.475*44/12</f>
        <v>3.9862618595172994</v>
      </c>
      <c r="BR87" s="21">
        <f>EXP(-LN(2)/2)*BR86+(1-EXP(-LN(2)/2))/(LN(2)/2)*BL87*BO87*VLOOKUP('Données projet'!$B$11,Paramètres!$A$1:$I$89,3,0)*0.475*44/12</f>
        <v>5.090283258394756E-8</v>
      </c>
      <c r="BS87" s="22">
        <f t="shared" si="63"/>
        <v>5.159464199077795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4.4337866711430253E-14</v>
      </c>
      <c r="CA87" s="13">
        <f t="shared" si="93"/>
        <v>7.3222115536967035E-13</v>
      </c>
      <c r="CB87" s="20">
        <f t="shared" si="64"/>
        <v>1.3525069634579169E-12</v>
      </c>
      <c r="CC87" s="59">
        <f t="shared" si="65"/>
        <v>293.33333333333468</v>
      </c>
      <c r="CD87" s="59">
        <f ca="1">AVERAGE(OFFSET($CC$3,0,0,'Données projet'!$E$12+1,1))-AVERAGE(OFFSET($H$3,0,0,'Données projet'!$E$12+1,1))</f>
        <v>216.95993967070063</v>
      </c>
      <c r="CE87" s="59">
        <f t="shared" si="94"/>
        <v>208.79744153433245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1.7732123115765737</v>
      </c>
      <c r="CL87" s="21">
        <f>EXP(-LN(2)/25)*CL86+(1-EXP(-LN(2)/25))/(LN(2)/25)*Calculateur!CG87*Calculateur!CI87*VLOOKUP('Données projet'!$B$12,Paramètres!$A$1:$I$89,3,0)*0.475*44/12</f>
        <v>1.4359236801184498</v>
      </c>
      <c r="CM87" s="21">
        <f>EXP(-LN(2)/2)*CM86+(1-EXP(-LN(2)/2))/(LN(2)/2)*CG87*CJ87*VLOOKUP('Données projet'!$B$12,Paramètres!$A$1:$I$89,3,0)*0.475*44/12</f>
        <v>9.1910984851682705E-9</v>
      </c>
      <c r="CN87" s="22">
        <f t="shared" si="66"/>
        <v>3.2091360008861223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3.813056537183002E-14</v>
      </c>
      <c r="CV87" s="13">
        <f t="shared" si="95"/>
        <v>6.4086286045526829E-13</v>
      </c>
      <c r="CW87" s="20">
        <f t="shared" si="67"/>
        <v>1.1825802166488628E-12</v>
      </c>
      <c r="CX87" s="59">
        <f t="shared" si="68"/>
        <v>293.33333333333451</v>
      </c>
      <c r="CY87" s="59">
        <f ca="1">AVERAGE(OFFSET($CX$3,0,0,'Données projet'!$E$13+1,1))-AVERAGE(OFFSET($H$3,0,0,'Données projet'!$E$13+1,1))</f>
        <v>181.32837315090507</v>
      </c>
      <c r="CZ87" s="59">
        <f t="shared" si="96"/>
        <v>175.03267817980338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1.8796050502711668</v>
      </c>
      <c r="DG87" s="21">
        <f>EXP(-LN(2)/25)*DG86+(1-EXP(-LN(2)/25))/(LN(2)/25)*Calculateur!DB87*Calculateur!DD87*VLOOKUP('Données projet'!$B$13,Paramètres!$A$1:$I$89,3,0)*0.475*44/12</f>
        <v>1.5220791009255574</v>
      </c>
      <c r="DH87" s="21">
        <f>EXP(-LN(2)/2)*DH86+(1-EXP(-LN(2)/2))/(LN(2)/2)*DB87*DE87*VLOOKUP('Données projet'!$B$13,Paramètres!$A$1:$I$89,3,0)*0.475*44/12</f>
        <v>7.9043446972447092E-9</v>
      </c>
      <c r="DI87" s="22">
        <f t="shared" si="69"/>
        <v>3.4016841591010687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-2.8421709430404007E-13</v>
      </c>
      <c r="DP87" s="17">
        <f>DO87*VLOOKUP('Données projet'!$B$14,Paramètres!$A$1:$I$89,3,0)*VLOOKUP('Données projet'!$B$14,Paramètres!$A$1:$I$89,5,0)</f>
        <v>-2.2612312022829427E-13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325.72928944930294</v>
      </c>
      <c r="DU87" s="59">
        <f t="shared" si="98"/>
        <v>318.38876834819752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5.9423940327482496</v>
      </c>
      <c r="EB87" s="21">
        <f>EXP(-LN(2)/25)*EB86+(1-EXP(-LN(2)/25))/(LN(2)/25)*Calculateur!DW87*Calculateur!DY87*VLOOKUP('Données projet'!$B$14,Paramètres!$A$1:$I$89,3,0)*0.475*44/12</f>
        <v>4.6272529597795513</v>
      </c>
      <c r="EC87" s="21">
        <f>EXP(-LN(2)/2)*EC86+(1-EXP(-LN(2)/2))/(LN(2)/2)*DW87*DZ87*VLOOKUP('Données projet'!$B$14,Paramètres!$A$1:$I$89,3,0)*0.475*44/12</f>
        <v>8.8138290003568429E-8</v>
      </c>
      <c r="ED87" s="22">
        <f t="shared" si="72"/>
        <v>10.56964708066609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6.8</v>
      </c>
      <c r="EJ87" s="12">
        <f>IF('Données projet'!$A$192&gt;35,EJ86+EI87-ER86,IF(A87&lt;'Données projet'!$A$192,$EG$205^A87,IF(A87='Données projet'!$A$192,'Données projet'!$B$192,EJ86+EI87-ER86)))</f>
        <v>319.20000000000005</v>
      </c>
      <c r="EK87" s="17">
        <f>EJ87*VLOOKUP('Données projet'!$B$15,Paramètres!$A$1:$I$89,3,0)*VLOOKUP('Données projet'!$B$15,Paramètres!$A$1:$I$89,5,0)</f>
        <v>323.66880000000009</v>
      </c>
      <c r="EL87" s="13">
        <f t="shared" si="99"/>
        <v>76.11621164769852</v>
      </c>
      <c r="EM87" s="20">
        <f t="shared" si="73"/>
        <v>696.29222861974176</v>
      </c>
      <c r="EN87" s="59">
        <f t="shared" si="74"/>
        <v>989.62556195307502</v>
      </c>
      <c r="EO87" s="59">
        <f ca="1">AVERAGE(OFFSET($EN$3,0,0,'Données projet'!$E$15+1,1))-AVERAGE(OFFSET($H$3,0,0,'Données projet'!$E$15+1,1))</f>
        <v>384.50065773787549</v>
      </c>
      <c r="EP87" s="59">
        <f t="shared" si="100"/>
        <v>231.92898690465887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2.8110206774565811</v>
      </c>
      <c r="EW87" s="21">
        <f>EXP(-LN(2)/25)*EW86+(1-EXP(-LN(2)/25))/(LN(2)/25)*Calculateur!ER87*Calculateur!ET87*VLOOKUP('Données projet'!$B$15,Paramètres!$A$1:$I$89,3,0)*0.475*44/12</f>
        <v>2.3483212516694474</v>
      </c>
      <c r="EX87" s="21">
        <f>EXP(-LN(2)/2)*EX86+(1-EXP(-LN(2)/2))/(LN(2)/2)*ER87*EU87*VLOOKUP('Données projet'!$B$15,Paramètres!$A$1:$I$89,3,0)*0.475*44/12</f>
        <v>7.1264047857367643E-8</v>
      </c>
      <c r="EY87" s="22">
        <f t="shared" si="75"/>
        <v>5.159342000390077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6.8</v>
      </c>
      <c r="FE87" s="12">
        <f>IF('Données projet'!$A$218&gt;35,FE86+FD87-FM86,IF(A87&lt;'Données projet'!$A$218,$FB$205^A87,IF(A87='Données projet'!$A$218,'Données projet'!$B$218,FE86+FD87-FM86)))</f>
        <v>319.20000000000005</v>
      </c>
      <c r="FF87" s="17">
        <f>FE87*VLOOKUP('Données projet'!$B$16,Paramètres!$A$1:$I$89,3,0)*VLOOKUP('Données projet'!$B$16,Paramètres!$A$1:$I$89,5,0)</f>
        <v>288.81216000000006</v>
      </c>
      <c r="FG87" s="13">
        <f t="shared" si="101"/>
        <v>68.825899854238159</v>
      </c>
      <c r="FH87" s="20">
        <f t="shared" si="76"/>
        <v>622.88628757946492</v>
      </c>
      <c r="FI87" s="59">
        <f t="shared" si="77"/>
        <v>916.21962091279829</v>
      </c>
      <c r="FJ87" s="59">
        <f ca="1">AVERAGE(OFFSET($FI$3,0,0,'Données projet'!$E$16+1,1))-AVERAGE(OFFSET($H$3,0,0,'Données projet'!$E$16+1,1))</f>
        <v>326.46362829268969</v>
      </c>
      <c r="FK87" s="59">
        <f t="shared" si="102"/>
        <v>203.5274665601915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2.5082953737304852</v>
      </c>
      <c r="FR87" s="21">
        <f>EXP(-LN(2)/25)*FR86+(1-EXP(-LN(2)/25))/(LN(2)/25)*Calculateur!FM87*Calculateur!FO87*VLOOKUP('Données projet'!$B$16,Paramètres!$A$1:$I$89,3,0)*0.475*44/12</f>
        <v>2.0954251168742744</v>
      </c>
      <c r="FS87" s="21">
        <f>EXP(-LN(2)/2)*FS86+(1-EXP(-LN(2)/2))/(LN(2)/2)*FM87*FP87*VLOOKUP('Données projet'!$B$16,Paramètres!$A$1:$I$89,3,0)*0.475*44/12</f>
        <v>6.3589458088112663E-8</v>
      </c>
      <c r="FT87" s="22">
        <f t="shared" si="78"/>
        <v>4.6037205541942177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6.8</v>
      </c>
      <c r="FZ87" s="12">
        <f>IF('Données projet'!$A$244&gt;35,FZ86+FY87-GH86,IF(A87&lt;'Données projet'!$A$244,$FW$205^A87,IF(A87='Données projet'!$A$244,'Données projet'!$B$244,FZ86+FY87-GH86)))</f>
        <v>319.20000000000005</v>
      </c>
      <c r="GA87" s="17">
        <f>FZ87*VLOOKUP('Données projet'!$B$17,Paramètres!$A$1:$I$89,3,0)*VLOOKUP('Données projet'!$B$17,Paramètres!$A$1:$I$89,5,0)</f>
        <v>308.73024000000004</v>
      </c>
      <c r="GB87" s="13">
        <f t="shared" si="103"/>
        <v>73.003590434710574</v>
      </c>
      <c r="GC87" s="20">
        <f t="shared" si="79"/>
        <v>664.85308800712107</v>
      </c>
      <c r="GD87" s="59">
        <f t="shared" si="80"/>
        <v>958.18642134045444</v>
      </c>
      <c r="GE87" s="59">
        <f ca="1">AVERAGE(OFFSET($GD$3,0,0,'Données projet'!$E$17+1,1))-AVERAGE(OFFSET($H$3,0,0,'Données projet'!$E$17+1,1))</f>
        <v>353.24082990916918</v>
      </c>
      <c r="GF87" s="59">
        <f t="shared" si="104"/>
        <v>219.76562717496353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2.681281261573969</v>
      </c>
      <c r="GM87" s="21">
        <f>EXP(-LN(2)/25)*GM86+(1-EXP(-LN(2)/25))/(LN(2)/25)*Calculateur!GH87*Calculateur!GJ87*VLOOKUP('Données projet'!$B$17,Paramètres!$A$1:$I$89,3,0)*0.475*44/12</f>
        <v>2.2399371939000878</v>
      </c>
      <c r="GN87" s="21">
        <f>EXP(-LN(2)/2)*GN86+(1-EXP(-LN(2)/2))/(LN(2)/2)*GH87*GK87*VLOOKUP('Données projet'!$B$17,Paramètres!$A$1:$I$89,3,0)*0.475*44/12</f>
        <v>6.7974937956258383E-8</v>
      </c>
      <c r="GO87" s="21">
        <f t="shared" si="81"/>
        <v>4.921218523448994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378.17323480030268</v>
      </c>
      <c r="T88" s="59">
        <f t="shared" si="88"/>
        <v>471.89239871617241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1.4821067092616609</v>
      </c>
      <c r="AA88" s="21">
        <f>EXP(-LN(2)/25)*AA87+(1-EXP(-LN(2)/25))/(LN(2)/25)*Calculateur!V88*Calculateur!X88*VLOOKUP('Données projet'!$B$9,Paramètres!$A$1:$I$89,3,0)*0.475*44/12</f>
        <v>4.5271666278040437</v>
      </c>
      <c r="AB88" s="21">
        <f>EXP(-LN(2)/2)*AB87+(1-EXP(-LN(2)/2))/(LN(2)/2)*V88*Y88*VLOOKUP('Données projet'!$B$9,Paramètres!$A$1:$I$89,3,0)*0.475*44/12</f>
        <v>5.5110117663297554E-8</v>
      </c>
      <c r="AC88" s="22">
        <f t="shared" si="57"/>
        <v>6.0092733921758219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141.22849894256314</v>
      </c>
      <c r="AO88" s="59">
        <f t="shared" si="90"/>
        <v>156.12101479343704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2.4748854960715438</v>
      </c>
      <c r="AV88" s="21">
        <f>EXP(-LN(2)/25)*AV87+(1-EXP(-LN(2)/25))/(LN(2)/25)*Calculateur!AQ88*Calculateur!AS88*VLOOKUP('Données projet'!$B$10,Paramètres!$A$1:$I$89,3,0)*0.475*44/12</f>
        <v>1.3107309035573178</v>
      </c>
      <c r="AW88" s="21">
        <f>EXP(-LN(2)/2)*AW87+(1-EXP(-LN(2)/2))/(LN(2)/2)*AQ88*AT88*VLOOKUP('Données projet'!$B$10,Paramètres!$A$1:$I$89,3,0)*0.475*44/12</f>
        <v>1.5583644613637388E-8</v>
      </c>
      <c r="AX88" s="21">
        <f t="shared" si="60"/>
        <v>3.7856164152125062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114.25511901730295</v>
      </c>
      <c r="BJ88" s="59">
        <f t="shared" si="92"/>
        <v>180.96261947642182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1.1501965073598248</v>
      </c>
      <c r="BQ88" s="21">
        <f>EXP(-LN(2)/25)*BQ87+(1-EXP(-LN(2)/25))/(LN(2)/25)*Calculateur!BL88*Calculateur!BN88*VLOOKUP('Données projet'!$B$11,Paramètres!$A$1:$I$89,3,0)*0.475*44/12</f>
        <v>3.8772573193403983</v>
      </c>
      <c r="BR88" s="21">
        <f>EXP(-LN(2)/2)*BR87+(1-EXP(-LN(2)/2))/(LN(2)/2)*BL88*BO88*VLOOKUP('Données projet'!$B$11,Paramètres!$A$1:$I$89,3,0)*0.475*44/12</f>
        <v>3.5993738101712868E-8</v>
      </c>
      <c r="BS88" s="22">
        <f t="shared" si="63"/>
        <v>5.0274538626939611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4.4337866711430253E-14</v>
      </c>
      <c r="CA88" s="13">
        <f t="shared" si="93"/>
        <v>7.3222115536967035E-13</v>
      </c>
      <c r="CB88" s="20">
        <f t="shared" si="64"/>
        <v>1.3525069634579169E-12</v>
      </c>
      <c r="CC88" s="59">
        <f t="shared" si="65"/>
        <v>293.33333333333468</v>
      </c>
      <c r="CD88" s="59">
        <f ca="1">AVERAGE(OFFSET($CC$3,0,0,'Données projet'!$E$12+1,1))-AVERAGE(OFFSET($H$3,0,0,'Données projet'!$E$12+1,1))</f>
        <v>216.95993967070063</v>
      </c>
      <c r="CE88" s="59">
        <f t="shared" si="94"/>
        <v>208.79744153433245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1.7384406996992727</v>
      </c>
      <c r="CL88" s="21">
        <f>EXP(-LN(2)/25)*CL87+(1-EXP(-LN(2)/25))/(LN(2)/25)*Calculateur!CG88*Calculateur!CI88*VLOOKUP('Données projet'!$B$12,Paramètres!$A$1:$I$89,3,0)*0.475*44/12</f>
        <v>1.3966582715736664</v>
      </c>
      <c r="CM88" s="21">
        <f>EXP(-LN(2)/2)*CM87+(1-EXP(-LN(2)/2))/(LN(2)/2)*CG88*CJ88*VLOOKUP('Données projet'!$B$12,Paramètres!$A$1:$I$89,3,0)*0.475*44/12</f>
        <v>6.4990880654158887E-9</v>
      </c>
      <c r="CN88" s="22">
        <f t="shared" si="66"/>
        <v>3.1350989777720271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3.813056537183002E-14</v>
      </c>
      <c r="CV88" s="13">
        <f t="shared" si="95"/>
        <v>6.4086286045526829E-13</v>
      </c>
      <c r="CW88" s="20">
        <f t="shared" si="67"/>
        <v>1.1825802166488628E-12</v>
      </c>
      <c r="CX88" s="59">
        <f t="shared" si="68"/>
        <v>293.33333333333451</v>
      </c>
      <c r="CY88" s="59">
        <f ca="1">AVERAGE(OFFSET($CX$3,0,0,'Données projet'!$E$13+1,1))-AVERAGE(OFFSET($H$3,0,0,'Données projet'!$E$13+1,1))</f>
        <v>181.32837315090507</v>
      </c>
      <c r="CZ88" s="59">
        <f t="shared" si="96"/>
        <v>175.03267817980338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1.8427471416812278</v>
      </c>
      <c r="DG88" s="21">
        <f>EXP(-LN(2)/25)*DG87+(1-EXP(-LN(2)/25))/(LN(2)/25)*Calculateur!DB88*Calculateur!DD88*VLOOKUP('Données projet'!$B$13,Paramètres!$A$1:$I$89,3,0)*0.475*44/12</f>
        <v>1.4804577678680868</v>
      </c>
      <c r="DH88" s="21">
        <f>EXP(-LN(2)/2)*DH87+(1-EXP(-LN(2)/2))/(LN(2)/2)*DB88*DE88*VLOOKUP('Données projet'!$B$13,Paramètres!$A$1:$I$89,3,0)*0.475*44/12</f>
        <v>5.5892157362576619E-9</v>
      </c>
      <c r="DI88" s="22">
        <f t="shared" si="69"/>
        <v>3.3232049151385303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-2.8421709430404007E-13</v>
      </c>
      <c r="DP88" s="17">
        <f>DO88*VLOOKUP('Données projet'!$B$14,Paramètres!$A$1:$I$89,3,0)*VLOOKUP('Données projet'!$B$14,Paramètres!$A$1:$I$89,5,0)</f>
        <v>-2.2612312022829427E-13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325.72928944930294</v>
      </c>
      <c r="DU88" s="59">
        <f t="shared" si="98"/>
        <v>318.38876834819752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5.8258673102685261</v>
      </c>
      <c r="EB88" s="21">
        <f>EXP(-LN(2)/25)*EB87+(1-EXP(-LN(2)/25))/(LN(2)/25)*Calculateur!DW88*Calculateur!DY88*VLOOKUP('Données projet'!$B$14,Paramètres!$A$1:$I$89,3,0)*0.475*44/12</f>
        <v>4.5007204842577222</v>
      </c>
      <c r="EC88" s="21">
        <f>EXP(-LN(2)/2)*EC87+(1-EXP(-LN(2)/2))/(LN(2)/2)*DW88*DZ88*VLOOKUP('Données projet'!$B$14,Paramètres!$A$1:$I$89,3,0)*0.475*44/12</f>
        <v>6.2323182543709728E-8</v>
      </c>
      <c r="ED88" s="22">
        <f t="shared" si="72"/>
        <v>10.32658785684943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326</v>
      </c>
      <c r="EH88" s="12">
        <f>VLOOKUP(A88,'Données projet'!$A$191:$I$211,9,0)</f>
        <v>6.8</v>
      </c>
      <c r="EI88" s="12">
        <f t="array" ref="EI88">INDEX(EH:EH,MIN(IF(ISNUMBER(EH88:EH284),ROW(EH88:EH284),"")))</f>
        <v>6.8</v>
      </c>
      <c r="EJ88" s="12">
        <f>IF('Données projet'!$A$192&gt;35,EJ87+EI88-ER87,IF(A88&lt;'Données projet'!$A$192,$EG$205^A88,IF(A88='Données projet'!$A$192,'Données projet'!$B$192,EJ87+EI88-ER87)))</f>
        <v>326.00000000000006</v>
      </c>
      <c r="EK88" s="17">
        <f>EJ88*VLOOKUP('Données projet'!$B$15,Paramètres!$A$1:$I$89,3,0)*VLOOKUP('Données projet'!$B$15,Paramètres!$A$1:$I$89,5,0)</f>
        <v>330.56400000000008</v>
      </c>
      <c r="EL88" s="13">
        <f t="shared" si="99"/>
        <v>77.547227137682853</v>
      </c>
      <c r="EM88" s="20">
        <f t="shared" si="73"/>
        <v>710.79372059813113</v>
      </c>
      <c r="EN88" s="59">
        <f t="shared" si="74"/>
        <v>1004.1270539314644</v>
      </c>
      <c r="EO88" s="59">
        <f ca="1">AVERAGE(OFFSET($EN$3,0,0,'Données projet'!$E$15+1,1))-AVERAGE(OFFSET($H$3,0,0,'Données projet'!$E$15+1,1))</f>
        <v>384.50065773787549</v>
      </c>
      <c r="EP88" s="59">
        <f t="shared" si="100"/>
        <v>231.92898690465887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28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2.7558982765249729</v>
      </c>
      <c r="EW88" s="21">
        <f>EXP(-LN(2)/25)*EW87+(1-EXP(-LN(2)/25))/(LN(2)/25)*Calculateur!ER88*Calculateur!ET88*VLOOKUP('Données projet'!$B$15,Paramètres!$A$1:$I$89,3,0)*0.475*44/12</f>
        <v>2.2841062835496988</v>
      </c>
      <c r="EX88" s="21">
        <f>EXP(-LN(2)/2)*EX87+(1-EXP(-LN(2)/2))/(LN(2)/2)*ER88*EU88*VLOOKUP('Données projet'!$B$15,Paramètres!$A$1:$I$89,3,0)*0.475*44/12</f>
        <v>5.0391291494747313E-8</v>
      </c>
      <c r="EY88" s="22">
        <f t="shared" si="75"/>
        <v>5.0400046104659628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326</v>
      </c>
      <c r="FC88" s="12">
        <f>VLOOKUP(A88,'Données projet'!$A$217:$I$237,9,0)</f>
        <v>6.8</v>
      </c>
      <c r="FD88" s="12">
        <f t="array" ref="FD88">INDEX(FC:FC,MIN(IF(ISNUMBER(FC88:FC284),ROW(FC88:FC284),"")))</f>
        <v>6.8</v>
      </c>
      <c r="FE88" s="12">
        <f>IF('Données projet'!$A$218&gt;35,FE87+FD88-FM87,IF(A88&lt;'Données projet'!$A$218,$FB$205^A88,IF(A88='Données projet'!$A$218,'Données projet'!$B$218,FE87+FD88-FM87)))</f>
        <v>326.00000000000006</v>
      </c>
      <c r="FF88" s="17">
        <f>FE88*VLOOKUP('Données projet'!$B$16,Paramètres!$A$1:$I$89,3,0)*VLOOKUP('Données projet'!$B$16,Paramètres!$A$1:$I$89,5,0)</f>
        <v>294.96480000000003</v>
      </c>
      <c r="FG88" s="13">
        <f t="shared" si="101"/>
        <v>70.119854541045001</v>
      </c>
      <c r="FH88" s="20">
        <f t="shared" si="76"/>
        <v>635.85577332565333</v>
      </c>
      <c r="FI88" s="59">
        <f t="shared" si="77"/>
        <v>929.1891066589867</v>
      </c>
      <c r="FJ88" s="59">
        <f ca="1">AVERAGE(OFFSET($FI$3,0,0,'Données projet'!$E$16+1,1))-AVERAGE(OFFSET($H$3,0,0,'Données projet'!$E$16+1,1))</f>
        <v>326.46362829268969</v>
      </c>
      <c r="FK88" s="59">
        <f t="shared" si="102"/>
        <v>203.5274665601915</v>
      </c>
      <c r="FL88" s="15">
        <f>IF(ISNA(VLOOKUP(A88,'Données projet'!$A$217:$I$237,3,0)),0,VLOOKUP(A88,'Données projet'!$A$217:$I$237,3,0))</f>
        <v>14</v>
      </c>
      <c r="FM88" s="15">
        <f>IF(ISNA(VLOOKUP(A88,'Données projet'!$A$217:$I$237,4,0)),0,VLOOKUP(A88,'Données projet'!$A$217:$I$237,4,0))</f>
        <v>28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2.4591092313607423</v>
      </c>
      <c r="FR88" s="21">
        <f>EXP(-LN(2)/25)*FR87+(1-EXP(-LN(2)/25))/(LN(2)/25)*Calculateur!FM88*Calculateur!FO88*VLOOKUP('Données projet'!$B$16,Paramètres!$A$1:$I$89,3,0)*0.475*44/12</f>
        <v>2.0381256068597295</v>
      </c>
      <c r="FS88" s="21">
        <f>EXP(-LN(2)/2)*FS87+(1-EXP(-LN(2)/2))/(LN(2)/2)*FM88*FP88*VLOOKUP('Données projet'!$B$16,Paramètres!$A$1:$I$89,3,0)*0.475*44/12</f>
        <v>4.4964537026082216E-8</v>
      </c>
      <c r="FT88" s="22">
        <f t="shared" si="78"/>
        <v>4.4972348831850084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326</v>
      </c>
      <c r="FX88" s="12">
        <f>VLOOKUP(A88,'Données projet'!$A$243:$I$263,9,0)</f>
        <v>6.8</v>
      </c>
      <c r="FY88" s="12">
        <f t="array" ref="FY88">INDEX(FX:FX,MIN(IF(ISNUMBER(FX88:FX284),ROW(FX88:FX284),"")))</f>
        <v>6.8</v>
      </c>
      <c r="FZ88" s="12">
        <f>IF('Données projet'!$A$244&gt;35,FZ87+FY88-GH87,IF(A88&lt;'Données projet'!$A$244,$FW$205^A88,IF(A88='Données projet'!$A$244,'Données projet'!$B$244,FZ87+FY88-GH87)))</f>
        <v>326.00000000000006</v>
      </c>
      <c r="GA88" s="17">
        <f>FZ88*VLOOKUP('Données projet'!$B$17,Paramètres!$A$1:$I$89,3,0)*VLOOKUP('Données projet'!$B$17,Paramètres!$A$1:$I$89,5,0)</f>
        <v>315.30720000000008</v>
      </c>
      <c r="GB88" s="13">
        <f t="shared" si="103"/>
        <v>74.376087390025049</v>
      </c>
      <c r="GC88" s="20">
        <f t="shared" si="79"/>
        <v>678.69839220429378</v>
      </c>
      <c r="GD88" s="59">
        <f t="shared" si="80"/>
        <v>972.03172553762715</v>
      </c>
      <c r="GE88" s="59">
        <f ca="1">AVERAGE(OFFSET($GD$3,0,0,'Données projet'!$E$17+1,1))-AVERAGE(OFFSET($H$3,0,0,'Données projet'!$E$17+1,1))</f>
        <v>353.24082990916918</v>
      </c>
      <c r="GF88" s="59">
        <f t="shared" si="104"/>
        <v>219.76562717496353</v>
      </c>
      <c r="GG88" s="15">
        <f>IF(ISNA(VLOOKUP(A88,'Données projet'!$A$243:$I$263,3,0)),0,VLOOKUP(A88,'Données projet'!$A$243:$I$263,3,0))</f>
        <v>14</v>
      </c>
      <c r="GH88" s="15">
        <f>IF(ISNA(VLOOKUP(A88,'Données projet'!$A$243:$I$263,4,0)),0,VLOOKUP(A88,'Données projet'!$A$243:$I$263,4,0))</f>
        <v>28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2.6287029714545889</v>
      </c>
      <c r="GM88" s="21">
        <f>EXP(-LN(2)/25)*GM87+(1-EXP(-LN(2)/25))/(LN(2)/25)*Calculateur!GH88*Calculateur!GJ88*VLOOKUP('Données projet'!$B$17,Paramètres!$A$1:$I$89,3,0)*0.475*44/12</f>
        <v>2.1786859935397125</v>
      </c>
      <c r="GN88" s="21">
        <f>EXP(-LN(2)/2)*GN87+(1-EXP(-LN(2)/2))/(LN(2)/2)*GH88*GK88*VLOOKUP('Données projet'!$B$17,Paramètres!$A$1:$I$89,3,0)*0.475*44/12</f>
        <v>4.8065539579605141E-8</v>
      </c>
      <c r="GO88" s="21">
        <f t="shared" si="81"/>
        <v>4.8073890130598409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378.17323480030268</v>
      </c>
      <c r="T89" s="59">
        <f t="shared" si="88"/>
        <v>471.89239871617241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1.4530435006888702</v>
      </c>
      <c r="AA89" s="21">
        <f>EXP(-LN(2)/25)*AA88+(1-EXP(-LN(2)/25))/(LN(2)/25)*Calculateur!V89*Calculateur!X89*VLOOKUP('Données projet'!$B$9,Paramètres!$A$1:$I$89,3,0)*0.475*44/12</f>
        <v>4.4033710182933961</v>
      </c>
      <c r="AB89" s="21">
        <f>EXP(-LN(2)/2)*AB88+(1-EXP(-LN(2)/2))/(LN(2)/2)*V89*Y89*VLOOKUP('Données projet'!$B$9,Paramètres!$A$1:$I$89,3,0)*0.475*44/12</f>
        <v>3.8968737911706231E-8</v>
      </c>
      <c r="AC89" s="22">
        <f t="shared" si="57"/>
        <v>5.8564145579510036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141.22849894256314</v>
      </c>
      <c r="AO89" s="59">
        <f t="shared" si="90"/>
        <v>156.12101479343704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2.4263545010246799</v>
      </c>
      <c r="AV89" s="21">
        <f>EXP(-LN(2)/25)*AV88+(1-EXP(-LN(2)/25))/(LN(2)/25)*Calculateur!AQ89*Calculateur!AS89*VLOOKUP('Données projet'!$B$10,Paramètres!$A$1:$I$89,3,0)*0.475*44/12</f>
        <v>1.2748888980712005</v>
      </c>
      <c r="AW89" s="21">
        <f>EXP(-LN(2)/2)*AW88+(1-EXP(-LN(2)/2))/(LN(2)/2)*AQ89*AT89*VLOOKUP('Données projet'!$B$10,Paramètres!$A$1:$I$89,3,0)*0.475*44/12</f>
        <v>1.1019300781904212E-8</v>
      </c>
      <c r="AX89" s="21">
        <f t="shared" si="60"/>
        <v>3.7012434101151812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114.25511901730295</v>
      </c>
      <c r="BJ89" s="59">
        <f t="shared" si="92"/>
        <v>180.96261947642182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1.1276418554010958</v>
      </c>
      <c r="BQ89" s="21">
        <f>EXP(-LN(2)/25)*BQ88+(1-EXP(-LN(2)/25))/(LN(2)/25)*Calculateur!BL89*Calculateur!BN89*VLOOKUP('Données projet'!$B$11,Paramètres!$A$1:$I$89,3,0)*0.475*44/12</f>
        <v>3.7712335140469344</v>
      </c>
      <c r="BR89" s="21">
        <f>EXP(-LN(2)/2)*BR88+(1-EXP(-LN(2)/2))/(LN(2)/2)*BL89*BO89*VLOOKUP('Données projet'!$B$11,Paramètres!$A$1:$I$89,3,0)*0.475*44/12</f>
        <v>2.545141629197378E-8</v>
      </c>
      <c r="BS89" s="22">
        <f t="shared" si="63"/>
        <v>4.8988753948994459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4.4337866711430253E-14</v>
      </c>
      <c r="CA89" s="13">
        <f t="shared" si="93"/>
        <v>7.3222115536967035E-13</v>
      </c>
      <c r="CB89" s="20">
        <f t="shared" si="64"/>
        <v>1.3525069634579169E-12</v>
      </c>
      <c r="CC89" s="59">
        <f t="shared" si="65"/>
        <v>293.33333333333468</v>
      </c>
      <c r="CD89" s="59">
        <f ca="1">AVERAGE(OFFSET($CC$3,0,0,'Données projet'!$E$12+1,1))-AVERAGE(OFFSET($H$3,0,0,'Données projet'!$E$12+1,1))</f>
        <v>216.95993967070063</v>
      </c>
      <c r="CE89" s="59">
        <f t="shared" si="94"/>
        <v>208.79744153433245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1.7043509379222965</v>
      </c>
      <c r="CL89" s="21">
        <f>EXP(-LN(2)/25)*CL88+(1-EXP(-LN(2)/25))/(LN(2)/25)*Calculateur!CG89*Calculateur!CI89*VLOOKUP('Données projet'!$B$12,Paramètres!$A$1:$I$89,3,0)*0.475*44/12</f>
        <v>1.3584665776904181</v>
      </c>
      <c r="CM89" s="21">
        <f>EXP(-LN(2)/2)*CM88+(1-EXP(-LN(2)/2))/(LN(2)/2)*CG89*CJ89*VLOOKUP('Données projet'!$B$12,Paramètres!$A$1:$I$89,3,0)*0.475*44/12</f>
        <v>4.5955492425841352E-9</v>
      </c>
      <c r="CN89" s="22">
        <f t="shared" si="66"/>
        <v>3.0628175202082639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3.813056537183002E-14</v>
      </c>
      <c r="CV89" s="13">
        <f t="shared" si="95"/>
        <v>6.4086286045526829E-13</v>
      </c>
      <c r="CW89" s="20">
        <f t="shared" si="67"/>
        <v>1.1825802166488628E-12</v>
      </c>
      <c r="CX89" s="59">
        <f t="shared" si="68"/>
        <v>293.33333333333451</v>
      </c>
      <c r="CY89" s="59">
        <f ca="1">AVERAGE(OFFSET($CX$3,0,0,'Données projet'!$E$13+1,1))-AVERAGE(OFFSET($H$3,0,0,'Données projet'!$E$13+1,1))</f>
        <v>181.32837315090507</v>
      </c>
      <c r="CZ89" s="59">
        <f t="shared" si="96"/>
        <v>175.03267817980338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1.8066119941976331</v>
      </c>
      <c r="DG89" s="21">
        <f>EXP(-LN(2)/25)*DG88+(1-EXP(-LN(2)/25))/(LN(2)/25)*Calculateur!DB89*Calculateur!DD89*VLOOKUP('Données projet'!$B$13,Paramètres!$A$1:$I$89,3,0)*0.475*44/12</f>
        <v>1.4399745723518436</v>
      </c>
      <c r="DH89" s="21">
        <f>EXP(-LN(2)/2)*DH88+(1-EXP(-LN(2)/2))/(LN(2)/2)*DB89*DE89*VLOOKUP('Données projet'!$B$13,Paramètres!$A$1:$I$89,3,0)*0.475*44/12</f>
        <v>3.9521723486223546E-9</v>
      </c>
      <c r="DI89" s="22">
        <f t="shared" si="69"/>
        <v>3.2465865705016488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-2.8421709430404007E-13</v>
      </c>
      <c r="DP89" s="17">
        <f>DO89*VLOOKUP('Données projet'!$B$14,Paramètres!$A$1:$I$89,3,0)*VLOOKUP('Données projet'!$B$14,Paramètres!$A$1:$I$89,5,0)</f>
        <v>-2.2612312022829427E-13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325.72928944930294</v>
      </c>
      <c r="DU89" s="59">
        <f t="shared" si="98"/>
        <v>318.38876834819752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5.7116256057423476</v>
      </c>
      <c r="EB89" s="21">
        <f>EXP(-LN(2)/25)*EB88+(1-EXP(-LN(2)/25))/(LN(2)/25)*Calculateur!DW89*Calculateur!DY89*VLOOKUP('Données projet'!$B$14,Paramètres!$A$1:$I$89,3,0)*0.475*44/12</f>
        <v>4.3776480459330909</v>
      </c>
      <c r="EC89" s="21">
        <f>EXP(-LN(2)/2)*EC88+(1-EXP(-LN(2)/2))/(LN(2)/2)*DW89*DZ89*VLOOKUP('Données projet'!$B$14,Paramètres!$A$1:$I$89,3,0)*0.475*44/12</f>
        <v>4.4069145001784214E-8</v>
      </c>
      <c r="ED89" s="22">
        <f t="shared" si="72"/>
        <v>10.089273695744582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6.4</v>
      </c>
      <c r="EJ89" s="12">
        <f>IF('Données projet'!$A$192&gt;35,EJ88+EI89-ER88,IF(A89&lt;'Données projet'!$A$192,$EG$205^A89,IF(A89='Données projet'!$A$192,'Données projet'!$B$192,EJ88+EI89-ER88)))</f>
        <v>304.40000000000003</v>
      </c>
      <c r="EK89" s="17">
        <f>EJ89*VLOOKUP('Données projet'!$B$15,Paramètres!$A$1:$I$89,3,0)*VLOOKUP('Données projet'!$B$15,Paramètres!$A$1:$I$89,5,0)</f>
        <v>308.66160000000008</v>
      </c>
      <c r="EL89" s="13">
        <f t="shared" si="99"/>
        <v>72.98924863505313</v>
      </c>
      <c r="EM89" s="20">
        <f t="shared" si="73"/>
        <v>664.70856137271755</v>
      </c>
      <c r="EN89" s="59">
        <f t="shared" si="74"/>
        <v>958.04189470605093</v>
      </c>
      <c r="EO89" s="59">
        <f ca="1">AVERAGE(OFFSET($EN$3,0,0,'Données projet'!$E$15+1,1))-AVERAGE(OFFSET($H$3,0,0,'Données projet'!$E$15+1,1))</f>
        <v>384.50065773787549</v>
      </c>
      <c r="EP89" s="59">
        <f t="shared" si="100"/>
        <v>231.92898690465887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2.7018567922542887</v>
      </c>
      <c r="EW89" s="21">
        <f>EXP(-LN(2)/25)*EW88+(1-EXP(-LN(2)/25))/(LN(2)/25)*Calculateur!ER89*Calculateur!ET89*VLOOKUP('Données projet'!$B$15,Paramètres!$A$1:$I$89,3,0)*0.475*44/12</f>
        <v>2.2216472771101032</v>
      </c>
      <c r="EX89" s="21">
        <f>EXP(-LN(2)/2)*EX88+(1-EXP(-LN(2)/2))/(LN(2)/2)*ER89*EU89*VLOOKUP('Données projet'!$B$15,Paramètres!$A$1:$I$89,3,0)*0.475*44/12</f>
        <v>3.5632023928683822E-8</v>
      </c>
      <c r="EY89" s="22">
        <f t="shared" si="75"/>
        <v>4.9235041049964154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6.4</v>
      </c>
      <c r="FE89" s="12">
        <f>IF('Données projet'!$A$218&gt;35,FE88+FD89-FM88,IF(A89&lt;'Données projet'!$A$218,$FB$205^A89,IF(A89='Données projet'!$A$218,'Données projet'!$B$218,FE88+FD89-FM88)))</f>
        <v>304.40000000000003</v>
      </c>
      <c r="FF89" s="17">
        <f>FE89*VLOOKUP('Données projet'!$B$16,Paramètres!$A$1:$I$89,3,0)*VLOOKUP('Données projet'!$B$16,Paramètres!$A$1:$I$89,5,0)</f>
        <v>275.42112000000003</v>
      </c>
      <c r="FG89" s="13">
        <f t="shared" si="101"/>
        <v>65.998433293601067</v>
      </c>
      <c r="FH89" s="20">
        <f t="shared" si="76"/>
        <v>594.63905531968851</v>
      </c>
      <c r="FI89" s="59">
        <f t="shared" si="77"/>
        <v>887.97238865302188</v>
      </c>
      <c r="FJ89" s="59">
        <f ca="1">AVERAGE(OFFSET($FI$3,0,0,'Données projet'!$E$16+1,1))-AVERAGE(OFFSET($H$3,0,0,'Données projet'!$E$16+1,1))</f>
        <v>326.46362829268969</v>
      </c>
      <c r="FK89" s="59">
        <f t="shared" si="102"/>
        <v>203.5274665601915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2.4108875992422858</v>
      </c>
      <c r="FR89" s="21">
        <f>EXP(-LN(2)/25)*FR88+(1-EXP(-LN(2)/25))/(LN(2)/25)*Calculateur!FM89*Calculateur!FO89*VLOOKUP('Données projet'!$B$16,Paramètres!$A$1:$I$89,3,0)*0.475*44/12</f>
        <v>1.9823929549597827</v>
      </c>
      <c r="FS89" s="21">
        <f>EXP(-LN(2)/2)*FS88+(1-EXP(-LN(2)/2))/(LN(2)/2)*FM89*FP89*VLOOKUP('Données projet'!$B$16,Paramètres!$A$1:$I$89,3,0)*0.475*44/12</f>
        <v>3.1794729044056332E-8</v>
      </c>
      <c r="FT89" s="22">
        <f t="shared" si="78"/>
        <v>4.3932805859967967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6.4</v>
      </c>
      <c r="FZ89" s="12">
        <f>IF('Données projet'!$A$244&gt;35,FZ88+FY89-GH88,IF(A89&lt;'Données projet'!$A$244,$FW$205^A89,IF(A89='Données projet'!$A$244,'Données projet'!$B$244,FZ88+FY89-GH88)))</f>
        <v>304.40000000000003</v>
      </c>
      <c r="GA89" s="17">
        <f>FZ89*VLOOKUP('Données projet'!$B$17,Paramètres!$A$1:$I$89,3,0)*VLOOKUP('Données projet'!$B$17,Paramètres!$A$1:$I$89,5,0)</f>
        <v>294.41568000000001</v>
      </c>
      <c r="GB89" s="13">
        <f t="shared" si="103"/>
        <v>70.004498360393455</v>
      </c>
      <c r="GC89" s="20">
        <f t="shared" si="79"/>
        <v>634.69847731101868</v>
      </c>
      <c r="GD89" s="59">
        <f t="shared" si="80"/>
        <v>928.03181064435194</v>
      </c>
      <c r="GE89" s="59">
        <f ca="1">AVERAGE(OFFSET($GD$3,0,0,'Données projet'!$E$17+1,1))-AVERAGE(OFFSET($H$3,0,0,'Données projet'!$E$17+1,1))</f>
        <v>353.24082990916918</v>
      </c>
      <c r="GF89" s="59">
        <f t="shared" si="104"/>
        <v>219.76562717496353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2.5771557095348592</v>
      </c>
      <c r="GM89" s="21">
        <f>EXP(-LN(2)/25)*GM88+(1-EXP(-LN(2)/25))/(LN(2)/25)*Calculateur!GH89*Calculateur!GJ89*VLOOKUP('Données projet'!$B$17,Paramètres!$A$1:$I$89,3,0)*0.475*44/12</f>
        <v>2.1191097104742522</v>
      </c>
      <c r="GN89" s="21">
        <f>EXP(-LN(2)/2)*GN88+(1-EXP(-LN(2)/2))/(LN(2)/2)*GH89*GK89*VLOOKUP('Données projet'!$B$17,Paramètres!$A$1:$I$89,3,0)*0.475*44/12</f>
        <v>3.3987468978129192E-8</v>
      </c>
      <c r="GO89" s="21">
        <f t="shared" si="81"/>
        <v>4.6962654539965802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378.17323480030268</v>
      </c>
      <c r="T90" s="59">
        <f t="shared" si="88"/>
        <v>471.89239871617241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1.4245502039093851</v>
      </c>
      <c r="AA90" s="21">
        <f>EXP(-LN(2)/25)*AA89+(1-EXP(-LN(2)/25))/(LN(2)/25)*Calculateur!V90*Calculateur!X90*VLOOKUP('Données projet'!$B$9,Paramètres!$A$1:$I$89,3,0)*0.475*44/12</f>
        <v>4.282960606234945</v>
      </c>
      <c r="AB90" s="21">
        <f>EXP(-LN(2)/2)*AB89+(1-EXP(-LN(2)/2))/(LN(2)/2)*V90*Y90*VLOOKUP('Données projet'!$B$9,Paramètres!$A$1:$I$89,3,0)*0.475*44/12</f>
        <v>2.7555058831648777E-8</v>
      </c>
      <c r="AC90" s="22">
        <f t="shared" si="57"/>
        <v>5.7075108376993891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141.22849894256314</v>
      </c>
      <c r="AO90" s="59">
        <f t="shared" si="90"/>
        <v>156.12101479343704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2.3787751691897006</v>
      </c>
      <c r="AV90" s="21">
        <f>EXP(-LN(2)/25)*AV89+(1-EXP(-LN(2)/25))/(LN(2)/25)*Calculateur!AQ90*Calculateur!AS90*VLOOKUP('Données projet'!$B$10,Paramètres!$A$1:$I$89,3,0)*0.475*44/12</f>
        <v>1.2400269941099502</v>
      </c>
      <c r="AW90" s="21">
        <f>EXP(-LN(2)/2)*AW89+(1-EXP(-LN(2)/2))/(LN(2)/2)*AQ90*AT90*VLOOKUP('Données projet'!$B$10,Paramètres!$A$1:$I$89,3,0)*0.475*44/12</f>
        <v>7.7918223068186938E-9</v>
      </c>
      <c r="AX90" s="21">
        <f t="shared" si="60"/>
        <v>3.6188021710914731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114.25511901730295</v>
      </c>
      <c r="BJ90" s="59">
        <f t="shared" si="92"/>
        <v>180.96261947642182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1.1055294864102982</v>
      </c>
      <c r="BQ90" s="21">
        <f>EXP(-LN(2)/25)*BQ89+(1-EXP(-LN(2)/25))/(LN(2)/25)*Calculateur!BL90*Calculateur!BN90*VLOOKUP('Données projet'!$B$11,Paramètres!$A$1:$I$89,3,0)*0.475*44/12</f>
        <v>3.6681089352847698</v>
      </c>
      <c r="BR90" s="21">
        <f>EXP(-LN(2)/2)*BR89+(1-EXP(-LN(2)/2))/(LN(2)/2)*BL90*BO90*VLOOKUP('Données projet'!$B$11,Paramètres!$A$1:$I$89,3,0)*0.475*44/12</f>
        <v>1.7996869050856434E-8</v>
      </c>
      <c r="BS90" s="22">
        <f t="shared" si="63"/>
        <v>4.7736384396919371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4.4337866711430253E-14</v>
      </c>
      <c r="CA90" s="13">
        <f t="shared" si="93"/>
        <v>7.3222115536967035E-13</v>
      </c>
      <c r="CB90" s="20">
        <f t="shared" si="64"/>
        <v>1.3525069634579169E-12</v>
      </c>
      <c r="CC90" s="59">
        <f t="shared" si="65"/>
        <v>293.33333333333468</v>
      </c>
      <c r="CD90" s="59">
        <f ca="1">AVERAGE(OFFSET($CC$3,0,0,'Données projet'!$E$12+1,1))-AVERAGE(OFFSET($H$3,0,0,'Données projet'!$E$12+1,1))</f>
        <v>216.95993967070063</v>
      </c>
      <c r="CE90" s="59">
        <f t="shared" si="94"/>
        <v>208.79744153433245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1.6709296555810653</v>
      </c>
      <c r="CL90" s="21">
        <f>EXP(-LN(2)/25)*CL89+(1-EXP(-LN(2)/25))/(LN(2)/25)*Calculateur!CG90*Calculateur!CI90*VLOOKUP('Données projet'!$B$12,Paramètres!$A$1:$I$89,3,0)*0.475*44/12</f>
        <v>1.3213192376848211</v>
      </c>
      <c r="CM90" s="21">
        <f>EXP(-LN(2)/2)*CM89+(1-EXP(-LN(2)/2))/(LN(2)/2)*CG90*CJ90*VLOOKUP('Données projet'!$B$12,Paramètres!$A$1:$I$89,3,0)*0.475*44/12</f>
        <v>3.2495440327079444E-9</v>
      </c>
      <c r="CN90" s="22">
        <f t="shared" si="66"/>
        <v>2.9922488965154304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3.813056537183002E-14</v>
      </c>
      <c r="CV90" s="13">
        <f t="shared" si="95"/>
        <v>6.4086286045526829E-13</v>
      </c>
      <c r="CW90" s="20">
        <f t="shared" si="67"/>
        <v>1.1825802166488628E-12</v>
      </c>
      <c r="CX90" s="59">
        <f t="shared" si="68"/>
        <v>293.33333333333451</v>
      </c>
      <c r="CY90" s="59">
        <f ca="1">AVERAGE(OFFSET($CX$3,0,0,'Données projet'!$E$13+1,1))-AVERAGE(OFFSET($H$3,0,0,'Données projet'!$E$13+1,1))</f>
        <v>181.32837315090507</v>
      </c>
      <c r="CZ90" s="59">
        <f t="shared" si="96"/>
        <v>175.03267817980338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1.7711854349159279</v>
      </c>
      <c r="DG90" s="21">
        <f>EXP(-LN(2)/25)*DG89+(1-EXP(-LN(2)/25))/(LN(2)/25)*Calculateur!DB90*Calculateur!DD90*VLOOKUP('Données projet'!$B$13,Paramètres!$A$1:$I$89,3,0)*0.475*44/12</f>
        <v>1.4005983919459108</v>
      </c>
      <c r="DH90" s="21">
        <f>EXP(-LN(2)/2)*DH89+(1-EXP(-LN(2)/2))/(LN(2)/2)*DB90*DE90*VLOOKUP('Données projet'!$B$13,Paramètres!$A$1:$I$89,3,0)*0.475*44/12</f>
        <v>2.794607868128831E-9</v>
      </c>
      <c r="DI90" s="22">
        <f t="shared" si="69"/>
        <v>3.1717838296564467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-2.8421709430404007E-13</v>
      </c>
      <c r="DP90" s="17">
        <f>DO90*VLOOKUP('Données projet'!$B$14,Paramètres!$A$1:$I$89,3,0)*VLOOKUP('Données projet'!$B$14,Paramètres!$A$1:$I$89,5,0)</f>
        <v>-2.2612312022829427E-13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325.72928944930294</v>
      </c>
      <c r="DU90" s="59">
        <f t="shared" si="98"/>
        <v>318.38876834819752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5.5996241113613685</v>
      </c>
      <c r="EB90" s="21">
        <f>EXP(-LN(2)/25)*EB89+(1-EXP(-LN(2)/25))/(LN(2)/25)*Calculateur!DW90*Calculateur!DY90*VLOOKUP('Données projet'!$B$14,Paramètres!$A$1:$I$89,3,0)*0.475*44/12</f>
        <v>4.2579410299065454</v>
      </c>
      <c r="EC90" s="21">
        <f>EXP(-LN(2)/2)*EC89+(1-EXP(-LN(2)/2))/(LN(2)/2)*DW90*DZ90*VLOOKUP('Données projet'!$B$14,Paramètres!$A$1:$I$89,3,0)*0.475*44/12</f>
        <v>3.1161591271854864E-8</v>
      </c>
      <c r="ED90" s="22">
        <f t="shared" si="72"/>
        <v>9.8575651724295046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6.4</v>
      </c>
      <c r="EJ90" s="12">
        <f>IF('Données projet'!$A$192&gt;35,EJ89+EI90-ER89,IF(A90&lt;'Données projet'!$A$192,$EG$205^A90,IF(A90='Données projet'!$A$192,'Données projet'!$B$192,EJ89+EI90-ER89)))</f>
        <v>310.8</v>
      </c>
      <c r="EK90" s="17">
        <f>EJ90*VLOOKUP('Données projet'!$B$15,Paramètres!$A$1:$I$89,3,0)*VLOOKUP('Données projet'!$B$15,Paramètres!$A$1:$I$89,5,0)</f>
        <v>315.15120000000002</v>
      </c>
      <c r="EL90" s="13">
        <f t="shared" si="99"/>
        <v>74.343571754005879</v>
      </c>
      <c r="EM90" s="20">
        <f t="shared" si="73"/>
        <v>678.37006080489357</v>
      </c>
      <c r="EN90" s="59">
        <f t="shared" si="74"/>
        <v>971.70339413822694</v>
      </c>
      <c r="EO90" s="59">
        <f ca="1">AVERAGE(OFFSET($EN$3,0,0,'Données projet'!$E$15+1,1))-AVERAGE(OFFSET($H$3,0,0,'Données projet'!$E$15+1,1))</f>
        <v>384.50065773787549</v>
      </c>
      <c r="EP90" s="59">
        <f t="shared" si="100"/>
        <v>231.92898690465887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2.648875028528102</v>
      </c>
      <c r="EW90" s="21">
        <f>EXP(-LN(2)/25)*EW89+(1-EXP(-LN(2)/25))/(LN(2)/25)*Calculateur!ER90*Calculateur!ET90*VLOOKUP('Données projet'!$B$15,Paramètres!$A$1:$I$89,3,0)*0.475*44/12</f>
        <v>2.1608962154861748</v>
      </c>
      <c r="EX90" s="21">
        <f>EXP(-LN(2)/2)*EX89+(1-EXP(-LN(2)/2))/(LN(2)/2)*ER90*EU90*VLOOKUP('Données projet'!$B$15,Paramètres!$A$1:$I$89,3,0)*0.475*44/12</f>
        <v>2.5195645747373657E-8</v>
      </c>
      <c r="EY90" s="22">
        <f t="shared" si="75"/>
        <v>4.8097712692099224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6.4</v>
      </c>
      <c r="FE90" s="12">
        <f>IF('Données projet'!$A$218&gt;35,FE89+FD90-FM89,IF(A90&lt;'Données projet'!$A$218,$FB$205^A90,IF(A90='Données projet'!$A$218,'Données projet'!$B$218,FE89+FD90-FM89)))</f>
        <v>310.8</v>
      </c>
      <c r="FF90" s="17">
        <f>FE90*VLOOKUP('Données projet'!$B$16,Paramètres!$A$1:$I$89,3,0)*VLOOKUP('Données projet'!$B$16,Paramètres!$A$1:$I$89,5,0)</f>
        <v>281.21184</v>
      </c>
      <c r="FG90" s="13">
        <f t="shared" si="101"/>
        <v>67.22304110496664</v>
      </c>
      <c r="FH90" s="20">
        <f t="shared" si="76"/>
        <v>606.85741792448357</v>
      </c>
      <c r="FI90" s="59">
        <f t="shared" si="77"/>
        <v>900.19075125781683</v>
      </c>
      <c r="FJ90" s="59">
        <f ca="1">AVERAGE(OFFSET($FI$3,0,0,'Données projet'!$E$16+1,1))-AVERAGE(OFFSET($H$3,0,0,'Données projet'!$E$16+1,1))</f>
        <v>326.46362829268969</v>
      </c>
      <c r="FK90" s="59">
        <f t="shared" si="102"/>
        <v>203.5274665601915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2.3636115639173805</v>
      </c>
      <c r="FR90" s="21">
        <f>EXP(-LN(2)/25)*FR89+(1-EXP(-LN(2)/25))/(LN(2)/25)*Calculateur!FM90*Calculateur!FO90*VLOOKUP('Données projet'!$B$16,Paramètres!$A$1:$I$89,3,0)*0.475*44/12</f>
        <v>1.9281843153568927</v>
      </c>
      <c r="FS90" s="21">
        <f>EXP(-LN(2)/2)*FS89+(1-EXP(-LN(2)/2))/(LN(2)/2)*FM90*FP90*VLOOKUP('Données projet'!$B$16,Paramètres!$A$1:$I$89,3,0)*0.475*44/12</f>
        <v>2.2482268513041108E-8</v>
      </c>
      <c r="FT90" s="22">
        <f t="shared" si="78"/>
        <v>4.2917959017565419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6.4</v>
      </c>
      <c r="FZ90" s="12">
        <f>IF('Données projet'!$A$244&gt;35,FZ89+FY90-GH89,IF(A90&lt;'Données projet'!$A$244,$FW$205^A90,IF(A90='Données projet'!$A$244,'Données projet'!$B$244,FZ89+FY90-GH89)))</f>
        <v>310.8</v>
      </c>
      <c r="GA90" s="17">
        <f>FZ90*VLOOKUP('Données projet'!$B$17,Paramètres!$A$1:$I$89,3,0)*VLOOKUP('Données projet'!$B$17,Paramètres!$A$1:$I$89,5,0)</f>
        <v>300.60576000000003</v>
      </c>
      <c r="GB90" s="13">
        <f t="shared" si="103"/>
        <v>71.303439126782422</v>
      </c>
      <c r="GC90" s="20">
        <f t="shared" si="79"/>
        <v>647.74185514581279</v>
      </c>
      <c r="GD90" s="59">
        <f t="shared" si="80"/>
        <v>941.07518847914616</v>
      </c>
      <c r="GE90" s="59">
        <f ca="1">AVERAGE(OFFSET($GD$3,0,0,'Données projet'!$E$17+1,1))-AVERAGE(OFFSET($H$3,0,0,'Données projet'!$E$17+1,1))</f>
        <v>353.24082990916918</v>
      </c>
      <c r="GF90" s="59">
        <f t="shared" si="104"/>
        <v>219.76562717496353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2.5266192579806503</v>
      </c>
      <c r="GM90" s="21">
        <f>EXP(-LN(2)/25)*GM89+(1-EXP(-LN(2)/25))/(LN(2)/25)*Calculateur!GH90*Calculateur!GJ90*VLOOKUP('Données projet'!$B$17,Paramètres!$A$1:$I$89,3,0)*0.475*44/12</f>
        <v>2.0611625440021974</v>
      </c>
      <c r="GN90" s="21">
        <f>EXP(-LN(2)/2)*GN89+(1-EXP(-LN(2)/2))/(LN(2)/2)*GH90*GK90*VLOOKUP('Données projet'!$B$17,Paramètres!$A$1:$I$89,3,0)*0.475*44/12</f>
        <v>2.4032769789802571E-8</v>
      </c>
      <c r="GO90" s="21">
        <f t="shared" si="81"/>
        <v>4.5877818260156173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378.17323480030268</v>
      </c>
      <c r="T91" s="59">
        <f t="shared" si="88"/>
        <v>471.89239871617241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1.3966156433005508</v>
      </c>
      <c r="AA91" s="21">
        <f>EXP(-LN(2)/25)*AA90+(1-EXP(-LN(2)/25))/(LN(2)/25)*Calculateur!V91*Calculateur!X91*VLOOKUP('Données projet'!$B$9,Paramètres!$A$1:$I$89,3,0)*0.475*44/12</f>
        <v>4.1658428232263409</v>
      </c>
      <c r="AB91" s="21">
        <f>EXP(-LN(2)/2)*AB90+(1-EXP(-LN(2)/2))/(LN(2)/2)*V91*Y91*VLOOKUP('Données projet'!$B$9,Paramètres!$A$1:$I$89,3,0)*0.475*44/12</f>
        <v>1.9484368955853115E-8</v>
      </c>
      <c r="AC91" s="22">
        <f t="shared" si="57"/>
        <v>5.56245848601126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141.22849894256314</v>
      </c>
      <c r="AO91" s="59">
        <f t="shared" si="90"/>
        <v>156.12101479343704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2.3321288390314785</v>
      </c>
      <c r="AV91" s="21">
        <f>EXP(-LN(2)/25)*AV90+(1-EXP(-LN(2)/25))/(LN(2)/25)*Calculateur!AQ91*Calculateur!AS91*VLOOKUP('Données projet'!$B$10,Paramètres!$A$1:$I$89,3,0)*0.475*44/12</f>
        <v>1.2061183907458282</v>
      </c>
      <c r="AW91" s="21">
        <f>EXP(-LN(2)/2)*AW90+(1-EXP(-LN(2)/2))/(LN(2)/2)*AQ91*AT91*VLOOKUP('Données projet'!$B$10,Paramètres!$A$1:$I$89,3,0)*0.475*44/12</f>
        <v>5.5096503909521062E-9</v>
      </c>
      <c r="AX91" s="21">
        <f t="shared" si="60"/>
        <v>3.5382472352869572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114.25511901730295</v>
      </c>
      <c r="BJ91" s="59">
        <f t="shared" si="92"/>
        <v>180.96261947642182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1.0838507274881968</v>
      </c>
      <c r="BQ91" s="21">
        <f>EXP(-LN(2)/25)*BQ90+(1-EXP(-LN(2)/25))/(LN(2)/25)*Calculateur!BL91*Calculateur!BN91*VLOOKUP('Données projet'!$B$11,Paramètres!$A$1:$I$89,3,0)*0.475*44/12</f>
        <v>3.5678043035519424</v>
      </c>
      <c r="BR91" s="21">
        <f>EXP(-LN(2)/2)*BR90+(1-EXP(-LN(2)/2))/(LN(2)/2)*BL91*BO91*VLOOKUP('Données projet'!$B$11,Paramètres!$A$1:$I$89,3,0)*0.475*44/12</f>
        <v>1.272570814598689E-8</v>
      </c>
      <c r="BS91" s="22">
        <f t="shared" si="63"/>
        <v>4.6516550437658477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4.4337866711430253E-14</v>
      </c>
      <c r="CA91" s="13">
        <f t="shared" si="93"/>
        <v>7.3222115536967035E-13</v>
      </c>
      <c r="CB91" s="20">
        <f t="shared" si="64"/>
        <v>1.3525069634579169E-12</v>
      </c>
      <c r="CC91" s="59">
        <f t="shared" si="65"/>
        <v>293.33333333333468</v>
      </c>
      <c r="CD91" s="59">
        <f ca="1">AVERAGE(OFFSET($CC$3,0,0,'Données projet'!$E$12+1,1))-AVERAGE(OFFSET($H$3,0,0,'Données projet'!$E$12+1,1))</f>
        <v>216.95993967070063</v>
      </c>
      <c r="CE91" s="59">
        <f t="shared" si="94"/>
        <v>208.79744153433245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1.6381637442015762</v>
      </c>
      <c r="CL91" s="21">
        <f>EXP(-LN(2)/25)*CL90+(1-EXP(-LN(2)/25))/(LN(2)/25)*Calculateur!CG91*Calculateur!CI91*VLOOKUP('Données projet'!$B$12,Paramètres!$A$1:$I$89,3,0)*0.475*44/12</f>
        <v>1.2851876936451709</v>
      </c>
      <c r="CM91" s="21">
        <f>EXP(-LN(2)/2)*CM90+(1-EXP(-LN(2)/2))/(LN(2)/2)*CG91*CJ91*VLOOKUP('Données projet'!$B$12,Paramètres!$A$1:$I$89,3,0)*0.475*44/12</f>
        <v>2.2977746212920676E-9</v>
      </c>
      <c r="CN91" s="22">
        <f t="shared" si="66"/>
        <v>2.9233514401445215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3.813056537183002E-14</v>
      </c>
      <c r="CV91" s="13">
        <f t="shared" si="95"/>
        <v>6.4086286045526829E-13</v>
      </c>
      <c r="CW91" s="20">
        <f t="shared" si="67"/>
        <v>1.1825802166488628E-12</v>
      </c>
      <c r="CX91" s="59">
        <f t="shared" si="68"/>
        <v>293.33333333333451</v>
      </c>
      <c r="CY91" s="59">
        <f ca="1">AVERAGE(OFFSET($CX$3,0,0,'Données projet'!$E$13+1,1))-AVERAGE(OFFSET($H$3,0,0,'Données projet'!$E$13+1,1))</f>
        <v>181.32837315090507</v>
      </c>
      <c r="CZ91" s="59">
        <f t="shared" si="96"/>
        <v>175.03267817980338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1.7364535688536695</v>
      </c>
      <c r="DG91" s="21">
        <f>EXP(-LN(2)/25)*DG90+(1-EXP(-LN(2)/25))/(LN(2)/25)*Calculateur!DB91*Calculateur!DD91*VLOOKUP('Données projet'!$B$13,Paramètres!$A$1:$I$89,3,0)*0.475*44/12</f>
        <v>1.3622989552638816</v>
      </c>
      <c r="DH91" s="21">
        <f>EXP(-LN(2)/2)*DH90+(1-EXP(-LN(2)/2))/(LN(2)/2)*DB91*DE91*VLOOKUP('Données projet'!$B$13,Paramètres!$A$1:$I$89,3,0)*0.475*44/12</f>
        <v>1.9760861743111773E-9</v>
      </c>
      <c r="DI91" s="22">
        <f t="shared" si="69"/>
        <v>3.0987525260936373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-2.8421709430404007E-13</v>
      </c>
      <c r="DP91" s="17">
        <f>DO91*VLOOKUP('Données projet'!$B$14,Paramètres!$A$1:$I$89,3,0)*VLOOKUP('Données projet'!$B$14,Paramètres!$A$1:$I$89,5,0)</f>
        <v>-2.2612312022829427E-13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325.72928944930294</v>
      </c>
      <c r="DU91" s="59">
        <f t="shared" si="98"/>
        <v>318.38876834819752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5.4898188979710341</v>
      </c>
      <c r="EB91" s="21">
        <f>EXP(-LN(2)/25)*EB90+(1-EXP(-LN(2)/25))/(LN(2)/25)*Calculateur!DW91*Calculateur!DY91*VLOOKUP('Données projet'!$B$14,Paramètres!$A$1:$I$89,3,0)*0.475*44/12</f>
        <v>4.1415074085283639</v>
      </c>
      <c r="EC91" s="21">
        <f>EXP(-LN(2)/2)*EC90+(1-EXP(-LN(2)/2))/(LN(2)/2)*DW91*DZ91*VLOOKUP('Données projet'!$B$14,Paramètres!$A$1:$I$89,3,0)*0.475*44/12</f>
        <v>2.2034572500892107E-8</v>
      </c>
      <c r="ED91" s="22">
        <f t="shared" si="72"/>
        <v>9.6313263285339712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6.4</v>
      </c>
      <c r="EJ91" s="12">
        <f>IF('Données projet'!$A$192&gt;35,EJ90+EI91-ER90,IF(A91&lt;'Données projet'!$A$192,$EG$205^A91,IF(A91='Données projet'!$A$192,'Données projet'!$B$192,EJ90+EI91-ER90)))</f>
        <v>317.2</v>
      </c>
      <c r="EK91" s="17">
        <f>EJ91*VLOOKUP('Données projet'!$B$15,Paramètres!$A$1:$I$89,3,0)*VLOOKUP('Données projet'!$B$15,Paramètres!$A$1:$I$89,5,0)</f>
        <v>321.64080000000001</v>
      </c>
      <c r="EL91" s="13">
        <f t="shared" si="99"/>
        <v>75.694652325793228</v>
      </c>
      <c r="EM91" s="20">
        <f t="shared" si="73"/>
        <v>692.0259128007566</v>
      </c>
      <c r="EN91" s="59">
        <f t="shared" si="74"/>
        <v>985.35924613408997</v>
      </c>
      <c r="EO91" s="59">
        <f ca="1">AVERAGE(OFFSET($EN$3,0,0,'Données projet'!$E$15+1,1))-AVERAGE(OFFSET($H$3,0,0,'Données projet'!$E$15+1,1))</f>
        <v>384.50065773787549</v>
      </c>
      <c r="EP91" s="59">
        <f t="shared" si="100"/>
        <v>231.92898690465887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2.5969322048729007</v>
      </c>
      <c r="EW91" s="21">
        <f>EXP(-LN(2)/25)*EW90+(1-EXP(-LN(2)/25))/(LN(2)/25)*Calculateur!ER91*Calculateur!ET91*VLOOKUP('Données projet'!$B$15,Paramètres!$A$1:$I$89,3,0)*0.475*44/12</f>
        <v>2.1018063948371122</v>
      </c>
      <c r="EX91" s="21">
        <f>EXP(-LN(2)/2)*EX90+(1-EXP(-LN(2)/2))/(LN(2)/2)*ER91*EU91*VLOOKUP('Données projet'!$B$15,Paramètres!$A$1:$I$89,3,0)*0.475*44/12</f>
        <v>1.7816011964341911E-8</v>
      </c>
      <c r="EY91" s="22">
        <f t="shared" si="75"/>
        <v>4.6987386175260246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6.4</v>
      </c>
      <c r="FE91" s="12">
        <f>IF('Données projet'!$A$218&gt;35,FE90+FD91-FM90,IF(A91&lt;'Données projet'!$A$218,$FB$205^A91,IF(A91='Données projet'!$A$218,'Données projet'!$B$218,FE90+FD91-FM90)))</f>
        <v>317.2</v>
      </c>
      <c r="FF91" s="17">
        <f>FE91*VLOOKUP('Données projet'!$B$16,Paramètres!$A$1:$I$89,3,0)*VLOOKUP('Données projet'!$B$16,Paramètres!$A$1:$I$89,5,0)</f>
        <v>287.00255999999996</v>
      </c>
      <c r="FG91" s="13">
        <f t="shared" si="101"/>
        <v>68.444716936118553</v>
      </c>
      <c r="FH91" s="20">
        <f t="shared" si="76"/>
        <v>619.07067399707296</v>
      </c>
      <c r="FI91" s="59">
        <f t="shared" si="77"/>
        <v>912.40400733040633</v>
      </c>
      <c r="FJ91" s="59">
        <f ca="1">AVERAGE(OFFSET($FI$3,0,0,'Données projet'!$E$16+1,1))-AVERAGE(OFFSET($H$3,0,0,'Données projet'!$E$16+1,1))</f>
        <v>326.46362829268969</v>
      </c>
      <c r="FK91" s="59">
        <f t="shared" si="102"/>
        <v>203.5274665601915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2.3172625828096627</v>
      </c>
      <c r="FR91" s="21">
        <f>EXP(-LN(2)/25)*FR90+(1-EXP(-LN(2)/25))/(LN(2)/25)*Calculateur!FM91*Calculateur!FO91*VLOOKUP('Données projet'!$B$16,Paramètres!$A$1:$I$89,3,0)*0.475*44/12</f>
        <v>1.8754580138546522</v>
      </c>
      <c r="FS91" s="21">
        <f>EXP(-LN(2)/2)*FS90+(1-EXP(-LN(2)/2))/(LN(2)/2)*FM91*FP91*VLOOKUP('Données projet'!$B$16,Paramètres!$A$1:$I$89,3,0)*0.475*44/12</f>
        <v>1.5897364522028166E-8</v>
      </c>
      <c r="FT91" s="22">
        <f t="shared" si="78"/>
        <v>4.1927206125616792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6.4</v>
      </c>
      <c r="FZ91" s="12">
        <f>IF('Données projet'!$A$244&gt;35,FZ90+FY91-GH90,IF(A91&lt;'Données projet'!$A$244,$FW$205^A91,IF(A91='Données projet'!$A$244,'Données projet'!$B$244,FZ90+FY91-GH90)))</f>
        <v>317.2</v>
      </c>
      <c r="GA91" s="17">
        <f>FZ91*VLOOKUP('Données projet'!$B$17,Paramètres!$A$1:$I$89,3,0)*VLOOKUP('Données projet'!$B$17,Paramètres!$A$1:$I$89,5,0)</f>
        <v>306.79584</v>
      </c>
      <c r="GB91" s="13">
        <f t="shared" si="103"/>
        <v>72.599269943528554</v>
      </c>
      <c r="GC91" s="20">
        <f t="shared" si="79"/>
        <v>660.77981648497882</v>
      </c>
      <c r="GD91" s="59">
        <f t="shared" si="80"/>
        <v>954.11314981831219</v>
      </c>
      <c r="GE91" s="59">
        <f ca="1">AVERAGE(OFFSET($GD$3,0,0,'Données projet'!$E$17+1,1))-AVERAGE(OFFSET($H$3,0,0,'Données projet'!$E$17+1,1))</f>
        <v>353.24082990916918</v>
      </c>
      <c r="GF91" s="59">
        <f t="shared" si="104"/>
        <v>219.76562717496353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2.4770737954172275</v>
      </c>
      <c r="GM91" s="21">
        <f>EXP(-LN(2)/25)*GM90+(1-EXP(-LN(2)/25))/(LN(2)/25)*Calculateur!GH91*Calculateur!GJ91*VLOOKUP('Données projet'!$B$17,Paramètres!$A$1:$I$89,3,0)*0.475*44/12</f>
        <v>2.0047999458446299</v>
      </c>
      <c r="GN91" s="21">
        <f>EXP(-LN(2)/2)*GN90+(1-EXP(-LN(2)/2))/(LN(2)/2)*GH91*GK91*VLOOKUP('Données projet'!$B$17,Paramètres!$A$1:$I$89,3,0)*0.475*44/12</f>
        <v>1.6993734489064596E-8</v>
      </c>
      <c r="GO91" s="21">
        <f t="shared" si="81"/>
        <v>4.4818737582555919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378.17323480030268</v>
      </c>
      <c r="T92" s="59">
        <f t="shared" si="88"/>
        <v>471.89239871617241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1.369228862386856</v>
      </c>
      <c r="AA92" s="21">
        <f>EXP(-LN(2)/25)*AA91+(1-EXP(-LN(2)/25))/(LN(2)/25)*Calculateur!V92*Calculateur!X92*VLOOKUP('Données projet'!$B$9,Paramètres!$A$1:$I$89,3,0)*0.475*44/12</f>
        <v>4.0519276321530633</v>
      </c>
      <c r="AB92" s="21">
        <f>EXP(-LN(2)/2)*AB91+(1-EXP(-LN(2)/2))/(LN(2)/2)*V92*Y92*VLOOKUP('Données projet'!$B$9,Paramètres!$A$1:$I$89,3,0)*0.475*44/12</f>
        <v>1.3777529415824389E-8</v>
      </c>
      <c r="AC92" s="22">
        <f t="shared" si="57"/>
        <v>5.4211565083174484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141.22849894256314</v>
      </c>
      <c r="AO92" s="59">
        <f t="shared" si="90"/>
        <v>156.12101479343704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2.2863972149562071</v>
      </c>
      <c r="AV92" s="21">
        <f>EXP(-LN(2)/25)*AV91+(1-EXP(-LN(2)/25))/(LN(2)/25)*Calculateur!AQ92*Calculateur!AS92*VLOOKUP('Données projet'!$B$10,Paramètres!$A$1:$I$89,3,0)*0.475*44/12</f>
        <v>1.173137019923874</v>
      </c>
      <c r="AW92" s="21">
        <f>EXP(-LN(2)/2)*AW91+(1-EXP(-LN(2)/2))/(LN(2)/2)*AQ92*AT92*VLOOKUP('Données projet'!$B$10,Paramètres!$A$1:$I$89,3,0)*0.475*44/12</f>
        <v>3.8959111534093469E-9</v>
      </c>
      <c r="AX92" s="21">
        <f t="shared" si="60"/>
        <v>3.4595342387759924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114.25511901730295</v>
      </c>
      <c r="BJ92" s="59">
        <f t="shared" si="92"/>
        <v>180.96261947642182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1.0625970758058205</v>
      </c>
      <c r="BQ92" s="21">
        <f>EXP(-LN(2)/25)*BQ91+(1-EXP(-LN(2)/25))/(LN(2)/25)*Calculateur!BL92*Calculateur!BN92*VLOOKUP('Données projet'!$B$11,Paramètres!$A$1:$I$89,3,0)*0.475*44/12</f>
        <v>3.4702425072486407</v>
      </c>
      <c r="BR92" s="21">
        <f>EXP(-LN(2)/2)*BR91+(1-EXP(-LN(2)/2))/(LN(2)/2)*BL92*BO92*VLOOKUP('Données projet'!$B$11,Paramètres!$A$1:$I$89,3,0)*0.475*44/12</f>
        <v>8.998434525428217E-9</v>
      </c>
      <c r="BS92" s="22">
        <f t="shared" si="63"/>
        <v>4.5328395920528957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4.4337866711430253E-14</v>
      </c>
      <c r="CA92" s="13">
        <f t="shared" si="93"/>
        <v>7.3222115536967035E-13</v>
      </c>
      <c r="CB92" s="20">
        <f t="shared" si="64"/>
        <v>1.3525069634579169E-12</v>
      </c>
      <c r="CC92" s="59">
        <f t="shared" si="65"/>
        <v>293.33333333333468</v>
      </c>
      <c r="CD92" s="59">
        <f ca="1">AVERAGE(OFFSET($CC$3,0,0,'Données projet'!$E$12+1,1))-AVERAGE(OFFSET($H$3,0,0,'Données projet'!$E$12+1,1))</f>
        <v>216.95993967070063</v>
      </c>
      <c r="CE92" s="59">
        <f t="shared" si="94"/>
        <v>208.79744153433245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1.6060403523590063</v>
      </c>
      <c r="CL92" s="21">
        <f>EXP(-LN(2)/25)*CL91+(1-EXP(-LN(2)/25))/(LN(2)/25)*Calculateur!CG92*Calculateur!CI92*VLOOKUP('Données projet'!$B$12,Paramètres!$A$1:$I$89,3,0)*0.475*44/12</f>
        <v>1.2500441685773602</v>
      </c>
      <c r="CM92" s="21">
        <f>EXP(-LN(2)/2)*CM91+(1-EXP(-LN(2)/2))/(LN(2)/2)*CG92*CJ92*VLOOKUP('Données projet'!$B$12,Paramètres!$A$1:$I$89,3,0)*0.475*44/12</f>
        <v>1.6247720163539722E-9</v>
      </c>
      <c r="CN92" s="22">
        <f t="shared" si="66"/>
        <v>2.8560845225611384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3.813056537183002E-14</v>
      </c>
      <c r="CV92" s="13">
        <f t="shared" si="95"/>
        <v>6.4086286045526829E-13</v>
      </c>
      <c r="CW92" s="20">
        <f t="shared" si="67"/>
        <v>1.1825802166488628E-12</v>
      </c>
      <c r="CX92" s="59">
        <f t="shared" si="68"/>
        <v>293.33333333333451</v>
      </c>
      <c r="CY92" s="59">
        <f ca="1">AVERAGE(OFFSET($CX$3,0,0,'Données projet'!$E$13+1,1))-AVERAGE(OFFSET($H$3,0,0,'Données projet'!$E$13+1,1))</f>
        <v>181.32837315090507</v>
      </c>
      <c r="CZ92" s="59">
        <f t="shared" si="96"/>
        <v>175.03267817980338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1.7024027735005454</v>
      </c>
      <c r="DG92" s="21">
        <f>EXP(-LN(2)/25)*DG91+(1-EXP(-LN(2)/25))/(LN(2)/25)*Calculateur!DB92*Calculateur!DD92*VLOOKUP('Données projet'!$B$13,Paramètres!$A$1:$I$89,3,0)*0.475*44/12</f>
        <v>1.3250468186920021</v>
      </c>
      <c r="DH92" s="21">
        <f>EXP(-LN(2)/2)*DH91+(1-EXP(-LN(2)/2))/(LN(2)/2)*DB92*DE92*VLOOKUP('Données projet'!$B$13,Paramètres!$A$1:$I$89,3,0)*0.475*44/12</f>
        <v>1.3973039340644155E-9</v>
      </c>
      <c r="DI92" s="22">
        <f t="shared" si="69"/>
        <v>3.0274495935898513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-2.8421709430404007E-13</v>
      </c>
      <c r="DP92" s="17">
        <f>DO92*VLOOKUP('Données projet'!$B$14,Paramètres!$A$1:$I$89,3,0)*VLOOKUP('Données projet'!$B$14,Paramètres!$A$1:$I$89,5,0)</f>
        <v>-2.2612312022829427E-13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325.72928944930294</v>
      </c>
      <c r="DU92" s="59">
        <f t="shared" si="98"/>
        <v>318.38876834819752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5.3821668978407171</v>
      </c>
      <c r="EB92" s="21">
        <f>EXP(-LN(2)/25)*EB91+(1-EXP(-LN(2)/25))/(LN(2)/25)*Calculateur!DW92*Calculateur!DY92*VLOOKUP('Données projet'!$B$14,Paramètres!$A$1:$I$89,3,0)*0.475*44/12</f>
        <v>4.0282576706497464</v>
      </c>
      <c r="EC92" s="21">
        <f>EXP(-LN(2)/2)*EC91+(1-EXP(-LN(2)/2))/(LN(2)/2)*DW92*DZ92*VLOOKUP('Données projet'!$B$14,Paramètres!$A$1:$I$89,3,0)*0.475*44/12</f>
        <v>1.5580795635927432E-8</v>
      </c>
      <c r="ED92" s="22">
        <f t="shared" si="72"/>
        <v>9.4104245840712579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6.4</v>
      </c>
      <c r="EJ92" s="12">
        <f>IF('Données projet'!$A$192&gt;35,EJ91+EI92-ER91,IF(A92&lt;'Données projet'!$A$192,$EG$205^A92,IF(A92='Données projet'!$A$192,'Données projet'!$B$192,EJ91+EI92-ER91)))</f>
        <v>323.59999999999997</v>
      </c>
      <c r="EK92" s="17">
        <f>EJ92*VLOOKUP('Données projet'!$B$15,Paramètres!$A$1:$I$89,3,0)*VLOOKUP('Données projet'!$B$15,Paramètres!$A$1:$I$89,5,0)</f>
        <v>328.13039999999995</v>
      </c>
      <c r="EL92" s="13">
        <f t="shared" si="99"/>
        <v>77.042563313388285</v>
      </c>
      <c r="EM92" s="20">
        <f t="shared" si="73"/>
        <v>705.67624443748446</v>
      </c>
      <c r="EN92" s="59">
        <f t="shared" si="74"/>
        <v>999.00957777081771</v>
      </c>
      <c r="EO92" s="59">
        <f ca="1">AVERAGE(OFFSET($EN$3,0,0,'Données projet'!$E$15+1,1))-AVERAGE(OFFSET($H$3,0,0,'Données projet'!$E$15+1,1))</f>
        <v>384.50065773787549</v>
      </c>
      <c r="EP92" s="59">
        <f t="shared" si="100"/>
        <v>231.92898690465887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2.5460079483075839</v>
      </c>
      <c r="EW92" s="21">
        <f>EXP(-LN(2)/25)*EW91+(1-EXP(-LN(2)/25))/(LN(2)/25)*Calculateur!ER92*Calculateur!ET92*VLOOKUP('Données projet'!$B$15,Paramètres!$A$1:$I$89,3,0)*0.475*44/12</f>
        <v>2.0443323884410969</v>
      </c>
      <c r="EX92" s="21">
        <f>EXP(-LN(2)/2)*EX91+(1-EXP(-LN(2)/2))/(LN(2)/2)*ER92*EU92*VLOOKUP('Données projet'!$B$15,Paramètres!$A$1:$I$89,3,0)*0.475*44/12</f>
        <v>1.2597822873686828E-8</v>
      </c>
      <c r="EY92" s="22">
        <f t="shared" si="75"/>
        <v>4.590340349346504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6.4</v>
      </c>
      <c r="FE92" s="12">
        <f>IF('Données projet'!$A$218&gt;35,FE91+FD92-FM91,IF(A92&lt;'Données projet'!$A$218,$FB$205^A92,IF(A92='Données projet'!$A$218,'Données projet'!$B$218,FE91+FD92-FM91)))</f>
        <v>323.59999999999997</v>
      </c>
      <c r="FF92" s="17">
        <f>FE92*VLOOKUP('Données projet'!$B$16,Paramètres!$A$1:$I$89,3,0)*VLOOKUP('Données projet'!$B$16,Paramètres!$A$1:$I$89,5,0)</f>
        <v>292.79327999999992</v>
      </c>
      <c r="FG92" s="13">
        <f t="shared" si="101"/>
        <v>69.663526761731433</v>
      </c>
      <c r="FH92" s="20">
        <f t="shared" si="76"/>
        <v>631.27893844334869</v>
      </c>
      <c r="FI92" s="59">
        <f t="shared" si="77"/>
        <v>924.61227177668206</v>
      </c>
      <c r="FJ92" s="59">
        <f ca="1">AVERAGE(OFFSET($FI$3,0,0,'Données projet'!$E$16+1,1))-AVERAGE(OFFSET($H$3,0,0,'Données projet'!$E$16+1,1))</f>
        <v>326.46362829268969</v>
      </c>
      <c r="FK92" s="59">
        <f t="shared" si="102"/>
        <v>203.5274665601915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2.27182247695138</v>
      </c>
      <c r="FR92" s="21">
        <f>EXP(-LN(2)/25)*FR91+(1-EXP(-LN(2)/25))/(LN(2)/25)*Calculateur!FM92*Calculateur!FO92*VLOOKUP('Données projet'!$B$16,Paramètres!$A$1:$I$89,3,0)*0.475*44/12</f>
        <v>1.8241735158397461</v>
      </c>
      <c r="FS92" s="21">
        <f>EXP(-LN(2)/2)*FS91+(1-EXP(-LN(2)/2))/(LN(2)/2)*FM92*FP92*VLOOKUP('Données projet'!$B$16,Paramètres!$A$1:$I$89,3,0)*0.475*44/12</f>
        <v>1.1241134256520554E-8</v>
      </c>
      <c r="FT92" s="22">
        <f t="shared" si="78"/>
        <v>4.0959960040322603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6.4</v>
      </c>
      <c r="FZ92" s="12">
        <f>IF('Données projet'!$A$244&gt;35,FZ91+FY92-GH91,IF(A92&lt;'Données projet'!$A$244,$FW$205^A92,IF(A92='Données projet'!$A$244,'Données projet'!$B$244,FZ91+FY92-GH91)))</f>
        <v>323.59999999999997</v>
      </c>
      <c r="GA92" s="17">
        <f>FZ92*VLOOKUP('Données projet'!$B$17,Paramètres!$A$1:$I$89,3,0)*VLOOKUP('Données projet'!$B$17,Paramètres!$A$1:$I$89,5,0)</f>
        <v>312.98591999999996</v>
      </c>
      <c r="GB92" s="13">
        <f t="shared" si="103"/>
        <v>73.892060789929147</v>
      </c>
      <c r="GC92" s="20">
        <f t="shared" si="79"/>
        <v>673.81248320912653</v>
      </c>
      <c r="GD92" s="59">
        <f t="shared" si="80"/>
        <v>967.1458165424599</v>
      </c>
      <c r="GE92" s="59">
        <f ca="1">AVERAGE(OFFSET($GD$3,0,0,'Données projet'!$E$17+1,1))-AVERAGE(OFFSET($H$3,0,0,'Données projet'!$E$17+1,1))</f>
        <v>353.24082990916918</v>
      </c>
      <c r="GF92" s="59">
        <f t="shared" si="104"/>
        <v>219.76562717496353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2.4284998891549252</v>
      </c>
      <c r="GM92" s="21">
        <f>EXP(-LN(2)/25)*GM91+(1-EXP(-LN(2)/25))/(LN(2)/25)*Calculateur!GH92*Calculateur!GJ92*VLOOKUP('Données projet'!$B$17,Paramètres!$A$1:$I$89,3,0)*0.475*44/12</f>
        <v>1.9499785858976615</v>
      </c>
      <c r="GN92" s="21">
        <f>EXP(-LN(2)/2)*GN91+(1-EXP(-LN(2)/2))/(LN(2)/2)*GH92*GK92*VLOOKUP('Données projet'!$B$17,Paramètres!$A$1:$I$89,3,0)*0.475*44/12</f>
        <v>1.2016384894901285E-8</v>
      </c>
      <c r="GO92" s="21">
        <f t="shared" si="81"/>
        <v>4.3784784870689721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378.17323480030268</v>
      </c>
      <c r="T93" s="59">
        <f t="shared" si="88"/>
        <v>471.89239871617241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1.3423791195425918</v>
      </c>
      <c r="AA93" s="21">
        <f>EXP(-LN(2)/25)*AA92+(1-EXP(-LN(2)/25))/(LN(2)/25)*Calculateur!V93*Calculateur!X93*VLOOKUP('Données projet'!$B$9,Paramètres!$A$1:$I$89,3,0)*0.475*44/12</f>
        <v>3.9411274579702242</v>
      </c>
      <c r="AB93" s="21">
        <f>EXP(-LN(2)/2)*AB92+(1-EXP(-LN(2)/2))/(LN(2)/2)*V93*Y93*VLOOKUP('Données projet'!$B$9,Paramètres!$A$1:$I$89,3,0)*0.475*44/12</f>
        <v>9.7421844779265577E-9</v>
      </c>
      <c r="AC93" s="22">
        <f t="shared" si="57"/>
        <v>5.2835065872550011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141.22849894256314</v>
      </c>
      <c r="AO93" s="59">
        <f t="shared" si="90"/>
        <v>156.12101479343704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2.2415623601355152</v>
      </c>
      <c r="AV93" s="21">
        <f>EXP(-LN(2)/25)*AV92+(1-EXP(-LN(2)/25))/(LN(2)/25)*Calculateur!AQ93*Calculateur!AS93*VLOOKUP('Données projet'!$B$10,Paramètres!$A$1:$I$89,3,0)*0.475*44/12</f>
        <v>1.1410575264214611</v>
      </c>
      <c r="AW93" s="21">
        <f>EXP(-LN(2)/2)*AW92+(1-EXP(-LN(2)/2))/(LN(2)/2)*AQ93*AT93*VLOOKUP('Données projet'!$B$10,Paramètres!$A$1:$I$89,3,0)*0.475*44/12</f>
        <v>2.7548251954760531E-9</v>
      </c>
      <c r="AX93" s="21">
        <f t="shared" si="60"/>
        <v>3.3826198893118016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114.25511901730295</v>
      </c>
      <c r="BJ93" s="59">
        <f t="shared" si="92"/>
        <v>180.96261947642182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1.0417601952694882</v>
      </c>
      <c r="BQ93" s="21">
        <f>EXP(-LN(2)/25)*BQ92+(1-EXP(-LN(2)/25))/(LN(2)/25)*Calculateur!BL93*Calculateur!BN93*VLOOKUP('Données projet'!$B$11,Paramètres!$A$1:$I$89,3,0)*0.475*44/12</f>
        <v>3.3753485433958046</v>
      </c>
      <c r="BR93" s="21">
        <f>EXP(-LN(2)/2)*BR92+(1-EXP(-LN(2)/2))/(LN(2)/2)*BL93*BO93*VLOOKUP('Données projet'!$B$11,Paramètres!$A$1:$I$89,3,0)*0.475*44/12</f>
        <v>6.362854072993445E-9</v>
      </c>
      <c r="BS93" s="22">
        <f t="shared" si="63"/>
        <v>4.4171087450281474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4.4337866711430253E-14</v>
      </c>
      <c r="CA93" s="13">
        <f t="shared" si="93"/>
        <v>7.3222115536967035E-13</v>
      </c>
      <c r="CB93" s="20">
        <f t="shared" si="64"/>
        <v>1.3525069634579169E-12</v>
      </c>
      <c r="CC93" s="59">
        <f t="shared" si="65"/>
        <v>293.33333333333468</v>
      </c>
      <c r="CD93" s="59">
        <f ca="1">AVERAGE(OFFSET($CC$3,0,0,'Données projet'!$E$12+1,1))-AVERAGE(OFFSET($H$3,0,0,'Données projet'!$E$12+1,1))</f>
        <v>216.95993967070063</v>
      </c>
      <c r="CE93" s="59">
        <f t="shared" si="94"/>
        <v>208.79744153433245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1.574546880637135</v>
      </c>
      <c r="CL93" s="21">
        <f>EXP(-LN(2)/25)*CL92+(1-EXP(-LN(2)/25))/(LN(2)/25)*Calculateur!CG93*Calculateur!CI93*VLOOKUP('Données projet'!$B$12,Paramètres!$A$1:$I$89,3,0)*0.475*44/12</f>
        <v>1.2158616450506465</v>
      </c>
      <c r="CM93" s="21">
        <f>EXP(-LN(2)/2)*CM92+(1-EXP(-LN(2)/2))/(LN(2)/2)*CG93*CJ93*VLOOKUP('Données projet'!$B$12,Paramètres!$A$1:$I$89,3,0)*0.475*44/12</f>
        <v>1.1488873106460338E-9</v>
      </c>
      <c r="CN93" s="22">
        <f t="shared" si="66"/>
        <v>2.7904085268366687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3.813056537183002E-14</v>
      </c>
      <c r="CV93" s="13">
        <f t="shared" si="95"/>
        <v>6.4086286045526829E-13</v>
      </c>
      <c r="CW93" s="20">
        <f t="shared" si="67"/>
        <v>1.1825802166488628E-12</v>
      </c>
      <c r="CX93" s="59">
        <f t="shared" si="68"/>
        <v>293.33333333333451</v>
      </c>
      <c r="CY93" s="59">
        <f ca="1">AVERAGE(OFFSET($CX$3,0,0,'Données projet'!$E$13+1,1))-AVERAGE(OFFSET($H$3,0,0,'Données projet'!$E$13+1,1))</f>
        <v>181.32837315090507</v>
      </c>
      <c r="CZ93" s="59">
        <f t="shared" si="96"/>
        <v>175.03267817980338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1.6690196934753616</v>
      </c>
      <c r="DG93" s="21">
        <f>EXP(-LN(2)/25)*DG92+(1-EXP(-LN(2)/25))/(LN(2)/25)*Calculateur!DB93*Calculateur!DD93*VLOOKUP('Données projet'!$B$13,Paramètres!$A$1:$I$89,3,0)*0.475*44/12</f>
        <v>1.2888133437536855</v>
      </c>
      <c r="DH93" s="21">
        <f>EXP(-LN(2)/2)*DH92+(1-EXP(-LN(2)/2))/(LN(2)/2)*DB93*DE93*VLOOKUP('Données projet'!$B$13,Paramètres!$A$1:$I$89,3,0)*0.475*44/12</f>
        <v>9.8804308715558865E-10</v>
      </c>
      <c r="DI93" s="22">
        <f t="shared" si="69"/>
        <v>2.9578330382170903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-2.8421709430404007E-13</v>
      </c>
      <c r="DP93" s="17">
        <f>DO93*VLOOKUP('Données projet'!$B$14,Paramètres!$A$1:$I$89,3,0)*VLOOKUP('Données projet'!$B$14,Paramètres!$A$1:$I$89,5,0)</f>
        <v>-2.2612312022829427E-13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325.72928944930294</v>
      </c>
      <c r="DU93" s="59">
        <f t="shared" si="98"/>
        <v>318.38876834819752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5.2766258877717194</v>
      </c>
      <c r="EB93" s="21">
        <f>EXP(-LN(2)/25)*EB92+(1-EXP(-LN(2)/25))/(LN(2)/25)*Calculateur!DW93*Calculateur!DY93*VLOOKUP('Données projet'!$B$14,Paramètres!$A$1:$I$89,3,0)*0.475*44/12</f>
        <v>3.918104752808965</v>
      </c>
      <c r="EC93" s="21">
        <f>EXP(-LN(2)/2)*EC92+(1-EXP(-LN(2)/2))/(LN(2)/2)*DW93*DZ93*VLOOKUP('Données projet'!$B$14,Paramètres!$A$1:$I$89,3,0)*0.475*44/12</f>
        <v>1.1017286250446054E-8</v>
      </c>
      <c r="ED93" s="22">
        <f t="shared" si="72"/>
        <v>9.1947306515979701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330</v>
      </c>
      <c r="EH93" s="12">
        <f>VLOOKUP(A93,'Données projet'!$A$191:$I$211,9,0)</f>
        <v>6.4</v>
      </c>
      <c r="EI93" s="12">
        <f t="array" ref="EI93">INDEX(EH:EH,MIN(IF(ISNUMBER(EH93:EH289),ROW(EH93:EH289),"")))</f>
        <v>6.4</v>
      </c>
      <c r="EJ93" s="12">
        <f>IF('Données projet'!$A$192&gt;35,EJ92+EI93-ER92,IF(A93&lt;'Données projet'!$A$192,$EG$205^A93,IF(A93='Données projet'!$A$192,'Données projet'!$B$192,EJ92+EI93-ER92)))</f>
        <v>329.99999999999994</v>
      </c>
      <c r="EK93" s="17">
        <f>EJ93*VLOOKUP('Données projet'!$B$15,Paramètres!$A$1:$I$89,3,0)*VLOOKUP('Données projet'!$B$15,Paramètres!$A$1:$I$89,5,0)</f>
        <v>334.61999999999995</v>
      </c>
      <c r="EL93" s="13">
        <f t="shared" si="99"/>
        <v>78.387374628661505</v>
      </c>
      <c r="EM93" s="20">
        <f t="shared" si="73"/>
        <v>719.32117747825203</v>
      </c>
      <c r="EN93" s="59">
        <f t="shared" si="74"/>
        <v>1012.6545108115854</v>
      </c>
      <c r="EO93" s="59">
        <f ca="1">AVERAGE(OFFSET($EN$3,0,0,'Données projet'!$E$15+1,1))-AVERAGE(OFFSET($H$3,0,0,'Données projet'!$E$15+1,1))</f>
        <v>384.50065773787549</v>
      </c>
      <c r="EP93" s="59">
        <f t="shared" si="100"/>
        <v>231.92898690465887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28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2.4960822853527835</v>
      </c>
      <c r="EW93" s="21">
        <f>EXP(-LN(2)/25)*EW92+(1-EXP(-LN(2)/25))/(LN(2)/25)*Calculateur!ER93*Calculateur!ET93*VLOOKUP('Données projet'!$B$15,Paramètres!$A$1:$I$89,3,0)*0.475*44/12</f>
        <v>1.9884300117724072</v>
      </c>
      <c r="EX93" s="21">
        <f>EXP(-LN(2)/2)*EX92+(1-EXP(-LN(2)/2))/(LN(2)/2)*ER93*EU93*VLOOKUP('Données projet'!$B$15,Paramètres!$A$1:$I$89,3,0)*0.475*44/12</f>
        <v>8.9080059821709554E-9</v>
      </c>
      <c r="EY93" s="22">
        <f t="shared" si="75"/>
        <v>4.4845123060331966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330</v>
      </c>
      <c r="FC93" s="12">
        <f>VLOOKUP(A93,'Données projet'!$A$217:$I$237,9,0)</f>
        <v>6.4</v>
      </c>
      <c r="FD93" s="12">
        <f t="array" ref="FD93">INDEX(FC:FC,MIN(IF(ISNUMBER(FC93:FC289),ROW(FC93:FC289),"")))</f>
        <v>6.4</v>
      </c>
      <c r="FE93" s="12">
        <f>IF('Données projet'!$A$218&gt;35,FE92+FD93-FM92,IF(A93&lt;'Données projet'!$A$218,$FB$205^A93,IF(A93='Données projet'!$A$218,'Données projet'!$B$218,FE92+FD93-FM92)))</f>
        <v>329.99999999999994</v>
      </c>
      <c r="FF93" s="17">
        <f>FE93*VLOOKUP('Données projet'!$B$16,Paramètres!$A$1:$I$89,3,0)*VLOOKUP('Données projet'!$B$16,Paramètres!$A$1:$I$89,5,0)</f>
        <v>298.58399999999995</v>
      </c>
      <c r="FG93" s="13">
        <f t="shared" si="101"/>
        <v>70.879533797607607</v>
      </c>
      <c r="FH93" s="20">
        <f t="shared" si="76"/>
        <v>643.48232136416652</v>
      </c>
      <c r="FI93" s="59">
        <f t="shared" si="77"/>
        <v>936.81565469749989</v>
      </c>
      <c r="FJ93" s="59">
        <f ca="1">AVERAGE(OFFSET($FI$3,0,0,'Données projet'!$E$16+1,1))-AVERAGE(OFFSET($H$3,0,0,'Données projet'!$E$16+1,1))</f>
        <v>326.46362829268969</v>
      </c>
      <c r="FK93" s="59">
        <f t="shared" si="102"/>
        <v>203.5274665601915</v>
      </c>
      <c r="FL93" s="15">
        <f>IF(ISNA(VLOOKUP(A93,'Données projet'!$A$217:$I$237,3,0)),0,VLOOKUP(A93,'Données projet'!$A$217:$I$237,3,0))</f>
        <v>15</v>
      </c>
      <c r="FM93" s="15">
        <f>IF(ISNA(VLOOKUP(A93,'Données projet'!$A$217:$I$237,4,0)),0,VLOOKUP(A93,'Données projet'!$A$217:$I$237,4,0))</f>
        <v>330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2.2272734238532501</v>
      </c>
      <c r="FR93" s="21">
        <f>EXP(-LN(2)/25)*FR92+(1-EXP(-LN(2)/25))/(LN(2)/25)*Calculateur!FM93*Calculateur!FO93*VLOOKUP('Données projet'!$B$16,Paramètres!$A$1:$I$89,3,0)*0.475*44/12</f>
        <v>1.7742913951199921</v>
      </c>
      <c r="FS93" s="21">
        <f>EXP(-LN(2)/2)*FS92+(1-EXP(-LN(2)/2))/(LN(2)/2)*FM93*FP93*VLOOKUP('Données projet'!$B$16,Paramètres!$A$1:$I$89,3,0)*0.475*44/12</f>
        <v>7.9486822610140829E-9</v>
      </c>
      <c r="FT93" s="22">
        <f t="shared" si="78"/>
        <v>4.0015648269219248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330</v>
      </c>
      <c r="FX93" s="12">
        <f>VLOOKUP(A93,'Données projet'!$A$243:$I$263,9,0)</f>
        <v>6.4</v>
      </c>
      <c r="FY93" s="12">
        <f t="array" ref="FY93">INDEX(FX:FX,MIN(IF(ISNUMBER(FX93:FX289),ROW(FX93:FX289),"")))</f>
        <v>6.4</v>
      </c>
      <c r="FZ93" s="12">
        <f>IF('Données projet'!$A$244&gt;35,FZ92+FY93-GH92,IF(A93&lt;'Données projet'!$A$244,$FW$205^A93,IF(A93='Données projet'!$A$244,'Données projet'!$B$244,FZ92+FY93-GH92)))</f>
        <v>329.99999999999994</v>
      </c>
      <c r="GA93" s="17">
        <f>FZ93*VLOOKUP('Données projet'!$B$17,Paramètres!$A$1:$I$89,3,0)*VLOOKUP('Données projet'!$B$17,Paramètres!$A$1:$I$89,5,0)</f>
        <v>319.17599999999993</v>
      </c>
      <c r="GB93" s="13">
        <f t="shared" si="103"/>
        <v>75.181878718947672</v>
      </c>
      <c r="GC93" s="20">
        <f t="shared" si="79"/>
        <v>686.83997210216705</v>
      </c>
      <c r="GD93" s="59">
        <f t="shared" si="80"/>
        <v>980.17330543550042</v>
      </c>
      <c r="GE93" s="59">
        <f ca="1">AVERAGE(OFFSET($GD$3,0,0,'Données projet'!$E$17+1,1))-AVERAGE(OFFSET($H$3,0,0,'Données projet'!$E$17+1,1))</f>
        <v>353.24082990916918</v>
      </c>
      <c r="GF93" s="59">
        <f t="shared" si="104"/>
        <v>219.76562717496353</v>
      </c>
      <c r="GG93" s="15">
        <f>IF(ISNA(VLOOKUP(A93,'Données projet'!$A$243:$I$263,3,0)),0,VLOOKUP(A93,'Données projet'!$A$243:$I$263,3,0))</f>
        <v>15</v>
      </c>
      <c r="GH93" s="15">
        <f>IF(ISNA(VLOOKUP(A93,'Données projet'!$A$243:$I$263,4,0)),0,VLOOKUP(A93,'Données projet'!$A$243:$I$263,4,0))</f>
        <v>330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2.3808784875672693</v>
      </c>
      <c r="GM93" s="21">
        <f>EXP(-LN(2)/25)*GM92+(1-EXP(-LN(2)/25))/(LN(2)/25)*Calculateur!GH93*Calculateur!GJ93*VLOOKUP('Données projet'!$B$17,Paramètres!$A$1:$I$89,3,0)*0.475*44/12</f>
        <v>1.8966563189213728</v>
      </c>
      <c r="GN93" s="21">
        <f>EXP(-LN(2)/2)*GN92+(1-EXP(-LN(2)/2))/(LN(2)/2)*GH93*GK93*VLOOKUP('Données projet'!$B$17,Paramètres!$A$1:$I$89,3,0)*0.475*44/12</f>
        <v>8.4968672445322979E-9</v>
      </c>
      <c r="GO93" s="21">
        <f t="shared" si="81"/>
        <v>4.2775348149855095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378.17323480030268</v>
      </c>
      <c r="T94" s="59">
        <f t="shared" si="88"/>
        <v>471.89239871617241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1.3160558837787777</v>
      </c>
      <c r="AA94" s="21">
        <f>EXP(-LN(2)/25)*AA93+(1-EXP(-LN(2)/25))/(LN(2)/25)*Calculateur!V94*Calculateur!X94*VLOOKUP('Données projet'!$B$9,Paramètres!$A$1:$I$89,3,0)*0.475*44/12</f>
        <v>3.8333571203771428</v>
      </c>
      <c r="AB94" s="21">
        <f>EXP(-LN(2)/2)*AB93+(1-EXP(-LN(2)/2))/(LN(2)/2)*V94*Y94*VLOOKUP('Données projet'!$B$9,Paramètres!$A$1:$I$89,3,0)*0.475*44/12</f>
        <v>6.8887647079121943E-9</v>
      </c>
      <c r="AC94" s="22">
        <f t="shared" si="57"/>
        <v>5.1494130110446861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141.22849894256314</v>
      </c>
      <c r="AO94" s="59">
        <f t="shared" si="90"/>
        <v>156.12101479343704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2.197606689471296</v>
      </c>
      <c r="AV94" s="21">
        <f>EXP(-LN(2)/25)*AV93+(1-EXP(-LN(2)/25))/(LN(2)/25)*Calculateur!AQ94*Calculateur!AS94*VLOOKUP('Données projet'!$B$10,Paramètres!$A$1:$I$89,3,0)*0.475*44/12</f>
        <v>1.1098552483558588</v>
      </c>
      <c r="AW94" s="21">
        <f>EXP(-LN(2)/2)*AW93+(1-EXP(-LN(2)/2))/(LN(2)/2)*AQ94*AT94*VLOOKUP('Données projet'!$B$10,Paramètres!$A$1:$I$89,3,0)*0.475*44/12</f>
        <v>1.9479555767046734E-9</v>
      </c>
      <c r="AX94" s="21">
        <f t="shared" si="60"/>
        <v>3.3074619397751102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114.25511901730295</v>
      </c>
      <c r="BJ94" s="59">
        <f t="shared" si="92"/>
        <v>180.96261947642182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1.0213319132512311</v>
      </c>
      <c r="BQ94" s="21">
        <f>EXP(-LN(2)/25)*BQ93+(1-EXP(-LN(2)/25))/(LN(2)/25)*Calculateur!BL94*Calculateur!BN94*VLOOKUP('Données projet'!$B$11,Paramètres!$A$1:$I$89,3,0)*0.475*44/12</f>
        <v>3.283049459974781</v>
      </c>
      <c r="BR94" s="21">
        <f>EXP(-LN(2)/2)*BR93+(1-EXP(-LN(2)/2))/(LN(2)/2)*BL94*BO94*VLOOKUP('Données projet'!$B$11,Paramètres!$A$1:$I$89,3,0)*0.475*44/12</f>
        <v>4.4992172627141085E-9</v>
      </c>
      <c r="BS94" s="22">
        <f t="shared" si="63"/>
        <v>4.3043813777252291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4.4337866711430253E-14</v>
      </c>
      <c r="CA94" s="13">
        <f t="shared" si="93"/>
        <v>7.3222115536967035E-13</v>
      </c>
      <c r="CB94" s="20">
        <f t="shared" si="64"/>
        <v>1.3525069634579169E-12</v>
      </c>
      <c r="CC94" s="59">
        <f t="shared" si="65"/>
        <v>293.33333333333468</v>
      </c>
      <c r="CD94" s="59">
        <f ca="1">AVERAGE(OFFSET($CC$3,0,0,'Données projet'!$E$12+1,1))-AVERAGE(OFFSET($H$3,0,0,'Données projet'!$E$12+1,1))</f>
        <v>216.95993967070063</v>
      </c>
      <c r="CE94" s="59">
        <f t="shared" si="94"/>
        <v>208.79744153433245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1.5436709766866084</v>
      </c>
      <c r="CL94" s="21">
        <f>EXP(-LN(2)/25)*CL93+(1-EXP(-LN(2)/25))/(LN(2)/25)*Calculateur!CG94*Calculateur!CI94*VLOOKUP('Données projet'!$B$12,Paramètres!$A$1:$I$89,3,0)*0.475*44/12</f>
        <v>1.1826138444273515</v>
      </c>
      <c r="CM94" s="21">
        <f>EXP(-LN(2)/2)*CM93+(1-EXP(-LN(2)/2))/(LN(2)/2)*CG94*CJ94*VLOOKUP('Données projet'!$B$12,Paramètres!$A$1:$I$89,3,0)*0.475*44/12</f>
        <v>8.1238600817698609E-10</v>
      </c>
      <c r="CN94" s="22">
        <f t="shared" si="66"/>
        <v>2.7262848219263458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3.813056537183002E-14</v>
      </c>
      <c r="CV94" s="13">
        <f t="shared" si="95"/>
        <v>6.4086286045526829E-13</v>
      </c>
      <c r="CW94" s="20">
        <f t="shared" si="67"/>
        <v>1.1825802166488628E-12</v>
      </c>
      <c r="CX94" s="59">
        <f t="shared" si="68"/>
        <v>293.33333333333451</v>
      </c>
      <c r="CY94" s="59">
        <f ca="1">AVERAGE(OFFSET($CX$3,0,0,'Données projet'!$E$13+1,1))-AVERAGE(OFFSET($H$3,0,0,'Données projet'!$E$13+1,1))</f>
        <v>181.32837315090507</v>
      </c>
      <c r="CZ94" s="59">
        <f t="shared" si="96"/>
        <v>175.03267817980338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1.6362912352878034</v>
      </c>
      <c r="DG94" s="21">
        <f>EXP(-LN(2)/25)*DG93+(1-EXP(-LN(2)/25))/(LN(2)/25)*Calculateur!DB94*Calculateur!DD94*VLOOKUP('Données projet'!$B$13,Paramètres!$A$1:$I$89,3,0)*0.475*44/12</f>
        <v>1.2535706750929929</v>
      </c>
      <c r="DH94" s="21">
        <f>EXP(-LN(2)/2)*DH93+(1-EXP(-LN(2)/2))/(LN(2)/2)*DB94*DE94*VLOOKUP('Données projet'!$B$13,Paramètres!$A$1:$I$89,3,0)*0.475*44/12</f>
        <v>6.9865196703220774E-10</v>
      </c>
      <c r="DI94" s="22">
        <f t="shared" si="69"/>
        <v>2.8898619110794481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-2.8421709430404007E-13</v>
      </c>
      <c r="DP94" s="17">
        <f>DO94*VLOOKUP('Données projet'!$B$14,Paramètres!$A$1:$I$89,3,0)*VLOOKUP('Données projet'!$B$14,Paramètres!$A$1:$I$89,5,0)</f>
        <v>-2.2612312022829427E-13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325.72928944930294</v>
      </c>
      <c r="DU94" s="59">
        <f t="shared" si="98"/>
        <v>318.38876834819752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5.1731544725365142</v>
      </c>
      <c r="EB94" s="21">
        <f>EXP(-LN(2)/25)*EB93+(1-EXP(-LN(2)/25))/(LN(2)/25)*Calculateur!DW94*Calculateur!DY94*VLOOKUP('Données projet'!$B$14,Paramètres!$A$1:$I$89,3,0)*0.475*44/12</f>
        <v>3.8109639722992297</v>
      </c>
      <c r="EC94" s="21">
        <f>EXP(-LN(2)/2)*EC93+(1-EXP(-LN(2)/2))/(LN(2)/2)*DW94*DZ94*VLOOKUP('Données projet'!$B$14,Paramètres!$A$1:$I$89,3,0)*0.475*44/12</f>
        <v>7.790397817963716E-9</v>
      </c>
      <c r="ED94" s="22">
        <f t="shared" si="72"/>
        <v>8.9841184526261415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6.8</v>
      </c>
      <c r="EJ94" s="12">
        <f>IF('Données projet'!$A$192&gt;35,EJ93+EI94-ER93,IF(A94&lt;'Données projet'!$A$192,$EG$205^A94,IF(A94='Données projet'!$A$192,'Données projet'!$B$192,EJ93+EI94-ER93)))</f>
        <v>308.79999999999995</v>
      </c>
      <c r="EK94" s="17">
        <f>EJ94*VLOOKUP('Données projet'!$B$15,Paramètres!$A$1:$I$89,3,0)*VLOOKUP('Données projet'!$B$15,Paramètres!$A$1:$I$89,5,0)</f>
        <v>313.12319999999994</v>
      </c>
      <c r="EL94" s="13">
        <f t="shared" si="99"/>
        <v>73.920697615292255</v>
      </c>
      <c r="EM94" s="20">
        <f t="shared" si="73"/>
        <v>674.10145501330055</v>
      </c>
      <c r="EN94" s="59">
        <f t="shared" si="74"/>
        <v>967.43478834663392</v>
      </c>
      <c r="EO94" s="59">
        <f ca="1">AVERAGE(OFFSET($EN$3,0,0,'Données projet'!$E$15+1,1))-AVERAGE(OFFSET($H$3,0,0,'Données projet'!$E$15+1,1))</f>
        <v>384.50065773787549</v>
      </c>
      <c r="EP94" s="59">
        <f t="shared" si="100"/>
        <v>231.92898690465887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2.4471356341968793</v>
      </c>
      <c r="EW94" s="21">
        <f>EXP(-LN(2)/25)*EW93+(1-EXP(-LN(2)/25))/(LN(2)/25)*Calculateur!ER94*Calculateur!ET94*VLOOKUP('Données projet'!$B$15,Paramètres!$A$1:$I$89,3,0)*0.475*44/12</f>
        <v>1.9340562885335011</v>
      </c>
      <c r="EX94" s="21">
        <f>EXP(-LN(2)/2)*EX93+(1-EXP(-LN(2)/2))/(LN(2)/2)*ER94*EU94*VLOOKUP('Données projet'!$B$15,Paramètres!$A$1:$I$89,3,0)*0.475*44/12</f>
        <v>6.2989114368434142E-9</v>
      </c>
      <c r="EY94" s="22">
        <f t="shared" si="75"/>
        <v>4.381191929029292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67.2</v>
      </c>
      <c r="FE94" s="12">
        <f>IF('Données projet'!$A$218&gt;35,FE93+FD94-FM93,IF(A94&lt;'Données projet'!$A$218,$FB$205^A94,IF(A94='Données projet'!$A$218,'Données projet'!$B$218,FE93+FD94-FM93)))</f>
        <v>67.199999999999932</v>
      </c>
      <c r="FF94" s="17">
        <f>FE94*VLOOKUP('Données projet'!$B$16,Paramètres!$A$1:$I$89,3,0)*VLOOKUP('Données projet'!$B$16,Paramètres!$A$1:$I$89,5,0)</f>
        <v>60.802559999999936</v>
      </c>
      <c r="FG94" s="13">
        <f t="shared" si="101"/>
        <v>17.371024177726458</v>
      </c>
      <c r="FH94" s="20">
        <f t="shared" si="76"/>
        <v>136.15232577620679</v>
      </c>
      <c r="FI94" s="59">
        <f t="shared" si="77"/>
        <v>429.48565910954011</v>
      </c>
      <c r="FJ94" s="59">
        <f ca="1">AVERAGE(OFFSET($FI$3,0,0,'Données projet'!$E$16+1,1))-AVERAGE(OFFSET($H$3,0,0,'Données projet'!$E$16+1,1))</f>
        <v>326.46362829268969</v>
      </c>
      <c r="FK94" s="59">
        <f t="shared" si="102"/>
        <v>203.5274665601915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2.1835979505141356</v>
      </c>
      <c r="FR94" s="21">
        <f>EXP(-LN(2)/25)*FR93+(1-EXP(-LN(2)/25))/(LN(2)/25)*Calculateur!FM94*Calculateur!FO94*VLOOKUP('Données projet'!$B$16,Paramètres!$A$1:$I$89,3,0)*0.475*44/12</f>
        <v>1.7257733036145066</v>
      </c>
      <c r="FS94" s="21">
        <f>EXP(-LN(2)/2)*FS93+(1-EXP(-LN(2)/2))/(LN(2)/2)*FM94*FP94*VLOOKUP('Données projet'!$B$16,Paramètres!$A$1:$I$89,3,0)*0.475*44/12</f>
        <v>5.620567128260277E-9</v>
      </c>
      <c r="FT94" s="22">
        <f t="shared" si="78"/>
        <v>3.9093712597492094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67.2</v>
      </c>
      <c r="FZ94" s="12">
        <f>IF('Données projet'!$A$244&gt;35,FZ93+FY94-GH93,IF(A94&lt;'Données projet'!$A$244,$FW$205^A94,IF(A94='Données projet'!$A$244,'Données projet'!$B$244,FZ93+FY94-GH93)))</f>
        <v>67.199999999999932</v>
      </c>
      <c r="GA94" s="17">
        <f>FZ94*VLOOKUP('Données projet'!$B$17,Paramètres!$A$1:$I$89,3,0)*VLOOKUP('Données projet'!$B$17,Paramètres!$A$1:$I$89,5,0)</f>
        <v>64.995839999999944</v>
      </c>
      <c r="GB94" s="13">
        <f t="shared" si="103"/>
        <v>18.425434860828879</v>
      </c>
      <c r="GC94" s="20">
        <f t="shared" si="79"/>
        <v>145.29205371594352</v>
      </c>
      <c r="GD94" s="59">
        <f t="shared" si="80"/>
        <v>438.62538704927681</v>
      </c>
      <c r="GE94" s="59">
        <f ca="1">AVERAGE(OFFSET($GD$3,0,0,'Données projet'!$E$17+1,1))-AVERAGE(OFFSET($H$3,0,0,'Données projet'!$E$17+1,1))</f>
        <v>353.24082990916918</v>
      </c>
      <c r="GF94" s="59">
        <f t="shared" si="104"/>
        <v>219.76562717496353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2.3341909126185603</v>
      </c>
      <c r="GM94" s="21">
        <f>EXP(-LN(2)/25)*GM93+(1-EXP(-LN(2)/25))/(LN(2)/25)*Calculateur!GH94*Calculateur!GJ94*VLOOKUP('Données projet'!$B$17,Paramètres!$A$1:$I$89,3,0)*0.475*44/12</f>
        <v>1.8447921521396469</v>
      </c>
      <c r="GN94" s="21">
        <f>EXP(-LN(2)/2)*GN93+(1-EXP(-LN(2)/2))/(LN(2)/2)*GH94*GK94*VLOOKUP('Données projet'!$B$17,Paramètres!$A$1:$I$89,3,0)*0.475*44/12</f>
        <v>6.0081924474506427E-9</v>
      </c>
      <c r="GO94" s="21">
        <f t="shared" si="81"/>
        <v>4.1789830707663995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378.17323480030268</v>
      </c>
      <c r="T95" s="59">
        <f t="shared" si="88"/>
        <v>471.89239871617241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1.2902488306127036</v>
      </c>
      <c r="AA95" s="21">
        <f>EXP(-LN(2)/25)*AA94+(1-EXP(-LN(2)/25))/(LN(2)/25)*Calculateur!V95*Calculateur!X95*VLOOKUP('Données projet'!$B$9,Paramètres!$A$1:$I$89,3,0)*0.475*44/12</f>
        <v>3.72853376833294</v>
      </c>
      <c r="AB95" s="21">
        <f>EXP(-LN(2)/2)*AB94+(1-EXP(-LN(2)/2))/(LN(2)/2)*V95*Y95*VLOOKUP('Données projet'!$B$9,Paramètres!$A$1:$I$89,3,0)*0.475*44/12</f>
        <v>4.8710922389632789E-9</v>
      </c>
      <c r="AC95" s="22">
        <f t="shared" si="57"/>
        <v>5.0187826038167351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141.22849894256314</v>
      </c>
      <c r="AO95" s="59">
        <f t="shared" si="90"/>
        <v>156.12101479343704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2.1545129626984902</v>
      </c>
      <c r="AV95" s="21">
        <f>EXP(-LN(2)/25)*AV94+(1-EXP(-LN(2)/25))/(LN(2)/25)*Calculateur!AQ95*Calculateur!AS95*VLOOKUP('Données projet'!$B$10,Paramètres!$A$1:$I$89,3,0)*0.475*44/12</f>
        <v>1.0795061982248169</v>
      </c>
      <c r="AW95" s="21">
        <f>EXP(-LN(2)/2)*AW94+(1-EXP(-LN(2)/2))/(LN(2)/2)*AQ95*AT95*VLOOKUP('Données projet'!$B$10,Paramètres!$A$1:$I$89,3,0)*0.475*44/12</f>
        <v>1.3774125977380265E-9</v>
      </c>
      <c r="AX95" s="21">
        <f t="shared" si="60"/>
        <v>3.2340191623007195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114.25511901730295</v>
      </c>
      <c r="BJ95" s="59">
        <f t="shared" si="92"/>
        <v>180.96261947642182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1.0013042173833302</v>
      </c>
      <c r="BQ95" s="21">
        <f>EXP(-LN(2)/25)*BQ94+(1-EXP(-LN(2)/25))/(LN(2)/25)*Calculateur!BL95*Calculateur!BN95*VLOOKUP('Données projet'!$B$11,Paramètres!$A$1:$I$89,3,0)*0.475*44/12</f>
        <v>3.1932742998437029</v>
      </c>
      <c r="BR95" s="21">
        <f>EXP(-LN(2)/2)*BR94+(1-EXP(-LN(2)/2))/(LN(2)/2)*BL95*BO95*VLOOKUP('Données projet'!$B$11,Paramètres!$A$1:$I$89,3,0)*0.475*44/12</f>
        <v>3.1814270364967225E-9</v>
      </c>
      <c r="BS95" s="22">
        <f t="shared" si="63"/>
        <v>4.1945785204084594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4.4337866711430253E-14</v>
      </c>
      <c r="CA95" s="13">
        <f t="shared" si="93"/>
        <v>7.3222115536967035E-13</v>
      </c>
      <c r="CB95" s="20">
        <f t="shared" si="64"/>
        <v>1.3525069634579169E-12</v>
      </c>
      <c r="CC95" s="59">
        <f t="shared" si="65"/>
        <v>293.33333333333468</v>
      </c>
      <c r="CD95" s="59">
        <f ca="1">AVERAGE(OFFSET($CC$3,0,0,'Données projet'!$E$12+1,1))-AVERAGE(OFFSET($H$3,0,0,'Données projet'!$E$12+1,1))</f>
        <v>216.95993967070063</v>
      </c>
      <c r="CE95" s="59">
        <f t="shared" si="94"/>
        <v>208.79744153433245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1.5134005303801097</v>
      </c>
      <c r="CL95" s="21">
        <f>EXP(-LN(2)/25)*CL94+(1-EXP(-LN(2)/25))/(LN(2)/25)*Calculateur!CG95*Calculateur!CI95*VLOOKUP('Données projet'!$B$12,Paramètres!$A$1:$I$89,3,0)*0.475*44/12</f>
        <v>1.1502752066605264</v>
      </c>
      <c r="CM95" s="21">
        <f>EXP(-LN(2)/2)*CM94+(1-EXP(-LN(2)/2))/(LN(2)/2)*CG95*CJ95*VLOOKUP('Données projet'!$B$12,Paramètres!$A$1:$I$89,3,0)*0.475*44/12</f>
        <v>5.744436553230169E-10</v>
      </c>
      <c r="CN95" s="22">
        <f t="shared" si="66"/>
        <v>2.6636757376150797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3.813056537183002E-14</v>
      </c>
      <c r="CV95" s="13">
        <f t="shared" si="95"/>
        <v>6.4086286045526829E-13</v>
      </c>
      <c r="CW95" s="20">
        <f t="shared" si="67"/>
        <v>1.1825802166488628E-12</v>
      </c>
      <c r="CX95" s="59">
        <f t="shared" si="68"/>
        <v>293.33333333333451</v>
      </c>
      <c r="CY95" s="59">
        <f ca="1">AVERAGE(OFFSET($CX$3,0,0,'Données projet'!$E$13+1,1))-AVERAGE(OFFSET($H$3,0,0,'Données projet'!$E$13+1,1))</f>
        <v>181.32837315090507</v>
      </c>
      <c r="CZ95" s="59">
        <f t="shared" si="96"/>
        <v>175.03267817980338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1.6042045622029149</v>
      </c>
      <c r="DG95" s="21">
        <f>EXP(-LN(2)/25)*DG94+(1-EXP(-LN(2)/25))/(LN(2)/25)*Calculateur!DB95*Calculateur!DD95*VLOOKUP('Données projet'!$B$13,Paramètres!$A$1:$I$89,3,0)*0.475*44/12</f>
        <v>1.2192917190601582</v>
      </c>
      <c r="DH95" s="21">
        <f>EXP(-LN(2)/2)*DH94+(1-EXP(-LN(2)/2))/(LN(2)/2)*DB95*DE95*VLOOKUP('Données projet'!$B$13,Paramètres!$A$1:$I$89,3,0)*0.475*44/12</f>
        <v>4.9402154357779433E-10</v>
      </c>
      <c r="DI95" s="22">
        <f t="shared" si="69"/>
        <v>2.8234962817570946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-2.8421709430404007E-13</v>
      </c>
      <c r="DP95" s="17">
        <f>DO95*VLOOKUP('Données projet'!$B$14,Paramètres!$A$1:$I$89,3,0)*VLOOKUP('Données projet'!$B$14,Paramètres!$A$1:$I$89,5,0)</f>
        <v>-2.2612312022829427E-13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325.72928944930294</v>
      </c>
      <c r="DU95" s="59">
        <f t="shared" si="98"/>
        <v>318.38876834819752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5.0717120686427402</v>
      </c>
      <c r="EB95" s="21">
        <f>EXP(-LN(2)/25)*EB94+(1-EXP(-LN(2)/25))/(LN(2)/25)*Calculateur!DW95*Calculateur!DY95*VLOOKUP('Données projet'!$B$14,Paramètres!$A$1:$I$89,3,0)*0.475*44/12</f>
        <v>3.706752962066822</v>
      </c>
      <c r="EC95" s="21">
        <f>EXP(-LN(2)/2)*EC94+(1-EXP(-LN(2)/2))/(LN(2)/2)*DW95*DZ95*VLOOKUP('Données projet'!$B$14,Paramètres!$A$1:$I$89,3,0)*0.475*44/12</f>
        <v>5.5086431252230268E-9</v>
      </c>
      <c r="ED95" s="22">
        <f t="shared" si="72"/>
        <v>8.7784650362182042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6.8</v>
      </c>
      <c r="EJ95" s="12">
        <f>IF('Données projet'!$A$192&gt;35,EJ94+EI95-ER94,IF(A95&lt;'Données projet'!$A$192,$EG$205^A95,IF(A95='Données projet'!$A$192,'Données projet'!$B$192,EJ94+EI95-ER94)))</f>
        <v>315.59999999999997</v>
      </c>
      <c r="EK95" s="17">
        <f>EJ95*VLOOKUP('Données projet'!$B$15,Paramètres!$A$1:$I$89,3,0)*VLOOKUP('Données projet'!$B$15,Paramètres!$A$1:$I$89,5,0)</f>
        <v>320.01839999999999</v>
      </c>
      <c r="EL95" s="13">
        <f t="shared" si="99"/>
        <v>75.357182127856944</v>
      </c>
      <c r="EM95" s="20">
        <f t="shared" si="73"/>
        <v>688.61247220601751</v>
      </c>
      <c r="EN95" s="59">
        <f t="shared" si="74"/>
        <v>981.94580553935089</v>
      </c>
      <c r="EO95" s="59">
        <f ca="1">AVERAGE(OFFSET($EN$3,0,0,'Données projet'!$E$15+1,1))-AVERAGE(OFFSET($H$3,0,0,'Données projet'!$E$15+1,1))</f>
        <v>384.50065773787549</v>
      </c>
      <c r="EP95" s="59">
        <f t="shared" si="100"/>
        <v>231.92898690465887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2.3991487970156329</v>
      </c>
      <c r="EW95" s="21">
        <f>EXP(-LN(2)/25)*EW94+(1-EXP(-LN(2)/25))/(LN(2)/25)*Calculateur!ER95*Calculateur!ET95*VLOOKUP('Données projet'!$B$15,Paramètres!$A$1:$I$89,3,0)*0.475*44/12</f>
        <v>1.8811694176159526</v>
      </c>
      <c r="EX95" s="21">
        <f>EXP(-LN(2)/2)*EX94+(1-EXP(-LN(2)/2))/(LN(2)/2)*ER95*EU95*VLOOKUP('Données projet'!$B$15,Paramètres!$A$1:$I$89,3,0)*0.475*44/12</f>
        <v>4.4540029910854777E-9</v>
      </c>
      <c r="EY95" s="22">
        <f t="shared" si="75"/>
        <v>4.2803182190855891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67.2</v>
      </c>
      <c r="FE95" s="12">
        <f>IF('Données projet'!$A$218&gt;35,FE94+FD95-FM94,IF(A95&lt;'Données projet'!$A$218,$FB$205^A95,IF(A95='Données projet'!$A$218,'Données projet'!$B$218,FE94+FD95-FM94)))</f>
        <v>134.39999999999992</v>
      </c>
      <c r="FF95" s="17">
        <f>FE95*VLOOKUP('Données projet'!$B$16,Paramètres!$A$1:$I$89,3,0)*VLOOKUP('Données projet'!$B$16,Paramètres!$A$1:$I$89,5,0)</f>
        <v>121.60511999999993</v>
      </c>
      <c r="FG95" s="13">
        <f t="shared" si="101"/>
        <v>32.049077176455761</v>
      </c>
      <c r="FH95" s="20">
        <f t="shared" si="76"/>
        <v>267.61439341566029</v>
      </c>
      <c r="FI95" s="59">
        <f t="shared" si="77"/>
        <v>560.94772674899355</v>
      </c>
      <c r="FJ95" s="59">
        <f ca="1">AVERAGE(OFFSET($FI$3,0,0,'Données projet'!$E$16+1,1))-AVERAGE(OFFSET($H$3,0,0,'Données projet'!$E$16+1,1))</f>
        <v>326.46362829268969</v>
      </c>
      <c r="FK95" s="59">
        <f t="shared" si="102"/>
        <v>203.5274665601915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2.1407789265677928</v>
      </c>
      <c r="FR95" s="21">
        <f>EXP(-LN(2)/25)*FR94+(1-EXP(-LN(2)/25))/(LN(2)/25)*Calculateur!FM95*Calculateur!FO95*VLOOKUP('Données projet'!$B$16,Paramètres!$A$1:$I$89,3,0)*0.475*44/12</f>
        <v>1.6785819418726942</v>
      </c>
      <c r="FS95" s="21">
        <f>EXP(-LN(2)/2)*FS94+(1-EXP(-LN(2)/2))/(LN(2)/2)*FM95*FP95*VLOOKUP('Données projet'!$B$16,Paramètres!$A$1:$I$89,3,0)*0.475*44/12</f>
        <v>3.9743411305070415E-9</v>
      </c>
      <c r="FT95" s="22">
        <f t="shared" si="78"/>
        <v>3.8193608724148285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67.2</v>
      </c>
      <c r="FZ95" s="12">
        <f>IF('Données projet'!$A$244&gt;35,FZ94+FY95-GH94,IF(A95&lt;'Données projet'!$A$244,$FW$205^A95,IF(A95='Données projet'!$A$244,'Données projet'!$B$244,FZ94+FY95-GH94)))</f>
        <v>134.39999999999992</v>
      </c>
      <c r="GA95" s="17">
        <f>FZ95*VLOOKUP('Données projet'!$B$17,Paramètres!$A$1:$I$89,3,0)*VLOOKUP('Données projet'!$B$17,Paramètres!$A$1:$I$89,5,0)</f>
        <v>129.99167999999992</v>
      </c>
      <c r="GB95" s="13">
        <f t="shared" si="103"/>
        <v>33.994436817469825</v>
      </c>
      <c r="GC95" s="20">
        <f t="shared" si="79"/>
        <v>285.6091534570931</v>
      </c>
      <c r="GD95" s="59">
        <f t="shared" si="80"/>
        <v>578.94248679042641</v>
      </c>
      <c r="GE95" s="59">
        <f ca="1">AVERAGE(OFFSET($GD$3,0,0,'Données projet'!$E$17+1,1))-AVERAGE(OFFSET($H$3,0,0,'Données projet'!$E$17+1,1))</f>
        <v>353.24082990916918</v>
      </c>
      <c r="GF95" s="59">
        <f t="shared" si="104"/>
        <v>219.76562717496353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2.2884188525379869</v>
      </c>
      <c r="GM95" s="21">
        <f>EXP(-LN(2)/25)*GM94+(1-EXP(-LN(2)/25))/(LN(2)/25)*Calculateur!GH95*Calculateur!GJ95*VLOOKUP('Données projet'!$B$17,Paramètres!$A$1:$I$89,3,0)*0.475*44/12</f>
        <v>1.7943462137259854</v>
      </c>
      <c r="GN95" s="21">
        <f>EXP(-LN(2)/2)*GN94+(1-EXP(-LN(2)/2))/(LN(2)/2)*GH95*GK95*VLOOKUP('Données projet'!$B$17,Paramètres!$A$1:$I$89,3,0)*0.475*44/12</f>
        <v>4.2484336222661489E-9</v>
      </c>
      <c r="GO95" s="21">
        <f t="shared" si="81"/>
        <v>4.0827650705124059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378.17323480030268</v>
      </c>
      <c r="T96" s="59">
        <f t="shared" si="88"/>
        <v>471.89239871617241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1.264947838018468</v>
      </c>
      <c r="AA96" s="21">
        <f>EXP(-LN(2)/25)*AA95+(1-EXP(-LN(2)/25))/(LN(2)/25)*Calculateur!V96*Calculateur!X96*VLOOKUP('Données projet'!$B$9,Paramètres!$A$1:$I$89,3,0)*0.475*44/12</f>
        <v>3.6265768163628067</v>
      </c>
      <c r="AB96" s="21">
        <f>EXP(-LN(2)/2)*AB95+(1-EXP(-LN(2)/2))/(LN(2)/2)*V96*Y96*VLOOKUP('Données projet'!$B$9,Paramètres!$A$1:$I$89,3,0)*0.475*44/12</f>
        <v>3.4443823539560971E-9</v>
      </c>
      <c r="AC96" s="22">
        <f t="shared" si="57"/>
        <v>4.8915246578256575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141.22849894256314</v>
      </c>
      <c r="AO96" s="59">
        <f t="shared" si="90"/>
        <v>156.12101479343704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2.1122642776231211</v>
      </c>
      <c r="AV96" s="21">
        <f>EXP(-LN(2)/25)*AV95+(1-EXP(-LN(2)/25))/(LN(2)/25)*Calculateur!AQ96*Calculateur!AS96*VLOOKUP('Données projet'!$B$10,Paramètres!$A$1:$I$89,3,0)*0.475*44/12</f>
        <v>1.0499870444655954</v>
      </c>
      <c r="AW96" s="21">
        <f>EXP(-LN(2)/2)*AW95+(1-EXP(-LN(2)/2))/(LN(2)/2)*AQ96*AT96*VLOOKUP('Données projet'!$B$10,Paramètres!$A$1:$I$89,3,0)*0.475*44/12</f>
        <v>9.7397778835233672E-10</v>
      </c>
      <c r="AX96" s="21">
        <f t="shared" si="60"/>
        <v>3.1622513230626943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114.25511901730295</v>
      </c>
      <c r="BJ96" s="59">
        <f t="shared" si="92"/>
        <v>180.96261947642182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0.98166925241571057</v>
      </c>
      <c r="BQ96" s="21">
        <f>EXP(-LN(2)/25)*BQ95+(1-EXP(-LN(2)/25))/(LN(2)/25)*Calculateur!BL96*Calculateur!BN96*VLOOKUP('Données projet'!$B$11,Paramètres!$A$1:$I$89,3,0)*0.475*44/12</f>
        <v>3.1059540461874797</v>
      </c>
      <c r="BR96" s="21">
        <f>EXP(-LN(2)/2)*BR95+(1-EXP(-LN(2)/2))/(LN(2)/2)*BL96*BO96*VLOOKUP('Données projet'!$B$11,Paramètres!$A$1:$I$89,3,0)*0.475*44/12</f>
        <v>2.2496086313570543E-9</v>
      </c>
      <c r="BS96" s="22">
        <f t="shared" si="63"/>
        <v>4.0876233008527985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4.4337866711430253E-14</v>
      </c>
      <c r="CA96" s="13">
        <f t="shared" si="93"/>
        <v>7.3222115536967035E-13</v>
      </c>
      <c r="CB96" s="20">
        <f t="shared" si="64"/>
        <v>1.3525069634579169E-12</v>
      </c>
      <c r="CC96" s="59">
        <f t="shared" si="65"/>
        <v>293.33333333333468</v>
      </c>
      <c r="CD96" s="59">
        <f ca="1">AVERAGE(OFFSET($CC$3,0,0,'Données projet'!$E$12+1,1))-AVERAGE(OFFSET($H$3,0,0,'Données projet'!$E$12+1,1))</f>
        <v>216.95993967070063</v>
      </c>
      <c r="CE96" s="59">
        <f t="shared" si="94"/>
        <v>208.79744153433245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1.4837236690625324</v>
      </c>
      <c r="CL96" s="21">
        <f>EXP(-LN(2)/25)*CL95+(1-EXP(-LN(2)/25))/(LN(2)/25)*Calculateur!CG96*Calculateur!CI96*VLOOKUP('Données projet'!$B$12,Paramètres!$A$1:$I$89,3,0)*0.475*44/12</f>
        <v>1.1188208706440501</v>
      </c>
      <c r="CM96" s="21">
        <f>EXP(-LN(2)/2)*CM95+(1-EXP(-LN(2)/2))/(LN(2)/2)*CG96*CJ96*VLOOKUP('Données projet'!$B$12,Paramètres!$A$1:$I$89,3,0)*0.475*44/12</f>
        <v>4.0619300408849305E-10</v>
      </c>
      <c r="CN96" s="22">
        <f t="shared" si="66"/>
        <v>2.6025445401127754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3.813056537183002E-14</v>
      </c>
      <c r="CV96" s="13">
        <f t="shared" si="95"/>
        <v>6.4086286045526829E-13</v>
      </c>
      <c r="CW96" s="20">
        <f t="shared" si="67"/>
        <v>1.1825802166488628E-12</v>
      </c>
      <c r="CX96" s="59">
        <f t="shared" si="68"/>
        <v>293.33333333333451</v>
      </c>
      <c r="CY96" s="59">
        <f ca="1">AVERAGE(OFFSET($CX$3,0,0,'Données projet'!$E$13+1,1))-AVERAGE(OFFSET($H$3,0,0,'Données projet'!$E$13+1,1))</f>
        <v>181.32837315090507</v>
      </c>
      <c r="CZ96" s="59">
        <f t="shared" si="96"/>
        <v>175.03267817980338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1.5727470892062829</v>
      </c>
      <c r="DG96" s="21">
        <f>EXP(-LN(2)/25)*DG95+(1-EXP(-LN(2)/25))/(LN(2)/25)*Calculateur!DB96*Calculateur!DD96*VLOOKUP('Données projet'!$B$13,Paramètres!$A$1:$I$89,3,0)*0.475*44/12</f>
        <v>1.1859501228826934</v>
      </c>
      <c r="DH96" s="21">
        <f>EXP(-LN(2)/2)*DH95+(1-EXP(-LN(2)/2))/(LN(2)/2)*DB96*DE96*VLOOKUP('Données projet'!$B$13,Paramètres!$A$1:$I$89,3,0)*0.475*44/12</f>
        <v>3.4932598351610387E-10</v>
      </c>
      <c r="DI96" s="22">
        <f t="shared" si="69"/>
        <v>2.7586972124383022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-2.8421709430404007E-13</v>
      </c>
      <c r="DP96" s="17">
        <f>DO96*VLOOKUP('Données projet'!$B$14,Paramètres!$A$1:$I$89,3,0)*VLOOKUP('Données projet'!$B$14,Paramètres!$A$1:$I$89,5,0)</f>
        <v>-2.2612312022829427E-13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325.72928944930294</v>
      </c>
      <c r="DU96" s="59">
        <f t="shared" si="98"/>
        <v>318.38876834819752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4.9722588884155661</v>
      </c>
      <c r="EB96" s="21">
        <f>EXP(-LN(2)/25)*EB95+(1-EXP(-LN(2)/25))/(LN(2)/25)*Calculateur!DW96*Calculateur!DY96*VLOOKUP('Données projet'!$B$14,Paramètres!$A$1:$I$89,3,0)*0.475*44/12</f>
        <v>3.6053916073894383</v>
      </c>
      <c r="EC96" s="21">
        <f>EXP(-LN(2)/2)*EC95+(1-EXP(-LN(2)/2))/(LN(2)/2)*DW96*DZ96*VLOOKUP('Données projet'!$B$14,Paramètres!$A$1:$I$89,3,0)*0.475*44/12</f>
        <v>3.895198908981858E-9</v>
      </c>
      <c r="ED96" s="22">
        <f t="shared" si="72"/>
        <v>8.5776504997002032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6.8</v>
      </c>
      <c r="EJ96" s="12">
        <f>IF('Données projet'!$A$192&gt;35,EJ95+EI96-ER95,IF(A96&lt;'Données projet'!$A$192,$EG$205^A96,IF(A96='Données projet'!$A$192,'Données projet'!$B$192,EJ95+EI96-ER95)))</f>
        <v>322.39999999999998</v>
      </c>
      <c r="EK96" s="17">
        <f>EJ96*VLOOKUP('Données projet'!$B$15,Paramètres!$A$1:$I$89,3,0)*VLOOKUP('Données projet'!$B$15,Paramètres!$A$1:$I$89,5,0)</f>
        <v>326.91360000000003</v>
      </c>
      <c r="EL96" s="13">
        <f t="shared" si="99"/>
        <v>76.790068178778327</v>
      </c>
      <c r="EM96" s="20">
        <f t="shared" si="73"/>
        <v>703.11722207803894</v>
      </c>
      <c r="EN96" s="59">
        <f t="shared" si="74"/>
        <v>996.45055541137231</v>
      </c>
      <c r="EO96" s="59">
        <f ca="1">AVERAGE(OFFSET($EN$3,0,0,'Données projet'!$E$15+1,1))-AVERAGE(OFFSET($H$3,0,0,'Données projet'!$E$15+1,1))</f>
        <v>384.50065773787549</v>
      </c>
      <c r="EP96" s="59">
        <f t="shared" si="100"/>
        <v>231.92898690465887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2.3521029524424302</v>
      </c>
      <c r="EW96" s="21">
        <f>EXP(-LN(2)/25)*EW95+(1-EXP(-LN(2)/25))/(LN(2)/25)*Calculateur!ER96*Calculateur!ET96*VLOOKUP('Données projet'!$B$15,Paramètres!$A$1:$I$89,3,0)*0.475*44/12</f>
        <v>1.8297287409648442</v>
      </c>
      <c r="EX96" s="21">
        <f>EXP(-LN(2)/2)*EX95+(1-EXP(-LN(2)/2))/(LN(2)/2)*ER96*EU96*VLOOKUP('Données projet'!$B$15,Paramètres!$A$1:$I$89,3,0)*0.475*44/12</f>
        <v>3.1494557184217071E-9</v>
      </c>
      <c r="EY96" s="22">
        <f t="shared" si="75"/>
        <v>4.1818316965567304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67.2</v>
      </c>
      <c r="FE96" s="12">
        <f>IF('Données projet'!$A$218&gt;35,FE95+FD96-FM95,IF(A96&lt;'Données projet'!$A$218,$FB$205^A96,IF(A96='Données projet'!$A$218,'Données projet'!$B$218,FE95+FD96-FM95)))</f>
        <v>201.59999999999991</v>
      </c>
      <c r="FF96" s="17">
        <f>FE96*VLOOKUP('Données projet'!$B$16,Paramètres!$A$1:$I$89,3,0)*VLOOKUP('Données projet'!$B$16,Paramètres!$A$1:$I$89,5,0)</f>
        <v>182.40767999999991</v>
      </c>
      <c r="FG96" s="13">
        <f t="shared" si="101"/>
        <v>45.857435663065921</v>
      </c>
      <c r="FH96" s="20">
        <f t="shared" si="76"/>
        <v>397.56174311317301</v>
      </c>
      <c r="FI96" s="59">
        <f t="shared" si="77"/>
        <v>690.89507644650632</v>
      </c>
      <c r="FJ96" s="59">
        <f ca="1">AVERAGE(OFFSET($FI$3,0,0,'Données projet'!$E$16+1,1))-AVERAGE(OFFSET($H$3,0,0,'Données projet'!$E$16+1,1))</f>
        <v>326.46362829268969</v>
      </c>
      <c r="FK96" s="59">
        <f t="shared" si="102"/>
        <v>203.5274665601915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2.0987995575640119</v>
      </c>
      <c r="FR96" s="21">
        <f>EXP(-LN(2)/25)*FR95+(1-EXP(-LN(2)/25))/(LN(2)/25)*Calculateur!FM96*Calculateur!FO96*VLOOKUP('Données projet'!$B$16,Paramètres!$A$1:$I$89,3,0)*0.475*44/12</f>
        <v>1.6326810303993975</v>
      </c>
      <c r="FS96" s="21">
        <f>EXP(-LN(2)/2)*FS95+(1-EXP(-LN(2)/2))/(LN(2)/2)*FM96*FP96*VLOOKUP('Données projet'!$B$16,Paramètres!$A$1:$I$89,3,0)*0.475*44/12</f>
        <v>2.8102835641301385E-9</v>
      </c>
      <c r="FT96" s="22">
        <f t="shared" si="78"/>
        <v>3.731480590773693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67.2</v>
      </c>
      <c r="FZ96" s="12">
        <f>IF('Données projet'!$A$244&gt;35,FZ95+FY96-GH95,IF(A96&lt;'Données projet'!$A$244,$FW$205^A96,IF(A96='Données projet'!$A$244,'Données projet'!$B$244,FZ95+FY96-GH95)))</f>
        <v>201.59999999999991</v>
      </c>
      <c r="GA96" s="17">
        <f>FZ96*VLOOKUP('Données projet'!$B$17,Paramètres!$A$1:$I$89,3,0)*VLOOKUP('Données projet'!$B$17,Paramètres!$A$1:$I$89,5,0)</f>
        <v>194.98751999999993</v>
      </c>
      <c r="GB96" s="13">
        <f t="shared" si="103"/>
        <v>48.640954330020342</v>
      </c>
      <c r="GC96" s="20">
        <f t="shared" si="79"/>
        <v>424.31959279145195</v>
      </c>
      <c r="GD96" s="59">
        <f t="shared" si="80"/>
        <v>717.65292612478527</v>
      </c>
      <c r="GE96" s="59">
        <f ca="1">AVERAGE(OFFSET($GD$3,0,0,'Données projet'!$E$17+1,1))-AVERAGE(OFFSET($H$3,0,0,'Données projet'!$E$17+1,1))</f>
        <v>353.24082990916918</v>
      </c>
      <c r="GF96" s="59">
        <f t="shared" si="104"/>
        <v>219.76562717496353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2.2435443546373937</v>
      </c>
      <c r="GM96" s="21">
        <f>EXP(-LN(2)/25)*GM95+(1-EXP(-LN(2)/25))/(LN(2)/25)*Calculateur!GH96*Calculateur!GJ96*VLOOKUP('Données projet'!$B$17,Paramètres!$A$1:$I$89,3,0)*0.475*44/12</f>
        <v>1.7452797221510818</v>
      </c>
      <c r="GN96" s="21">
        <f>EXP(-LN(2)/2)*GN95+(1-EXP(-LN(2)/2))/(LN(2)/2)*GH96*GK96*VLOOKUP('Données projet'!$B$17,Paramètres!$A$1:$I$89,3,0)*0.475*44/12</f>
        <v>3.0040962237253213E-9</v>
      </c>
      <c r="GO96" s="21">
        <f t="shared" si="81"/>
        <v>3.9888240797925714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378.17323480030268</v>
      </c>
      <c r="T97" s="59">
        <f t="shared" si="88"/>
        <v>471.89239871617241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1.2401429824569237</v>
      </c>
      <c r="AA97" s="21">
        <f>EXP(-LN(2)/25)*AA96+(1-EXP(-LN(2)/25))/(LN(2)/25)*Calculateur!V97*Calculateur!X97*VLOOKUP('Données projet'!$B$9,Paramètres!$A$1:$I$89,3,0)*0.475*44/12</f>
        <v>3.5274078826059796</v>
      </c>
      <c r="AB97" s="21">
        <f>EXP(-LN(2)/2)*AB96+(1-EXP(-LN(2)/2))/(LN(2)/2)*V97*Y97*VLOOKUP('Données projet'!$B$9,Paramètres!$A$1:$I$89,3,0)*0.475*44/12</f>
        <v>2.4355461194816394E-9</v>
      </c>
      <c r="AC97" s="22">
        <f t="shared" si="57"/>
        <v>4.767550867498449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141.22849894256314</v>
      </c>
      <c r="AO97" s="59">
        <f t="shared" si="90"/>
        <v>156.12101479343704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2.0708440634929266</v>
      </c>
      <c r="AV97" s="21">
        <f>EXP(-LN(2)/25)*AV96+(1-EXP(-LN(2)/25))/(LN(2)/25)*Calculateur!AQ97*Calculateur!AS97*VLOOKUP('Données projet'!$B$10,Paramètres!$A$1:$I$89,3,0)*0.475*44/12</f>
        <v>1.0212750935182648</v>
      </c>
      <c r="AW97" s="21">
        <f>EXP(-LN(2)/2)*AW96+(1-EXP(-LN(2)/2))/(LN(2)/2)*AQ97*AT97*VLOOKUP('Données projet'!$B$10,Paramètres!$A$1:$I$89,3,0)*0.475*44/12</f>
        <v>6.8870629886901327E-10</v>
      </c>
      <c r="AX97" s="21">
        <f t="shared" si="60"/>
        <v>3.0921191576998979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114.25511901730295</v>
      </c>
      <c r="BJ97" s="59">
        <f t="shared" si="92"/>
        <v>180.96261947642182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0.96241931713495987</v>
      </c>
      <c r="BQ97" s="21">
        <f>EXP(-LN(2)/25)*BQ96+(1-EXP(-LN(2)/25))/(LN(2)/25)*Calculateur!BL97*Calculateur!BN97*VLOOKUP('Données projet'!$B$11,Paramètres!$A$1:$I$89,3,0)*0.475*44/12</f>
        <v>3.0210215694594584</v>
      </c>
      <c r="BR97" s="21">
        <f>EXP(-LN(2)/2)*BR96+(1-EXP(-LN(2)/2))/(LN(2)/2)*BL97*BO97*VLOOKUP('Données projet'!$B$11,Paramètres!$A$1:$I$89,3,0)*0.475*44/12</f>
        <v>1.5907135182483612E-9</v>
      </c>
      <c r="BS97" s="22">
        <f t="shared" si="63"/>
        <v>3.9834408881851315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4.4337866711430253E-14</v>
      </c>
      <c r="CA97" s="13">
        <f t="shared" si="93"/>
        <v>7.3222115536967035E-13</v>
      </c>
      <c r="CB97" s="20">
        <f t="shared" si="64"/>
        <v>1.3525069634579169E-12</v>
      </c>
      <c r="CC97" s="59">
        <f t="shared" si="65"/>
        <v>293.33333333333468</v>
      </c>
      <c r="CD97" s="59">
        <f ca="1">AVERAGE(OFFSET($CC$3,0,0,'Données projet'!$E$12+1,1))-AVERAGE(OFFSET($H$3,0,0,'Données projet'!$E$12+1,1))</f>
        <v>216.95993967070063</v>
      </c>
      <c r="CE97" s="59">
        <f t="shared" si="94"/>
        <v>208.79744153433245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1.4546287528942947</v>
      </c>
      <c r="CL97" s="21">
        <f>EXP(-LN(2)/25)*CL96+(1-EXP(-LN(2)/25))/(LN(2)/25)*Calculateur!CG97*Calculateur!CI97*VLOOKUP('Données projet'!$B$12,Paramètres!$A$1:$I$89,3,0)*0.475*44/12</f>
        <v>1.0882266551000561</v>
      </c>
      <c r="CM97" s="21">
        <f>EXP(-LN(2)/2)*CM96+(1-EXP(-LN(2)/2))/(LN(2)/2)*CG97*CJ97*VLOOKUP('Données projet'!$B$12,Paramètres!$A$1:$I$89,3,0)*0.475*44/12</f>
        <v>2.8722182766150845E-10</v>
      </c>
      <c r="CN97" s="22">
        <f t="shared" si="66"/>
        <v>2.5428554082815724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3.813056537183002E-14</v>
      </c>
      <c r="CV97" s="13">
        <f t="shared" si="95"/>
        <v>6.4086286045526829E-13</v>
      </c>
      <c r="CW97" s="20">
        <f t="shared" si="67"/>
        <v>1.1825802166488628E-12</v>
      </c>
      <c r="CX97" s="59">
        <f t="shared" si="68"/>
        <v>293.33333333333451</v>
      </c>
      <c r="CY97" s="59">
        <f ca="1">AVERAGE(OFFSET($CX$3,0,0,'Données projet'!$E$13+1,1))-AVERAGE(OFFSET($H$3,0,0,'Données projet'!$E$13+1,1))</f>
        <v>181.32837315090507</v>
      </c>
      <c r="CZ97" s="59">
        <f t="shared" si="96"/>
        <v>175.03267817980338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1.541906478067951</v>
      </c>
      <c r="DG97" s="21">
        <f>EXP(-LN(2)/25)*DG96+(1-EXP(-LN(2)/25))/(LN(2)/25)*Calculateur!DB97*Calculateur!DD97*VLOOKUP('Données projet'!$B$13,Paramètres!$A$1:$I$89,3,0)*0.475*44/12</f>
        <v>1.1535202544060597</v>
      </c>
      <c r="DH97" s="21">
        <f>EXP(-LN(2)/2)*DH96+(1-EXP(-LN(2)/2))/(LN(2)/2)*DB97*DE97*VLOOKUP('Données projet'!$B$13,Paramètres!$A$1:$I$89,3,0)*0.475*44/12</f>
        <v>2.4701077178889716E-10</v>
      </c>
      <c r="DI97" s="22">
        <f t="shared" si="69"/>
        <v>2.6954267327210215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-2.8421709430404007E-13</v>
      </c>
      <c r="DP97" s="17">
        <f>DO97*VLOOKUP('Données projet'!$B$14,Paramètres!$A$1:$I$89,3,0)*VLOOKUP('Données projet'!$B$14,Paramètres!$A$1:$I$89,5,0)</f>
        <v>-2.2612312022829427E-13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325.72928944930294</v>
      </c>
      <c r="DU97" s="59">
        <f t="shared" si="98"/>
        <v>318.38876834819752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4.874755924392197</v>
      </c>
      <c r="EB97" s="21">
        <f>EXP(-LN(2)/25)*EB96+(1-EXP(-LN(2)/25))/(LN(2)/25)*Calculateur!DW97*Calculateur!DY97*VLOOKUP('Données projet'!$B$14,Paramètres!$A$1:$I$89,3,0)*0.475*44/12</f>
        <v>3.5068019842860698</v>
      </c>
      <c r="EC97" s="21">
        <f>EXP(-LN(2)/2)*EC96+(1-EXP(-LN(2)/2))/(LN(2)/2)*DW97*DZ97*VLOOKUP('Données projet'!$B$14,Paramètres!$A$1:$I$89,3,0)*0.475*44/12</f>
        <v>2.7543215626115134E-9</v>
      </c>
      <c r="ED97" s="22">
        <f t="shared" si="72"/>
        <v>8.3815579114325889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6.8</v>
      </c>
      <c r="EJ97" s="12">
        <f>IF('Données projet'!$A$192&gt;35,EJ96+EI97-ER96,IF(A97&lt;'Données projet'!$A$192,$EG$205^A97,IF(A97='Données projet'!$A$192,'Données projet'!$B$192,EJ96+EI97-ER96)))</f>
        <v>329.2</v>
      </c>
      <c r="EK97" s="17">
        <f>EJ97*VLOOKUP('Données projet'!$B$15,Paramètres!$A$1:$I$89,3,0)*VLOOKUP('Données projet'!$B$15,Paramètres!$A$1:$I$89,5,0)</f>
        <v>333.80880000000002</v>
      </c>
      <c r="EL97" s="13">
        <f t="shared" si="99"/>
        <v>78.219440409411035</v>
      </c>
      <c r="EM97" s="20">
        <f t="shared" si="73"/>
        <v>717.61585204639096</v>
      </c>
      <c r="EN97" s="59">
        <f t="shared" si="74"/>
        <v>1010.9491853797242</v>
      </c>
      <c r="EO97" s="59">
        <f ca="1">AVERAGE(OFFSET($EN$3,0,0,'Données projet'!$E$15+1,1))-AVERAGE(OFFSET($H$3,0,0,'Données projet'!$E$15+1,1))</f>
        <v>384.50065773787549</v>
      </c>
      <c r="EP97" s="59">
        <f t="shared" si="100"/>
        <v>231.92898690465887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2.3059796481861761</v>
      </c>
      <c r="EW97" s="21">
        <f>EXP(-LN(2)/25)*EW96+(1-EXP(-LN(2)/25))/(LN(2)/25)*Calculateur!ER97*Calculateur!ET97*VLOOKUP('Données projet'!$B$15,Paramètres!$A$1:$I$89,3,0)*0.475*44/12</f>
        <v>1.779694712321908</v>
      </c>
      <c r="EX97" s="21">
        <f>EXP(-LN(2)/2)*EX96+(1-EXP(-LN(2)/2))/(LN(2)/2)*ER97*EU97*VLOOKUP('Données projet'!$B$15,Paramètres!$A$1:$I$89,3,0)*0.475*44/12</f>
        <v>2.2270014955427388E-9</v>
      </c>
      <c r="EY97" s="22">
        <f t="shared" si="75"/>
        <v>4.0856743627350856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67.2</v>
      </c>
      <c r="FE97" s="12">
        <f>IF('Données projet'!$A$218&gt;35,FE96+FD97-FM96,IF(A97&lt;'Données projet'!$A$218,$FB$205^A97,IF(A97='Données projet'!$A$218,'Données projet'!$B$218,FE96+FD97-FM96)))</f>
        <v>268.7999999999999</v>
      </c>
      <c r="FF97" s="17">
        <f>FE97*VLOOKUP('Données projet'!$B$16,Paramètres!$A$1:$I$89,3,0)*VLOOKUP('Données projet'!$B$16,Paramètres!$A$1:$I$89,5,0)</f>
        <v>243.21023999999991</v>
      </c>
      <c r="FG97" s="13">
        <f t="shared" si="101"/>
        <v>59.129694216846737</v>
      </c>
      <c r="FH97" s="20">
        <f t="shared" si="76"/>
        <v>526.57538542767463</v>
      </c>
      <c r="FI97" s="59">
        <f t="shared" si="77"/>
        <v>819.908718761008</v>
      </c>
      <c r="FJ97" s="59">
        <f ca="1">AVERAGE(OFFSET($FI$3,0,0,'Données projet'!$E$16+1,1))-AVERAGE(OFFSET($H$3,0,0,'Données projet'!$E$16+1,1))</f>
        <v>326.46362829268969</v>
      </c>
      <c r="FK97" s="59">
        <f t="shared" si="102"/>
        <v>203.5274665601915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2.0576433783815085</v>
      </c>
      <c r="FR97" s="21">
        <f>EXP(-LN(2)/25)*FR96+(1-EXP(-LN(2)/25))/(LN(2)/25)*Calculateur!FM97*Calculateur!FO97*VLOOKUP('Données projet'!$B$16,Paramètres!$A$1:$I$89,3,0)*0.475*44/12</f>
        <v>1.5880352817641621</v>
      </c>
      <c r="FS97" s="21">
        <f>EXP(-LN(2)/2)*FS96+(1-EXP(-LN(2)/2))/(LN(2)/2)*FM97*FP97*VLOOKUP('Données projet'!$B$16,Paramètres!$A$1:$I$89,3,0)*0.475*44/12</f>
        <v>1.9871705652535207E-9</v>
      </c>
      <c r="FT97" s="22">
        <f t="shared" si="78"/>
        <v>3.6456786621328412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67.2</v>
      </c>
      <c r="FZ97" s="12">
        <f>IF('Données projet'!$A$244&gt;35,FZ96+FY97-GH96,IF(A97&lt;'Données projet'!$A$244,$FW$205^A97,IF(A97='Données projet'!$A$244,'Données projet'!$B$244,FZ96+FY97-GH96)))</f>
        <v>268.7999999999999</v>
      </c>
      <c r="GA97" s="17">
        <f>FZ97*VLOOKUP('Données projet'!$B$17,Paramètres!$A$1:$I$89,3,0)*VLOOKUP('Données projet'!$B$17,Paramètres!$A$1:$I$89,5,0)</f>
        <v>259.98335999999995</v>
      </c>
      <c r="GB97" s="13">
        <f t="shared" si="103"/>
        <v>62.718830967388243</v>
      </c>
      <c r="GC97" s="20">
        <f t="shared" si="79"/>
        <v>562.03964926820106</v>
      </c>
      <c r="GD97" s="59">
        <f t="shared" si="80"/>
        <v>855.37298260153443</v>
      </c>
      <c r="GE97" s="59">
        <f ca="1">AVERAGE(OFFSET($GD$3,0,0,'Données projet'!$E$17+1,1))-AVERAGE(OFFSET($H$3,0,0,'Données projet'!$E$17+1,1))</f>
        <v>353.24082990916918</v>
      </c>
      <c r="GF97" s="59">
        <f t="shared" si="104"/>
        <v>219.76562717496353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2.1995498182698898</v>
      </c>
      <c r="GM97" s="21">
        <f>EXP(-LN(2)/25)*GM96+(1-EXP(-LN(2)/25))/(LN(2)/25)*Calculateur!GH97*Calculateur!GJ97*VLOOKUP('Données projet'!$B$17,Paramètres!$A$1:$I$89,3,0)*0.475*44/12</f>
        <v>1.6975549563685888</v>
      </c>
      <c r="GN97" s="21">
        <f>EXP(-LN(2)/2)*GN96+(1-EXP(-LN(2)/2))/(LN(2)/2)*GH97*GK97*VLOOKUP('Données projet'!$B$17,Paramètres!$A$1:$I$89,3,0)*0.475*44/12</f>
        <v>2.1242168111330745E-9</v>
      </c>
      <c r="GO97" s="21">
        <f t="shared" si="81"/>
        <v>3.8971047767626952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378.17323480030268</v>
      </c>
      <c r="T98" s="59">
        <f t="shared" si="88"/>
        <v>471.89239871617241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1.2158245349834731</v>
      </c>
      <c r="AA98" s="21">
        <f>EXP(-LN(2)/25)*AA97+(1-EXP(-LN(2)/25))/(LN(2)/25)*Calculateur!V98*Calculateur!X98*VLOOKUP('Données projet'!$B$9,Paramètres!$A$1:$I$89,3,0)*0.475*44/12</f>
        <v>3.4309507285578005</v>
      </c>
      <c r="AB98" s="21">
        <f>EXP(-LN(2)/2)*AB97+(1-EXP(-LN(2)/2))/(LN(2)/2)*V98*Y98*VLOOKUP('Données projet'!$B$9,Paramètres!$A$1:$I$89,3,0)*0.475*44/12</f>
        <v>1.7221911769780486E-9</v>
      </c>
      <c r="AC98" s="22">
        <f t="shared" si="57"/>
        <v>4.6467752652634653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141.22849894256314</v>
      </c>
      <c r="AO98" s="59">
        <f t="shared" si="90"/>
        <v>156.12101479343704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2.030236074497989</v>
      </c>
      <c r="AV98" s="21">
        <f>EXP(-LN(2)/25)*AV97+(1-EXP(-LN(2)/25))/(LN(2)/25)*Calculateur!AQ98*Calculateur!AS98*VLOOKUP('Données projet'!$B$10,Paramètres!$A$1:$I$89,3,0)*0.475*44/12</f>
        <v>0.99334827237948486</v>
      </c>
      <c r="AW98" s="21">
        <f>EXP(-LN(2)/2)*AW97+(1-EXP(-LN(2)/2))/(LN(2)/2)*AQ98*AT98*VLOOKUP('Données projet'!$B$10,Paramètres!$A$1:$I$89,3,0)*0.475*44/12</f>
        <v>4.8698889417616836E-10</v>
      </c>
      <c r="AX98" s="21">
        <f t="shared" si="60"/>
        <v>3.023584347364463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114.25511901730295</v>
      </c>
      <c r="BJ98" s="59">
        <f t="shared" si="92"/>
        <v>180.96261947642182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0.94354686134376353</v>
      </c>
      <c r="BQ98" s="21">
        <f>EXP(-LN(2)/25)*BQ97+(1-EXP(-LN(2)/25))/(LN(2)/25)*Calculateur!BL98*Calculateur!BN98*VLOOKUP('Données projet'!$B$11,Paramètres!$A$1:$I$89,3,0)*0.475*44/12</f>
        <v>2.9384115757739697</v>
      </c>
      <c r="BR98" s="21">
        <f>EXP(-LN(2)/2)*BR97+(1-EXP(-LN(2)/2))/(LN(2)/2)*BL98*BO98*VLOOKUP('Données projet'!$B$11,Paramètres!$A$1:$I$89,3,0)*0.475*44/12</f>
        <v>1.1248043156785271E-9</v>
      </c>
      <c r="BS98" s="22">
        <f t="shared" si="63"/>
        <v>3.8819584382425374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4.4337866711430253E-14</v>
      </c>
      <c r="CA98" s="13">
        <f t="shared" si="93"/>
        <v>7.3222115536967035E-13</v>
      </c>
      <c r="CB98" s="20">
        <f t="shared" si="64"/>
        <v>1.3525069634579169E-12</v>
      </c>
      <c r="CC98" s="59">
        <f t="shared" si="65"/>
        <v>293.33333333333468</v>
      </c>
      <c r="CD98" s="59">
        <f ca="1">AVERAGE(OFFSET($CC$3,0,0,'Données projet'!$E$12+1,1))-AVERAGE(OFFSET($H$3,0,0,'Données projet'!$E$12+1,1))</f>
        <v>216.95993967070063</v>
      </c>
      <c r="CE98" s="59">
        <f t="shared" si="94"/>
        <v>208.79744153433245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1.4261043702859697</v>
      </c>
      <c r="CL98" s="21">
        <f>EXP(-LN(2)/25)*CL97+(1-EXP(-LN(2)/25))/(LN(2)/25)*Calculateur!CG98*Calculateur!CI98*VLOOKUP('Données projet'!$B$12,Paramètres!$A$1:$I$89,3,0)*0.475*44/12</f>
        <v>1.0584690399889924</v>
      </c>
      <c r="CM98" s="21">
        <f>EXP(-LN(2)/2)*CM97+(1-EXP(-LN(2)/2))/(LN(2)/2)*CG98*CJ98*VLOOKUP('Données projet'!$B$12,Paramètres!$A$1:$I$89,3,0)*0.475*44/12</f>
        <v>2.0309650204424652E-10</v>
      </c>
      <c r="CN98" s="22">
        <f t="shared" si="66"/>
        <v>2.4845734104780588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3.813056537183002E-14</v>
      </c>
      <c r="CV98" s="13">
        <f t="shared" si="95"/>
        <v>6.4086286045526829E-13</v>
      </c>
      <c r="CW98" s="20">
        <f t="shared" si="67"/>
        <v>1.1825802166488628E-12</v>
      </c>
      <c r="CX98" s="59">
        <f t="shared" si="68"/>
        <v>293.33333333333451</v>
      </c>
      <c r="CY98" s="59">
        <f ca="1">AVERAGE(OFFSET($CX$3,0,0,'Données projet'!$E$13+1,1))-AVERAGE(OFFSET($H$3,0,0,'Données projet'!$E$13+1,1))</f>
        <v>181.32837315090507</v>
      </c>
      <c r="CZ98" s="59">
        <f t="shared" si="96"/>
        <v>175.03267817980338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1.5116706325031264</v>
      </c>
      <c r="DG98" s="21">
        <f>EXP(-LN(2)/25)*DG97+(1-EXP(-LN(2)/25))/(LN(2)/25)*Calculateur!DB98*Calculateur!DD98*VLOOKUP('Données projet'!$B$13,Paramètres!$A$1:$I$89,3,0)*0.475*44/12</f>
        <v>1.1219771823883322</v>
      </c>
      <c r="DH98" s="21">
        <f>EXP(-LN(2)/2)*DH97+(1-EXP(-LN(2)/2))/(LN(2)/2)*DB98*DE98*VLOOKUP('Données projet'!$B$13,Paramètres!$A$1:$I$89,3,0)*0.475*44/12</f>
        <v>1.7466299175805194E-10</v>
      </c>
      <c r="DI98" s="22">
        <f t="shared" si="69"/>
        <v>2.6336478150661216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-2.8421709430404007E-13</v>
      </c>
      <c r="DP98" s="17">
        <f>DO98*VLOOKUP('Données projet'!$B$14,Paramètres!$A$1:$I$89,3,0)*VLOOKUP('Données projet'!$B$14,Paramètres!$A$1:$I$89,5,0)</f>
        <v>-2.2612312022829427E-13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325.72928944930294</v>
      </c>
      <c r="DU98" s="59">
        <f t="shared" si="98"/>
        <v>318.38876834819752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4.7791649340223898</v>
      </c>
      <c r="EB98" s="21">
        <f>EXP(-LN(2)/25)*EB97+(1-EXP(-LN(2)/25))/(LN(2)/25)*Calculateur!DW98*Calculateur!DY98*VLOOKUP('Données projet'!$B$14,Paramètres!$A$1:$I$89,3,0)*0.475*44/12</f>
        <v>3.4109082996110658</v>
      </c>
      <c r="EC98" s="21">
        <f>EXP(-LN(2)/2)*EC97+(1-EXP(-LN(2)/2))/(LN(2)/2)*DW98*DZ98*VLOOKUP('Données projet'!$B$14,Paramètres!$A$1:$I$89,3,0)*0.475*44/12</f>
        <v>1.947599454490929E-9</v>
      </c>
      <c r="ED98" s="22">
        <f t="shared" si="72"/>
        <v>8.190073235581055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336</v>
      </c>
      <c r="EH98" s="12">
        <f>VLOOKUP(A98,'Données projet'!$A$191:$I$211,9,0)</f>
        <v>6.8</v>
      </c>
      <c r="EI98" s="12">
        <f t="array" ref="EI98">INDEX(EH:EH,MIN(IF(ISNUMBER(EH98:EH294),ROW(EH98:EH294),"")))</f>
        <v>6.8</v>
      </c>
      <c r="EJ98" s="12">
        <f>IF('Données projet'!$A$192&gt;35,EJ97+EI98-ER97,IF(A98&lt;'Données projet'!$A$192,$EG$205^A98,IF(A98='Données projet'!$A$192,'Données projet'!$B$192,EJ97+EI98-ER97)))</f>
        <v>336</v>
      </c>
      <c r="EK98" s="17">
        <f>EJ98*VLOOKUP('Données projet'!$B$15,Paramètres!$A$1:$I$89,3,0)*VLOOKUP('Données projet'!$B$15,Paramètres!$A$1:$I$89,5,0)</f>
        <v>340.70400000000001</v>
      </c>
      <c r="EL98" s="13">
        <f t="shared" si="99"/>
        <v>79.64537976452938</v>
      </c>
      <c r="EM98" s="20">
        <f t="shared" si="73"/>
        <v>732.10850308988859</v>
      </c>
      <c r="EN98" s="59">
        <f t="shared" si="74"/>
        <v>1025.441836423222</v>
      </c>
      <c r="EO98" s="59">
        <f ca="1">AVERAGE(OFFSET($EN$3,0,0,'Données projet'!$E$15+1,1))-AVERAGE(OFFSET($H$3,0,0,'Données projet'!$E$15+1,1))</f>
        <v>384.50065773787549</v>
      </c>
      <c r="EP98" s="59">
        <f t="shared" si="100"/>
        <v>231.92898690465887</v>
      </c>
      <c r="EQ98" s="15">
        <f>IF(ISNA(VLOOKUP(A98,'Données projet'!$A$191:$I$211,3,0)),0,VLOOKUP(A98,'Données projet'!$A$191:$I$211,3,0))</f>
        <v>16</v>
      </c>
      <c r="ER98" s="15">
        <f>IF(ISNA(VLOOKUP(A98,'Données projet'!$A$191:$I$211,4,0)),0,VLOOKUP(A98,'Données projet'!$A$191:$I$211,4,0))</f>
        <v>28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2.2607607937939496</v>
      </c>
      <c r="EW98" s="21">
        <f>EXP(-LN(2)/25)*EW97+(1-EXP(-LN(2)/25))/(LN(2)/25)*Calculateur!ER98*Calculateur!ET98*VLOOKUP('Données projet'!$B$15,Paramètres!$A$1:$I$89,3,0)*0.475*44/12</f>
        <v>1.731028866823388</v>
      </c>
      <c r="EX98" s="21">
        <f>EXP(-LN(2)/2)*EX97+(1-EXP(-LN(2)/2))/(LN(2)/2)*ER98*EU98*VLOOKUP('Données projet'!$B$15,Paramètres!$A$1:$I$89,3,0)*0.475*44/12</f>
        <v>1.5747278592108535E-9</v>
      </c>
      <c r="EY98" s="22">
        <f t="shared" si="75"/>
        <v>3.9917896621920654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336</v>
      </c>
      <c r="FC98" s="12">
        <f>VLOOKUP(A98,'Données projet'!$A$217:$I$237,9,0)</f>
        <v>67.2</v>
      </c>
      <c r="FD98" s="12">
        <f t="array" ref="FD98">INDEX(FC:FC,MIN(IF(ISNUMBER(FC98:FC294),ROW(FC98:FC294),"")))</f>
        <v>67.2</v>
      </c>
      <c r="FE98" s="12">
        <f>IF('Données projet'!$A$218&gt;35,FE97+FD98-FM97,IF(A98&lt;'Données projet'!$A$218,$FB$205^A98,IF(A98='Données projet'!$A$218,'Données projet'!$B$218,FE97+FD98-FM97)))</f>
        <v>335.99999999999989</v>
      </c>
      <c r="FF98" s="17">
        <f>FE98*VLOOKUP('Données projet'!$B$16,Paramètres!$A$1:$I$89,3,0)*VLOOKUP('Données projet'!$B$16,Paramètres!$A$1:$I$89,5,0)</f>
        <v>304.01279999999986</v>
      </c>
      <c r="FG98" s="13">
        <f t="shared" si="101"/>
        <v>72.017048837085824</v>
      </c>
      <c r="FH98" s="20">
        <f t="shared" si="76"/>
        <v>654.91865339125764</v>
      </c>
      <c r="FI98" s="59">
        <f t="shared" si="77"/>
        <v>948.25198672459101</v>
      </c>
      <c r="FJ98" s="59">
        <f ca="1">AVERAGE(OFFSET($FI$3,0,0,'Données projet'!$E$16+1,1))-AVERAGE(OFFSET($H$3,0,0,'Données projet'!$E$16+1,1))</f>
        <v>326.46362829268969</v>
      </c>
      <c r="FK98" s="59">
        <f t="shared" si="102"/>
        <v>203.5274665601915</v>
      </c>
      <c r="FL98" s="15">
        <f>IF(ISNA(VLOOKUP(A98,'Données projet'!$A$217:$I$237,3,0)),0,VLOOKUP(A98,'Données projet'!$A$217:$I$237,3,0))</f>
        <v>16</v>
      </c>
      <c r="FM98" s="15">
        <f>IF(ISNA(VLOOKUP(A98,'Données projet'!$A$217:$I$237,4,0)),0,VLOOKUP(A98,'Données projet'!$A$217:$I$237,4,0))</f>
        <v>28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2.0172942467699833</v>
      </c>
      <c r="FR98" s="21">
        <f>EXP(-LN(2)/25)*FR97+(1-EXP(-LN(2)/25))/(LN(2)/25)*Calculateur!FM98*Calculateur!FO98*VLOOKUP('Données projet'!$B$16,Paramètres!$A$1:$I$89,3,0)*0.475*44/12</f>
        <v>1.5446103734731751</v>
      </c>
      <c r="FS98" s="21">
        <f>EXP(-LN(2)/2)*FS97+(1-EXP(-LN(2)/2))/(LN(2)/2)*FM98*FP98*VLOOKUP('Données projet'!$B$16,Paramètres!$A$1:$I$89,3,0)*0.475*44/12</f>
        <v>1.4051417820650693E-9</v>
      </c>
      <c r="FT98" s="22">
        <f t="shared" si="78"/>
        <v>3.5619046216483001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336</v>
      </c>
      <c r="FX98" s="12">
        <f>VLOOKUP(A98,'Données projet'!$A$243:$I$263,9,0)</f>
        <v>67.2</v>
      </c>
      <c r="FY98" s="12">
        <f t="array" ref="FY98">INDEX(FX:FX,MIN(IF(ISNUMBER(FX98:FX294),ROW(FX98:FX294),"")))</f>
        <v>67.2</v>
      </c>
      <c r="FZ98" s="12">
        <f>IF('Données projet'!$A$244&gt;35,FZ97+FY98-GH97,IF(A98&lt;'Données projet'!$A$244,$FW$205^A98,IF(A98='Données projet'!$A$244,'Données projet'!$B$244,FZ97+FY98-GH97)))</f>
        <v>335.99999999999989</v>
      </c>
      <c r="GA98" s="17">
        <f>FZ98*VLOOKUP('Données projet'!$B$17,Paramètres!$A$1:$I$89,3,0)*VLOOKUP('Données projet'!$B$17,Paramètres!$A$1:$I$89,5,0)</f>
        <v>324.97919999999993</v>
      </c>
      <c r="GB98" s="13">
        <f t="shared" si="103"/>
        <v>76.388440234761674</v>
      </c>
      <c r="GC98" s="20">
        <f t="shared" si="79"/>
        <v>699.04864007554306</v>
      </c>
      <c r="GD98" s="59">
        <f t="shared" si="80"/>
        <v>992.38197340887632</v>
      </c>
      <c r="GE98" s="59">
        <f ca="1">AVERAGE(OFFSET($GD$3,0,0,'Données projet'!$E$17+1,1))-AVERAGE(OFFSET($H$3,0,0,'Données projet'!$E$17+1,1))</f>
        <v>353.24082990916918</v>
      </c>
      <c r="GF98" s="59">
        <f t="shared" si="104"/>
        <v>219.76562717496353</v>
      </c>
      <c r="GG98" s="15">
        <f>IF(ISNA(VLOOKUP(A98,'Données projet'!$A$243:$I$263,3,0)),0,VLOOKUP(A98,'Données projet'!$A$243:$I$263,3,0))</f>
        <v>16</v>
      </c>
      <c r="GH98" s="15">
        <f>IF(ISNA(VLOOKUP(A98,'Données projet'!$A$243:$I$263,4,0)),0,VLOOKUP(A98,'Données projet'!$A$243:$I$263,4,0))</f>
        <v>28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2.1564179879265351</v>
      </c>
      <c r="GM98" s="21">
        <f>EXP(-LN(2)/25)*GM97+(1-EXP(-LN(2)/25))/(LN(2)/25)*Calculateur!GH98*Calculateur!GJ98*VLOOKUP('Données projet'!$B$17,Paramètres!$A$1:$I$89,3,0)*0.475*44/12</f>
        <v>1.6511352268161543</v>
      </c>
      <c r="GN98" s="21">
        <f>EXP(-LN(2)/2)*GN97+(1-EXP(-LN(2)/2))/(LN(2)/2)*GH98*GK98*VLOOKUP('Données projet'!$B$17,Paramètres!$A$1:$I$89,3,0)*0.475*44/12</f>
        <v>1.5020481118626607E-9</v>
      </c>
      <c r="GO98" s="21">
        <f t="shared" si="81"/>
        <v>3.8075532162447376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378.17323480030268</v>
      </c>
      <c r="T99" s="59">
        <f t="shared" si="88"/>
        <v>471.89239871617241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1.1919829574321885</v>
      </c>
      <c r="AA99" s="21">
        <f>EXP(-LN(2)/25)*AA98+(1-EXP(-LN(2)/25))/(LN(2)/25)*Calculateur!V99*Calculateur!X99*VLOOKUP('Données projet'!$B$9,Paramètres!$A$1:$I$89,3,0)*0.475*44/12</f>
        <v>3.3371312004595302</v>
      </c>
      <c r="AB99" s="21">
        <f>EXP(-LN(2)/2)*AB98+(1-EXP(-LN(2)/2))/(LN(2)/2)*V99*Y99*VLOOKUP('Données projet'!$B$9,Paramètres!$A$1:$I$89,3,0)*0.475*44/12</f>
        <v>1.2177730597408197E-9</v>
      </c>
      <c r="AC99" s="22">
        <f t="shared" si="57"/>
        <v>4.5291141591094926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141.22849894256314</v>
      </c>
      <c r="AO99" s="59">
        <f t="shared" si="90"/>
        <v>156.12101479343704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1.9904243833988149</v>
      </c>
      <c r="AV99" s="21">
        <f>EXP(-LN(2)/25)*AV98+(1-EXP(-LN(2)/25))/(LN(2)/25)*Calculateur!AQ99*Calculateur!AS99*VLOOKUP('Données projet'!$B$10,Paramètres!$A$1:$I$89,3,0)*0.475*44/12</f>
        <v>0.96618511163335252</v>
      </c>
      <c r="AW99" s="21">
        <f>EXP(-LN(2)/2)*AW98+(1-EXP(-LN(2)/2))/(LN(2)/2)*AQ99*AT99*VLOOKUP('Données projet'!$B$10,Paramètres!$A$1:$I$89,3,0)*0.475*44/12</f>
        <v>3.4435314943450663E-10</v>
      </c>
      <c r="AX99" s="21">
        <f t="shared" si="60"/>
        <v>2.9566094953765205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114.25511901730295</v>
      </c>
      <c r="BJ99" s="59">
        <f t="shared" si="92"/>
        <v>180.96261947642182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0.9250444828995712</v>
      </c>
      <c r="BQ99" s="21">
        <f>EXP(-LN(2)/25)*BQ98+(1-EXP(-LN(2)/25))/(LN(2)/25)*Calculateur!BL99*Calculateur!BN99*VLOOKUP('Données projet'!$B$11,Paramètres!$A$1:$I$89,3,0)*0.475*44/12</f>
        <v>2.8580605567100816</v>
      </c>
      <c r="BR99" s="21">
        <f>EXP(-LN(2)/2)*BR98+(1-EXP(-LN(2)/2))/(LN(2)/2)*BL99*BO99*VLOOKUP('Données projet'!$B$11,Paramètres!$A$1:$I$89,3,0)*0.475*44/12</f>
        <v>7.9535675912418062E-10</v>
      </c>
      <c r="BS99" s="22">
        <f t="shared" si="63"/>
        <v>3.7831050404050095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4.4337866711430253E-14</v>
      </c>
      <c r="CA99" s="13">
        <f t="shared" si="93"/>
        <v>7.3222115536967035E-13</v>
      </c>
      <c r="CB99" s="20">
        <f t="shared" si="64"/>
        <v>1.3525069634579169E-12</v>
      </c>
      <c r="CC99" s="59">
        <f t="shared" si="65"/>
        <v>293.33333333333468</v>
      </c>
      <c r="CD99" s="59">
        <f ca="1">AVERAGE(OFFSET($CC$3,0,0,'Données projet'!$E$12+1,1))-AVERAGE(OFFSET($H$3,0,0,'Données projet'!$E$12+1,1))</f>
        <v>216.95993967070063</v>
      </c>
      <c r="CE99" s="59">
        <f t="shared" si="94"/>
        <v>208.79744153433245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1.3981393334224383</v>
      </c>
      <c r="CL99" s="21">
        <f>EXP(-LN(2)/25)*CL98+(1-EXP(-LN(2)/25))/(LN(2)/25)*Calculateur!CG99*Calculateur!CI99*VLOOKUP('Données projet'!$B$12,Paramètres!$A$1:$I$89,3,0)*0.475*44/12</f>
        <v>1.0295251484280259</v>
      </c>
      <c r="CM99" s="21">
        <f>EXP(-LN(2)/2)*CM98+(1-EXP(-LN(2)/2))/(LN(2)/2)*CG99*CJ99*VLOOKUP('Données projet'!$B$12,Paramètres!$A$1:$I$89,3,0)*0.475*44/12</f>
        <v>1.4361091383075423E-10</v>
      </c>
      <c r="CN99" s="22">
        <f t="shared" si="66"/>
        <v>2.4276644819940754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3.813056537183002E-14</v>
      </c>
      <c r="CV99" s="13">
        <f t="shared" si="95"/>
        <v>6.4086286045526829E-13</v>
      </c>
      <c r="CW99" s="20">
        <f t="shared" si="67"/>
        <v>1.1825802166488628E-12</v>
      </c>
      <c r="CX99" s="59">
        <f t="shared" si="68"/>
        <v>293.33333333333451</v>
      </c>
      <c r="CY99" s="59">
        <f ca="1">AVERAGE(OFFSET($CX$3,0,0,'Données projet'!$E$13+1,1))-AVERAGE(OFFSET($H$3,0,0,'Données projet'!$E$13+1,1))</f>
        <v>181.32837315090507</v>
      </c>
      <c r="CZ99" s="59">
        <f t="shared" si="96"/>
        <v>175.03267817980338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1.4820276934277832</v>
      </c>
      <c r="DG99" s="21">
        <f>EXP(-LN(2)/25)*DG98+(1-EXP(-LN(2)/25))/(LN(2)/25)*Calculateur!DB99*Calculateur!DD99*VLOOKUP('Données projet'!$B$13,Paramètres!$A$1:$I$89,3,0)*0.475*44/12</f>
        <v>1.0912966573337075</v>
      </c>
      <c r="DH99" s="21">
        <f>EXP(-LN(2)/2)*DH98+(1-EXP(-LN(2)/2))/(LN(2)/2)*DB99*DE99*VLOOKUP('Données projet'!$B$13,Paramètres!$A$1:$I$89,3,0)*0.475*44/12</f>
        <v>1.2350538589444858E-10</v>
      </c>
      <c r="DI99" s="22">
        <f t="shared" si="69"/>
        <v>2.5733243508849957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-2.8421709430404007E-13</v>
      </c>
      <c r="DP99" s="17">
        <f>DO99*VLOOKUP('Données projet'!$B$14,Paramètres!$A$1:$I$89,3,0)*VLOOKUP('Données projet'!$B$14,Paramètres!$A$1:$I$89,5,0)</f>
        <v>-2.2612312022829427E-13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325.72928944930294</v>
      </c>
      <c r="DU99" s="59">
        <f t="shared" si="98"/>
        <v>318.38876834819752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4.685448424668988</v>
      </c>
      <c r="EB99" s="21">
        <f>EXP(-LN(2)/25)*EB98+(1-EXP(-LN(2)/25))/(LN(2)/25)*Calculateur!DW99*Calculateur!DY99*VLOOKUP('Données projet'!$B$14,Paramètres!$A$1:$I$89,3,0)*0.475*44/12</f>
        <v>3.3176368327863295</v>
      </c>
      <c r="EC99" s="21">
        <f>EXP(-LN(2)/2)*EC98+(1-EXP(-LN(2)/2))/(LN(2)/2)*DW99*DZ99*VLOOKUP('Données projet'!$B$14,Paramètres!$A$1:$I$89,3,0)*0.475*44/12</f>
        <v>1.3771607813057567E-9</v>
      </c>
      <c r="ED99" s="22">
        <f t="shared" si="72"/>
        <v>8.0030852588324795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</v>
      </c>
      <c r="EJ99" s="12">
        <f>IF('Données projet'!$A$192&gt;35,EJ98+EI99-ER98,IF(A99&lt;'Données projet'!$A$192,$EG$205^A99,IF(A99='Données projet'!$A$192,'Données projet'!$B$192,EJ98+EI99-ER98)))</f>
        <v>313</v>
      </c>
      <c r="EK99" s="17">
        <f>EJ99*VLOOKUP('Données projet'!$B$15,Paramètres!$A$1:$I$89,3,0)*VLOOKUP('Données projet'!$B$15,Paramètres!$A$1:$I$89,5,0)</f>
        <v>317.38200000000006</v>
      </c>
      <c r="EL99" s="13">
        <f t="shared" si="99"/>
        <v>74.808367684875932</v>
      </c>
      <c r="EM99" s="20">
        <f t="shared" si="73"/>
        <v>683.06489038449229</v>
      </c>
      <c r="EN99" s="59">
        <f t="shared" si="74"/>
        <v>976.39822371782566</v>
      </c>
      <c r="EO99" s="59">
        <f ca="1">AVERAGE(OFFSET($EN$3,0,0,'Données projet'!$E$15+1,1))-AVERAGE(OFFSET($H$3,0,0,'Données projet'!$E$15+1,1))</f>
        <v>384.50065773787549</v>
      </c>
      <c r="EP99" s="59">
        <f t="shared" si="100"/>
        <v>231.92898690465887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2.2164286535555764</v>
      </c>
      <c r="EW99" s="21">
        <f>EXP(-LN(2)/25)*EW98+(1-EXP(-LN(2)/25))/(LN(2)/25)*Calculateur!ER99*Calculateur!ET99*VLOOKUP('Données projet'!$B$15,Paramètres!$A$1:$I$89,3,0)*0.475*44/12</f>
        <v>1.6836937914292507</v>
      </c>
      <c r="EX99" s="21">
        <f>EXP(-LN(2)/2)*EX98+(1-EXP(-LN(2)/2))/(LN(2)/2)*ER99*EU99*VLOOKUP('Données projet'!$B$15,Paramètres!$A$1:$I$89,3,0)*0.475*44/12</f>
        <v>1.1135007477713694E-9</v>
      </c>
      <c r="EY99" s="22">
        <f t="shared" si="75"/>
        <v>3.9001224460983281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5</v>
      </c>
      <c r="FE99" s="12">
        <f>IF('Données projet'!$A$218&gt;35,FE98+FD99-FM98,IF(A99&lt;'Données projet'!$A$218,$FB$205^A99,IF(A99='Données projet'!$A$218,'Données projet'!$B$218,FE98+FD99-FM98)))</f>
        <v>312.99999999999989</v>
      </c>
      <c r="FF99" s="17">
        <f>FE99*VLOOKUP('Données projet'!$B$16,Paramètres!$A$1:$I$89,3,0)*VLOOKUP('Données projet'!$B$16,Paramètres!$A$1:$I$89,5,0)</f>
        <v>283.2023999999999</v>
      </c>
      <c r="FG99" s="13">
        <f t="shared" si="101"/>
        <v>67.643319485855841</v>
      </c>
      <c r="FH99" s="20">
        <f t="shared" si="76"/>
        <v>611.05629477119874</v>
      </c>
      <c r="FI99" s="59">
        <f t="shared" si="77"/>
        <v>904.38962810453199</v>
      </c>
      <c r="FJ99" s="59">
        <f ca="1">AVERAGE(OFFSET($FI$3,0,0,'Données projet'!$E$16+1,1))-AVERAGE(OFFSET($H$3,0,0,'Données projet'!$E$16+1,1))</f>
        <v>326.46362829268969</v>
      </c>
      <c r="FK99" s="59">
        <f t="shared" si="102"/>
        <v>203.5274665601915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1.9777363370188197</v>
      </c>
      <c r="FR99" s="21">
        <f>EXP(-LN(2)/25)*FR98+(1-EXP(-LN(2)/25))/(LN(2)/25)*Calculateur!FM99*Calculateur!FO99*VLOOKUP('Données projet'!$B$16,Paramètres!$A$1:$I$89,3,0)*0.475*44/12</f>
        <v>1.5023729215830219</v>
      </c>
      <c r="FS99" s="21">
        <f>EXP(-LN(2)/2)*FS98+(1-EXP(-LN(2)/2))/(LN(2)/2)*FM99*FP99*VLOOKUP('Données projet'!$B$16,Paramètres!$A$1:$I$89,3,0)*0.475*44/12</f>
        <v>9.9358528262676037E-10</v>
      </c>
      <c r="FT99" s="22">
        <f t="shared" si="78"/>
        <v>3.4801092595954271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5</v>
      </c>
      <c r="FZ99" s="12">
        <f>IF('Données projet'!$A$244&gt;35,FZ98+FY99-GH98,IF(A99&lt;'Données projet'!$A$244,$FW$205^A99,IF(A99='Données projet'!$A$244,'Données projet'!$B$244,FZ98+FY99-GH98)))</f>
        <v>312.99999999999989</v>
      </c>
      <c r="GA99" s="17">
        <f>FZ99*VLOOKUP('Données projet'!$B$17,Paramètres!$A$1:$I$89,3,0)*VLOOKUP('Données projet'!$B$17,Paramètres!$A$1:$I$89,5,0)</f>
        <v>302.73359999999985</v>
      </c>
      <c r="GB99" s="13">
        <f t="shared" si="103"/>
        <v>71.74922815172765</v>
      </c>
      <c r="GC99" s="20">
        <f t="shared" si="79"/>
        <v>652.2242590309254</v>
      </c>
      <c r="GD99" s="59">
        <f t="shared" si="80"/>
        <v>945.55759236425865</v>
      </c>
      <c r="GE99" s="59">
        <f ca="1">AVERAGE(OFFSET($GD$3,0,0,'Données projet'!$E$17+1,1))-AVERAGE(OFFSET($H$3,0,0,'Données projet'!$E$17+1,1))</f>
        <v>353.24082990916918</v>
      </c>
      <c r="GF99" s="59">
        <f t="shared" si="104"/>
        <v>219.76562717496353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2.1141319464683948</v>
      </c>
      <c r="GM99" s="21">
        <f>EXP(-LN(2)/25)*GM98+(1-EXP(-LN(2)/25))/(LN(2)/25)*Calculateur!GH99*Calculateur!GJ99*VLOOKUP('Données projet'!$B$17,Paramètres!$A$1:$I$89,3,0)*0.475*44/12</f>
        <v>1.6059848472094387</v>
      </c>
      <c r="GN99" s="21">
        <f>EXP(-LN(2)/2)*GN98+(1-EXP(-LN(2)/2))/(LN(2)/2)*GH99*GK99*VLOOKUP('Données projet'!$B$17,Paramètres!$A$1:$I$89,3,0)*0.475*44/12</f>
        <v>1.0621084055665372E-9</v>
      </c>
      <c r="GO99" s="21">
        <f t="shared" si="81"/>
        <v>3.7201167947399423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378.17323480030268</v>
      </c>
      <c r="T100" s="59">
        <f t="shared" si="88"/>
        <v>471.89239871617241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1.1686088986747583</v>
      </c>
      <c r="AA100" s="21">
        <f>EXP(-LN(2)/25)*AA99+(1-EXP(-LN(2)/25))/(LN(2)/25)*Calculateur!V100*Calculateur!X100*VLOOKUP('Données projet'!$B$9,Paramètres!$A$1:$I$89,3,0)*0.475*44/12</f>
        <v>3.2458771722908617</v>
      </c>
      <c r="AB100" s="21">
        <f>EXP(-LN(2)/2)*AB99+(1-EXP(-LN(2)/2))/(LN(2)/2)*V100*Y100*VLOOKUP('Données projet'!$B$9,Paramètres!$A$1:$I$89,3,0)*0.475*44/12</f>
        <v>8.6109558848902428E-10</v>
      </c>
      <c r="AC100" s="22">
        <f t="shared" si="57"/>
        <v>4.4144860718267154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141.22849894256314</v>
      </c>
      <c r="AO100" s="59">
        <f t="shared" si="90"/>
        <v>156.12101479343704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1.9513933752793615</v>
      </c>
      <c r="AV100" s="21">
        <f>EXP(-LN(2)/25)*AV99+(1-EXP(-LN(2)/25))/(LN(2)/25)*Calculateur!AQ100*Calculateur!AS100*VLOOKUP('Données projet'!$B$10,Paramètres!$A$1:$I$89,3,0)*0.475*44/12</f>
        <v>0.93976472894627172</v>
      </c>
      <c r="AW100" s="21">
        <f>EXP(-LN(2)/2)*AW99+(1-EXP(-LN(2)/2))/(LN(2)/2)*AQ100*AT100*VLOOKUP('Données projet'!$B$10,Paramètres!$A$1:$I$89,3,0)*0.475*44/12</f>
        <v>2.4349444708808418E-10</v>
      </c>
      <c r="AX100" s="21">
        <f t="shared" si="60"/>
        <v>2.8911581044691279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114.25511901730295</v>
      </c>
      <c r="BJ100" s="59">
        <f t="shared" si="92"/>
        <v>180.96261947642182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0.90690492481133289</v>
      </c>
      <c r="BQ100" s="21">
        <f>EXP(-LN(2)/25)*BQ99+(1-EXP(-LN(2)/25))/(LN(2)/25)*Calculateur!BL100*Calculateur!BN100*VLOOKUP('Données projet'!$B$11,Paramètres!$A$1:$I$89,3,0)*0.475*44/12</f>
        <v>2.7799067404879718</v>
      </c>
      <c r="BR100" s="21">
        <f>EXP(-LN(2)/2)*BR99+(1-EXP(-LN(2)/2))/(LN(2)/2)*BL100*BO100*VLOOKUP('Données projet'!$B$11,Paramètres!$A$1:$I$89,3,0)*0.475*44/12</f>
        <v>5.6240215783926357E-10</v>
      </c>
      <c r="BS100" s="22">
        <f t="shared" si="63"/>
        <v>3.6868116658617067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4.4337866711430253E-14</v>
      </c>
      <c r="CA100" s="13">
        <f t="shared" si="93"/>
        <v>7.3222115536967035E-13</v>
      </c>
      <c r="CB100" s="20">
        <f t="shared" si="64"/>
        <v>1.3525069634579169E-12</v>
      </c>
      <c r="CC100" s="59">
        <f t="shared" si="65"/>
        <v>293.33333333333468</v>
      </c>
      <c r="CD100" s="59">
        <f ca="1">AVERAGE(OFFSET($CC$3,0,0,'Données projet'!$E$12+1,1))-AVERAGE(OFFSET($H$3,0,0,'Données projet'!$E$12+1,1))</f>
        <v>216.95993967070063</v>
      </c>
      <c r="CE100" s="59">
        <f t="shared" si="94"/>
        <v>208.79744153433245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1.3707226738748126</v>
      </c>
      <c r="CL100" s="21">
        <f>EXP(-LN(2)/25)*CL99+(1-EXP(-LN(2)/25))/(LN(2)/25)*Calculateur!CG100*Calculateur!CI100*VLOOKUP('Données projet'!$B$12,Paramètres!$A$1:$I$89,3,0)*0.475*44/12</f>
        <v>1.001372729103887</v>
      </c>
      <c r="CM100" s="21">
        <f>EXP(-LN(2)/2)*CM99+(1-EXP(-LN(2)/2))/(LN(2)/2)*CG100*CJ100*VLOOKUP('Données projet'!$B$12,Paramètres!$A$1:$I$89,3,0)*0.475*44/12</f>
        <v>1.0154825102212326E-10</v>
      </c>
      <c r="CN100" s="22">
        <f t="shared" si="66"/>
        <v>2.3720954030802477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3.813056537183002E-14</v>
      </c>
      <c r="CV100" s="13">
        <f t="shared" si="95"/>
        <v>6.4086286045526829E-13</v>
      </c>
      <c r="CW100" s="20">
        <f t="shared" si="67"/>
        <v>1.1825802166488628E-12</v>
      </c>
      <c r="CX100" s="59">
        <f t="shared" si="68"/>
        <v>293.33333333333451</v>
      </c>
      <c r="CY100" s="59">
        <f ca="1">AVERAGE(OFFSET($CX$3,0,0,'Données projet'!$E$13+1,1))-AVERAGE(OFFSET($H$3,0,0,'Données projet'!$E$13+1,1))</f>
        <v>181.32837315090507</v>
      </c>
      <c r="CZ100" s="59">
        <f t="shared" si="96"/>
        <v>175.03267817980338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1.4529660343072999</v>
      </c>
      <c r="DG100" s="21">
        <f>EXP(-LN(2)/25)*DG99+(1-EXP(-LN(2)/25))/(LN(2)/25)*Calculateur!DB100*Calculateur!DD100*VLOOKUP('Données projet'!$B$13,Paramètres!$A$1:$I$89,3,0)*0.475*44/12</f>
        <v>1.0614550928501203</v>
      </c>
      <c r="DH100" s="21">
        <f>EXP(-LN(2)/2)*DH99+(1-EXP(-LN(2)/2))/(LN(2)/2)*DB100*DE100*VLOOKUP('Données projet'!$B$13,Paramètres!$A$1:$I$89,3,0)*0.475*44/12</f>
        <v>8.7331495879025968E-11</v>
      </c>
      <c r="DI100" s="22">
        <f t="shared" si="69"/>
        <v>2.5144211272447516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-2.8421709430404007E-13</v>
      </c>
      <c r="DP100" s="17">
        <f>DO100*VLOOKUP('Données projet'!$B$14,Paramètres!$A$1:$I$89,3,0)*VLOOKUP('Données projet'!$B$14,Paramètres!$A$1:$I$89,5,0)</f>
        <v>-2.2612312022829427E-13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325.72928944930294</v>
      </c>
      <c r="DU100" s="59">
        <f t="shared" si="98"/>
        <v>318.38876834819752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4.5935696389025802</v>
      </c>
      <c r="EB100" s="21">
        <f>EXP(-LN(2)/25)*EB99+(1-EXP(-LN(2)/25))/(LN(2)/25)*Calculateur!DW100*Calculateur!DY100*VLOOKUP('Données projet'!$B$14,Paramètres!$A$1:$I$89,3,0)*0.475*44/12</f>
        <v>3.2269158791268486</v>
      </c>
      <c r="EC100" s="21">
        <f>EXP(-LN(2)/2)*EC99+(1-EXP(-LN(2)/2))/(LN(2)/2)*DW100*DZ100*VLOOKUP('Données projet'!$B$14,Paramètres!$A$1:$I$89,3,0)*0.475*44/12</f>
        <v>9.7379972724546449E-10</v>
      </c>
      <c r="ED100" s="22">
        <f t="shared" si="72"/>
        <v>7.8204855190032285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</v>
      </c>
      <c r="EJ100" s="12">
        <f>IF('Données projet'!$A$192&gt;35,EJ99+EI100-ER99,IF(A100&lt;'Données projet'!$A$192,$EG$205^A100,IF(A100='Données projet'!$A$192,'Données projet'!$B$192,EJ99+EI100-ER99)))</f>
        <v>318</v>
      </c>
      <c r="EK100" s="17">
        <f>EJ100*VLOOKUP('Données projet'!$B$15,Paramètres!$A$1:$I$89,3,0)*VLOOKUP('Données projet'!$B$15,Paramètres!$A$1:$I$89,5,0)</f>
        <v>322.45200000000006</v>
      </c>
      <c r="EL100" s="13">
        <f t="shared" si="99"/>
        <v>75.863313073590803</v>
      </c>
      <c r="EM100" s="20">
        <f t="shared" si="73"/>
        <v>693.7325036031707</v>
      </c>
      <c r="EN100" s="59">
        <f t="shared" si="74"/>
        <v>987.06583693650396</v>
      </c>
      <c r="EO100" s="59">
        <f ca="1">AVERAGE(OFFSET($EN$3,0,0,'Données projet'!$E$15+1,1))-AVERAGE(OFFSET($H$3,0,0,'Données projet'!$E$15+1,1))</f>
        <v>384.50065773787549</v>
      </c>
      <c r="EP100" s="59">
        <f t="shared" si="100"/>
        <v>231.92898690465887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2.1729658395473423</v>
      </c>
      <c r="EW100" s="21">
        <f>EXP(-LN(2)/25)*EW99+(1-EXP(-LN(2)/25))/(LN(2)/25)*Calculateur!ER100*Calculateur!ET100*VLOOKUP('Données projet'!$B$15,Paramètres!$A$1:$I$89,3,0)*0.475*44/12</f>
        <v>1.6376530961610094</v>
      </c>
      <c r="EX100" s="21">
        <f>EXP(-LN(2)/2)*EX99+(1-EXP(-LN(2)/2))/(LN(2)/2)*ER100*EU100*VLOOKUP('Données projet'!$B$15,Paramètres!$A$1:$I$89,3,0)*0.475*44/12</f>
        <v>7.8736392960542677E-10</v>
      </c>
      <c r="EY100" s="22">
        <f t="shared" si="75"/>
        <v>3.8106189364957155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5</v>
      </c>
      <c r="FE100" s="12">
        <f>IF('Données projet'!$A$218&gt;35,FE99+FD100-FM99,IF(A100&lt;'Données projet'!$A$218,$FB$205^A100,IF(A100='Données projet'!$A$218,'Données projet'!$B$218,FE99+FD100-FM99)))</f>
        <v>317.99999999999989</v>
      </c>
      <c r="FF100" s="17">
        <f>FE100*VLOOKUP('Données projet'!$B$16,Paramètres!$A$1:$I$89,3,0)*VLOOKUP('Données projet'!$B$16,Paramètres!$A$1:$I$89,5,0)</f>
        <v>287.7263999999999</v>
      </c>
      <c r="FG100" s="13">
        <f t="shared" si="101"/>
        <v>68.597223576766794</v>
      </c>
      <c r="FH100" s="20">
        <f t="shared" si="76"/>
        <v>620.5969777295353</v>
      </c>
      <c r="FI100" s="59">
        <f t="shared" si="77"/>
        <v>913.93031106286867</v>
      </c>
      <c r="FJ100" s="59">
        <f ca="1">AVERAGE(OFFSET($FI$3,0,0,'Données projet'!$E$16+1,1))-AVERAGE(OFFSET($H$3,0,0,'Données projet'!$E$16+1,1))</f>
        <v>326.46362829268969</v>
      </c>
      <c r="FK100" s="59">
        <f t="shared" si="102"/>
        <v>203.5274665601915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1.9389541337499339</v>
      </c>
      <c r="FR100" s="21">
        <f>EXP(-LN(2)/25)*FR99+(1-EXP(-LN(2)/25))/(LN(2)/25)*Calculateur!FM100*Calculateur!FO100*VLOOKUP('Données projet'!$B$16,Paramètres!$A$1:$I$89,3,0)*0.475*44/12</f>
        <v>1.461290455035976</v>
      </c>
      <c r="FS100" s="21">
        <f>EXP(-LN(2)/2)*FS99+(1-EXP(-LN(2)/2))/(LN(2)/2)*FM100*FP100*VLOOKUP('Données projet'!$B$16,Paramètres!$A$1:$I$89,3,0)*0.475*44/12</f>
        <v>7.0257089103253463E-10</v>
      </c>
      <c r="FT100" s="22">
        <f t="shared" si="78"/>
        <v>3.4002445894884805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5</v>
      </c>
      <c r="FZ100" s="12">
        <f>IF('Données projet'!$A$244&gt;35,FZ99+FY100-GH99,IF(A100&lt;'Données projet'!$A$244,$FW$205^A100,IF(A100='Données projet'!$A$244,'Données projet'!$B$244,FZ99+FY100-GH99)))</f>
        <v>317.99999999999989</v>
      </c>
      <c r="GA100" s="17">
        <f>FZ100*VLOOKUP('Données projet'!$B$17,Paramètres!$A$1:$I$89,3,0)*VLOOKUP('Données projet'!$B$17,Paramètres!$A$1:$I$89,5,0)</f>
        <v>307.56959999999992</v>
      </c>
      <c r="GB100" s="13">
        <f t="shared" si="103"/>
        <v>72.761033645216827</v>
      </c>
      <c r="GC100" s="20">
        <f t="shared" si="79"/>
        <v>662.40918693208585</v>
      </c>
      <c r="GD100" s="59">
        <f t="shared" si="80"/>
        <v>955.74252026541922</v>
      </c>
      <c r="GE100" s="59">
        <f ca="1">AVERAGE(OFFSET($GD$3,0,0,'Données projet'!$E$17+1,1))-AVERAGE(OFFSET($H$3,0,0,'Données projet'!$E$17+1,1))</f>
        <v>353.24082990916918</v>
      </c>
      <c r="GF100" s="59">
        <f t="shared" si="104"/>
        <v>219.76562717496353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2.07267510849131</v>
      </c>
      <c r="GM100" s="21">
        <f>EXP(-LN(2)/25)*GM99+(1-EXP(-LN(2)/25))/(LN(2)/25)*Calculateur!GH100*Calculateur!GJ100*VLOOKUP('Données projet'!$B$17,Paramètres!$A$1:$I$89,3,0)*0.475*44/12</f>
        <v>1.562069107107424</v>
      </c>
      <c r="GN100" s="21">
        <f>EXP(-LN(2)/2)*GN99+(1-EXP(-LN(2)/2))/(LN(2)/2)*GH100*GK100*VLOOKUP('Données projet'!$B$17,Paramètres!$A$1:$I$89,3,0)*0.475*44/12</f>
        <v>7.5102405593133033E-10</v>
      </c>
      <c r="GO100" s="21">
        <f t="shared" si="81"/>
        <v>3.6347442163497581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378.17323480030268</v>
      </c>
      <c r="T101" s="59">
        <f t="shared" si="88"/>
        <v>471.89239871617241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1.1456931909527932</v>
      </c>
      <c r="AA101" s="21">
        <f>EXP(-LN(2)/25)*AA100+(1-EXP(-LN(2)/25))/(LN(2)/25)*Calculateur!V101*Calculateur!X101*VLOOKUP('Données projet'!$B$9,Paramètres!$A$1:$I$89,3,0)*0.475*44/12</f>
        <v>3.1571184903213063</v>
      </c>
      <c r="AB101" s="21">
        <f>EXP(-LN(2)/2)*AB100+(1-EXP(-LN(2)/2))/(LN(2)/2)*V101*Y101*VLOOKUP('Données projet'!$B$9,Paramètres!$A$1:$I$89,3,0)*0.475*44/12</f>
        <v>6.0888652987040986E-10</v>
      </c>
      <c r="AC101" s="22">
        <f t="shared" si="57"/>
        <v>4.3028116818829858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141.22849894256314</v>
      </c>
      <c r="AO101" s="59">
        <f t="shared" si="90"/>
        <v>156.12101479343704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1.9131277414225665</v>
      </c>
      <c r="AV101" s="21">
        <f>EXP(-LN(2)/25)*AV100+(1-EXP(-LN(2)/25))/(LN(2)/25)*Calculateur!AQ101*Calculateur!AS101*VLOOKUP('Données projet'!$B$10,Paramètres!$A$1:$I$89,3,0)*0.475*44/12</f>
        <v>0.91406681301315673</v>
      </c>
      <c r="AW101" s="21">
        <f>EXP(-LN(2)/2)*AW100+(1-EXP(-LN(2)/2))/(LN(2)/2)*AQ101*AT101*VLOOKUP('Données projet'!$B$10,Paramètres!$A$1:$I$89,3,0)*0.475*44/12</f>
        <v>1.7217657471725332E-10</v>
      </c>
      <c r="AX101" s="21">
        <f t="shared" si="60"/>
        <v>2.8271945546078996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114.25511901730295</v>
      </c>
      <c r="BJ101" s="59">
        <f t="shared" si="92"/>
        <v>180.96261947642182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0.88912107239316707</v>
      </c>
      <c r="BQ101" s="21">
        <f>EXP(-LN(2)/25)*BQ100+(1-EXP(-LN(2)/25))/(LN(2)/25)*Calculateur!BL101*Calculateur!BN101*VLOOKUP('Données projet'!$B$11,Paramètres!$A$1:$I$89,3,0)*0.475*44/12</f>
        <v>2.7038900444803864</v>
      </c>
      <c r="BR101" s="21">
        <f>EXP(-LN(2)/2)*BR100+(1-EXP(-LN(2)/2))/(LN(2)/2)*BL101*BO101*VLOOKUP('Données projet'!$B$11,Paramètres!$A$1:$I$89,3,0)*0.475*44/12</f>
        <v>3.9767837956209031E-10</v>
      </c>
      <c r="BS101" s="22">
        <f t="shared" si="63"/>
        <v>3.5930111172712316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4.4337866711430253E-14</v>
      </c>
      <c r="CA101" s="13">
        <f t="shared" si="93"/>
        <v>7.3222115536967035E-13</v>
      </c>
      <c r="CB101" s="20">
        <f t="shared" si="64"/>
        <v>1.3525069634579169E-12</v>
      </c>
      <c r="CC101" s="59">
        <f t="shared" si="65"/>
        <v>293.33333333333468</v>
      </c>
      <c r="CD101" s="59">
        <f ca="1">AVERAGE(OFFSET($CC$3,0,0,'Données projet'!$E$12+1,1))-AVERAGE(OFFSET($H$3,0,0,'Données projet'!$E$12+1,1))</f>
        <v>216.95993967070063</v>
      </c>
      <c r="CE101" s="59">
        <f t="shared" si="94"/>
        <v>208.79744153433245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1.3438436382984047</v>
      </c>
      <c r="CL101" s="21">
        <f>EXP(-LN(2)/25)*CL100+(1-EXP(-LN(2)/25))/(LN(2)/25)*Calculateur!CG101*Calculateur!CI101*VLOOKUP('Données projet'!$B$12,Paramètres!$A$1:$I$89,3,0)*0.475*44/12</f>
        <v>0.97399013916663801</v>
      </c>
      <c r="CM101" s="21">
        <f>EXP(-LN(2)/2)*CM100+(1-EXP(-LN(2)/2))/(LN(2)/2)*CG101*CJ101*VLOOKUP('Données projet'!$B$12,Paramètres!$A$1:$I$89,3,0)*0.475*44/12</f>
        <v>7.1805456915377113E-11</v>
      </c>
      <c r="CN101" s="22">
        <f t="shared" si="66"/>
        <v>2.3178337775368485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3.813056537183002E-14</v>
      </c>
      <c r="CV101" s="13">
        <f t="shared" si="95"/>
        <v>6.4086286045526829E-13</v>
      </c>
      <c r="CW101" s="20">
        <f t="shared" si="67"/>
        <v>1.1825802166488628E-12</v>
      </c>
      <c r="CX101" s="59">
        <f t="shared" si="68"/>
        <v>293.33333333333451</v>
      </c>
      <c r="CY101" s="59">
        <f ca="1">AVERAGE(OFFSET($CX$3,0,0,'Données projet'!$E$13+1,1))-AVERAGE(OFFSET($H$3,0,0,'Données projet'!$E$13+1,1))</f>
        <v>181.32837315090507</v>
      </c>
      <c r="CZ101" s="59">
        <f t="shared" si="96"/>
        <v>175.03267817980338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1.4244742565963076</v>
      </c>
      <c r="DG101" s="21">
        <f>EXP(-LN(2)/25)*DG100+(1-EXP(-LN(2)/25))/(LN(2)/25)*Calculateur!DB101*Calculateur!DD101*VLOOKUP('Données projet'!$B$13,Paramètres!$A$1:$I$89,3,0)*0.475*44/12</f>
        <v>1.0324295475166365</v>
      </c>
      <c r="DH101" s="21">
        <f>EXP(-LN(2)/2)*DH100+(1-EXP(-LN(2)/2))/(LN(2)/2)*DB101*DE101*VLOOKUP('Données projet'!$B$13,Paramètres!$A$1:$I$89,3,0)*0.475*44/12</f>
        <v>6.1752692947224291E-11</v>
      </c>
      <c r="DI101" s="22">
        <f t="shared" si="69"/>
        <v>2.4569038041746967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-2.8421709430404007E-13</v>
      </c>
      <c r="DP101" s="17">
        <f>DO101*VLOOKUP('Données projet'!$B$14,Paramètres!$A$1:$I$89,3,0)*VLOOKUP('Données projet'!$B$14,Paramètres!$A$1:$I$89,5,0)</f>
        <v>-2.2612312022829427E-13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325.72928944930294</v>
      </c>
      <c r="DU101" s="59">
        <f t="shared" si="98"/>
        <v>318.38876834819752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4.5034925400845252</v>
      </c>
      <c r="EB101" s="21">
        <f>EXP(-LN(2)/25)*EB100+(1-EXP(-LN(2)/25))/(LN(2)/25)*Calculateur!DW101*Calculateur!DY101*VLOOKUP('Données projet'!$B$14,Paramètres!$A$1:$I$89,3,0)*0.475*44/12</f>
        <v>3.1386756947159942</v>
      </c>
      <c r="EC101" s="21">
        <f>EXP(-LN(2)/2)*EC100+(1-EXP(-LN(2)/2))/(LN(2)/2)*DW101*DZ101*VLOOKUP('Données projet'!$B$14,Paramètres!$A$1:$I$89,3,0)*0.475*44/12</f>
        <v>6.8858039065287835E-10</v>
      </c>
      <c r="ED101" s="22">
        <f t="shared" si="72"/>
        <v>7.6421682354891001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</v>
      </c>
      <c r="EJ101" s="12">
        <f>IF('Données projet'!$A$192&gt;35,EJ100+EI101-ER100,IF(A101&lt;'Données projet'!$A$192,$EG$205^A101,IF(A101='Données projet'!$A$192,'Données projet'!$B$192,EJ100+EI101-ER100)))</f>
        <v>323</v>
      </c>
      <c r="EK101" s="17">
        <f>EJ101*VLOOKUP('Données projet'!$B$15,Paramètres!$A$1:$I$89,3,0)*VLOOKUP('Données projet'!$B$15,Paramètres!$A$1:$I$89,5,0)</f>
        <v>327.52200000000005</v>
      </c>
      <c r="EL101" s="13">
        <f t="shared" si="99"/>
        <v>76.916329394899776</v>
      </c>
      <c r="EM101" s="20">
        <f t="shared" si="73"/>
        <v>704.39675702945044</v>
      </c>
      <c r="EN101" s="59">
        <f t="shared" si="74"/>
        <v>997.73009036278381</v>
      </c>
      <c r="EO101" s="59">
        <f ca="1">AVERAGE(OFFSET($EN$3,0,0,'Données projet'!$E$15+1,1))-AVERAGE(OFFSET($H$3,0,0,'Données projet'!$E$15+1,1))</f>
        <v>384.50065773787549</v>
      </c>
      <c r="EP101" s="59">
        <f t="shared" si="100"/>
        <v>231.92898690465887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2.1303553048121109</v>
      </c>
      <c r="EW101" s="21">
        <f>EXP(-LN(2)/25)*EW100+(1-EXP(-LN(2)/25))/(LN(2)/25)*Calculateur!ER101*Calculateur!ET101*VLOOKUP('Données projet'!$B$15,Paramètres!$A$1:$I$89,3,0)*0.475*44/12</f>
        <v>1.5928713861260533</v>
      </c>
      <c r="EX101" s="21">
        <f>EXP(-LN(2)/2)*EX100+(1-EXP(-LN(2)/2))/(LN(2)/2)*ER101*EU101*VLOOKUP('Données projet'!$B$15,Paramètres!$A$1:$I$89,3,0)*0.475*44/12</f>
        <v>5.5675037388568471E-10</v>
      </c>
      <c r="EY101" s="22">
        <f t="shared" si="75"/>
        <v>3.7232266914949141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5</v>
      </c>
      <c r="FE101" s="12">
        <f>IF('Données projet'!$A$218&gt;35,FE100+FD101-FM100,IF(A101&lt;'Données projet'!$A$218,$FB$205^A101,IF(A101='Données projet'!$A$218,'Données projet'!$B$218,FE100+FD101-FM100)))</f>
        <v>322.99999999999989</v>
      </c>
      <c r="FF101" s="17">
        <f>FE101*VLOOKUP('Données projet'!$B$16,Paramètres!$A$1:$I$89,3,0)*VLOOKUP('Données projet'!$B$16,Paramètres!$A$1:$I$89,5,0)</f>
        <v>292.2503999999999</v>
      </c>
      <c r="FG101" s="13">
        <f t="shared" si="101"/>
        <v>69.549383363839922</v>
      </c>
      <c r="FH101" s="20">
        <f t="shared" si="76"/>
        <v>630.13462269202103</v>
      </c>
      <c r="FI101" s="59">
        <f t="shared" si="77"/>
        <v>923.4679560253544</v>
      </c>
      <c r="FJ101" s="59">
        <f ca="1">AVERAGE(OFFSET($FI$3,0,0,'Données projet'!$E$16+1,1))-AVERAGE(OFFSET($H$3,0,0,'Données projet'!$E$16+1,1))</f>
        <v>326.46362829268969</v>
      </c>
      <c r="FK101" s="59">
        <f t="shared" si="102"/>
        <v>203.5274665601915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1.9009324258323428</v>
      </c>
      <c r="FR101" s="21">
        <f>EXP(-LN(2)/25)*FR100+(1-EXP(-LN(2)/25))/(LN(2)/25)*Calculateur!FM101*Calculateur!FO101*VLOOKUP('Données projet'!$B$16,Paramètres!$A$1:$I$89,3,0)*0.475*44/12</f>
        <v>1.4213313906970919</v>
      </c>
      <c r="FS101" s="21">
        <f>EXP(-LN(2)/2)*FS100+(1-EXP(-LN(2)/2))/(LN(2)/2)*FM101*FP101*VLOOKUP('Données projet'!$B$16,Paramètres!$A$1:$I$89,3,0)*0.475*44/12</f>
        <v>4.9679264131338018E-10</v>
      </c>
      <c r="FT101" s="22">
        <f t="shared" si="78"/>
        <v>3.3222638170262275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5</v>
      </c>
      <c r="FZ101" s="12">
        <f>IF('Données projet'!$A$244&gt;35,FZ100+FY101-GH100,IF(A101&lt;'Données projet'!$A$244,$FW$205^A101,IF(A101='Données projet'!$A$244,'Données projet'!$B$244,FZ100+FY101-GH100)))</f>
        <v>322.99999999999989</v>
      </c>
      <c r="GA101" s="17">
        <f>FZ101*VLOOKUP('Données projet'!$B$17,Paramètres!$A$1:$I$89,3,0)*VLOOKUP('Données projet'!$B$17,Paramètres!$A$1:$I$89,5,0)</f>
        <v>312.40559999999994</v>
      </c>
      <c r="GB101" s="13">
        <f t="shared" si="103"/>
        <v>73.77098895667821</v>
      </c>
      <c r="GC101" s="20">
        <f t="shared" si="79"/>
        <v>672.59089243288099</v>
      </c>
      <c r="GD101" s="59">
        <f t="shared" si="80"/>
        <v>965.92422576621425</v>
      </c>
      <c r="GE101" s="59">
        <f ca="1">AVERAGE(OFFSET($GD$3,0,0,'Données projet'!$E$17+1,1))-AVERAGE(OFFSET($H$3,0,0,'Données projet'!$E$17+1,1))</f>
        <v>353.24082990916918</v>
      </c>
      <c r="GF101" s="59">
        <f t="shared" si="104"/>
        <v>219.76562717496353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2.0320312138207814</v>
      </c>
      <c r="GM101" s="21">
        <f>EXP(-LN(2)/25)*GM100+(1-EXP(-LN(2)/25))/(LN(2)/25)*Calculateur!GH101*Calculateur!GJ101*VLOOKUP('Données projet'!$B$17,Paramètres!$A$1:$I$89,3,0)*0.475*44/12</f>
        <v>1.5193542452279272</v>
      </c>
      <c r="GN101" s="21">
        <f>EXP(-LN(2)/2)*GN100+(1-EXP(-LN(2)/2))/(LN(2)/2)*GH101*GK101*VLOOKUP('Données projet'!$B$17,Paramètres!$A$1:$I$89,3,0)*0.475*44/12</f>
        <v>5.3105420278326862E-10</v>
      </c>
      <c r="GO101" s="21">
        <f t="shared" si="81"/>
        <v>3.5513854595797629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378.17323480030268</v>
      </c>
      <c r="T102" s="59">
        <f t="shared" si="88"/>
        <v>471.89239871617241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1.1232268462820543</v>
      </c>
      <c r="AA102" s="21">
        <f>EXP(-LN(2)/25)*AA101+(1-EXP(-LN(2)/25))/(LN(2)/25)*Calculateur!V102*Calculateur!X102*VLOOKUP('Données projet'!$B$9,Paramètres!$A$1:$I$89,3,0)*0.475*44/12</f>
        <v>3.0707869191778245</v>
      </c>
      <c r="AB102" s="21">
        <f>EXP(-LN(2)/2)*AB101+(1-EXP(-LN(2)/2))/(LN(2)/2)*V102*Y102*VLOOKUP('Données projet'!$B$9,Paramètres!$A$1:$I$89,3,0)*0.475*44/12</f>
        <v>4.3054779424451214E-10</v>
      </c>
      <c r="AC102" s="22">
        <f t="shared" si="57"/>
        <v>4.1940137658904266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141.22849894256314</v>
      </c>
      <c r="AO102" s="59">
        <f t="shared" si="90"/>
        <v>156.12101479343704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1.8756124733059711</v>
      </c>
      <c r="AV102" s="21">
        <f>EXP(-LN(2)/25)*AV101+(1-EXP(-LN(2)/25))/(LN(2)/25)*Calculateur!AQ102*Calculateur!AS102*VLOOKUP('Données projet'!$B$10,Paramètres!$A$1:$I$89,3,0)*0.475*44/12</f>
        <v>0.88907160794262741</v>
      </c>
      <c r="AW102" s="21">
        <f>EXP(-LN(2)/2)*AW101+(1-EXP(-LN(2)/2))/(LN(2)/2)*AQ102*AT102*VLOOKUP('Données projet'!$B$10,Paramètres!$A$1:$I$89,3,0)*0.475*44/12</f>
        <v>1.2174722354404209E-10</v>
      </c>
      <c r="AX102" s="21">
        <f t="shared" si="60"/>
        <v>2.7646840813703455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114.25511901730295</v>
      </c>
      <c r="BJ102" s="59">
        <f t="shared" si="92"/>
        <v>180.96261947642182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0.87168595047384256</v>
      </c>
      <c r="BQ102" s="21">
        <f>EXP(-LN(2)/25)*BQ101+(1-EXP(-LN(2)/25))/(LN(2)/25)*Calculateur!BL102*Calculateur!BN102*VLOOKUP('Données projet'!$B$11,Paramètres!$A$1:$I$89,3,0)*0.475*44/12</f>
        <v>2.6299520290226726</v>
      </c>
      <c r="BR102" s="21">
        <f>EXP(-LN(2)/2)*BR101+(1-EXP(-LN(2)/2))/(LN(2)/2)*BL102*BO102*VLOOKUP('Données projet'!$B$11,Paramètres!$A$1:$I$89,3,0)*0.475*44/12</f>
        <v>2.8120107891963178E-10</v>
      </c>
      <c r="BS102" s="22">
        <f t="shared" si="63"/>
        <v>3.5016379797777164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4.4337866711430253E-14</v>
      </c>
      <c r="CA102" s="13">
        <f t="shared" si="93"/>
        <v>7.3222115536967035E-13</v>
      </c>
      <c r="CB102" s="20">
        <f t="shared" si="64"/>
        <v>1.3525069634579169E-12</v>
      </c>
      <c r="CC102" s="59">
        <f t="shared" si="65"/>
        <v>293.33333333333468</v>
      </c>
      <c r="CD102" s="59">
        <f ca="1">AVERAGE(OFFSET($CC$3,0,0,'Données projet'!$E$12+1,1))-AVERAGE(OFFSET($H$3,0,0,'Données projet'!$E$12+1,1))</f>
        <v>216.95993967070063</v>
      </c>
      <c r="CE102" s="59">
        <f t="shared" si="94"/>
        <v>208.79744153433245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1.3174916842150572</v>
      </c>
      <c r="CL102" s="21">
        <f>EXP(-LN(2)/25)*CL101+(1-EXP(-LN(2)/25))/(LN(2)/25)*Calculateur!CG102*Calculateur!CI102*VLOOKUP('Données projet'!$B$12,Paramètres!$A$1:$I$89,3,0)*0.475*44/12</f>
        <v>0.94735632759121091</v>
      </c>
      <c r="CM102" s="21">
        <f>EXP(-LN(2)/2)*CM101+(1-EXP(-LN(2)/2))/(LN(2)/2)*CG102*CJ102*VLOOKUP('Données projet'!$B$12,Paramètres!$A$1:$I$89,3,0)*0.475*44/12</f>
        <v>5.0774125511061631E-11</v>
      </c>
      <c r="CN102" s="22">
        <f t="shared" si="66"/>
        <v>2.2648480118570422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3.813056537183002E-14</v>
      </c>
      <c r="CV102" s="13">
        <f t="shared" si="95"/>
        <v>6.4086286045526829E-13</v>
      </c>
      <c r="CW102" s="20">
        <f t="shared" si="67"/>
        <v>1.1825802166488628E-12</v>
      </c>
      <c r="CX102" s="59">
        <f t="shared" si="68"/>
        <v>293.33333333333451</v>
      </c>
      <c r="CY102" s="59">
        <f ca="1">AVERAGE(OFFSET($CX$3,0,0,'Données projet'!$E$13+1,1))-AVERAGE(OFFSET($H$3,0,0,'Données projet'!$E$13+1,1))</f>
        <v>181.32837315090507</v>
      </c>
      <c r="CZ102" s="59">
        <f t="shared" si="96"/>
        <v>175.03267817980338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1.3965411852679592</v>
      </c>
      <c r="DG102" s="21">
        <f>EXP(-LN(2)/25)*DG101+(1-EXP(-LN(2)/25))/(LN(2)/25)*Calculateur!DB102*Calculateur!DD102*VLOOKUP('Données projet'!$B$13,Paramètres!$A$1:$I$89,3,0)*0.475*44/12</f>
        <v>1.0041977072466839</v>
      </c>
      <c r="DH102" s="21">
        <f>EXP(-LN(2)/2)*DH101+(1-EXP(-LN(2)/2))/(LN(2)/2)*DB102*DE102*VLOOKUP('Données projet'!$B$13,Paramètres!$A$1:$I$89,3,0)*0.475*44/12</f>
        <v>4.3665747939512984E-11</v>
      </c>
      <c r="DI102" s="22">
        <f t="shared" si="69"/>
        <v>2.4007388925583091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-2.8421709430404007E-13</v>
      </c>
      <c r="DP102" s="17">
        <f>DO102*VLOOKUP('Données projet'!$B$14,Paramètres!$A$1:$I$89,3,0)*VLOOKUP('Données projet'!$B$14,Paramètres!$A$1:$I$89,5,0)</f>
        <v>-2.2612312022829427E-13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325.72928944930294</v>
      </c>
      <c r="DU102" s="59">
        <f t="shared" si="98"/>
        <v>318.38876834819752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4.4151817982326875</v>
      </c>
      <c r="EB102" s="21">
        <f>EXP(-LN(2)/25)*EB101+(1-EXP(-LN(2)/25))/(LN(2)/25)*Calculateur!DW102*Calculateur!DY102*VLOOKUP('Données projet'!$B$14,Paramètres!$A$1:$I$89,3,0)*0.475*44/12</f>
        <v>3.0528484427882039</v>
      </c>
      <c r="EC102" s="21">
        <f>EXP(-LN(2)/2)*EC101+(1-EXP(-LN(2)/2))/(LN(2)/2)*DW102*DZ102*VLOOKUP('Données projet'!$B$14,Paramètres!$A$1:$I$89,3,0)*0.475*44/12</f>
        <v>4.8689986362273225E-10</v>
      </c>
      <c r="ED102" s="22">
        <f t="shared" si="72"/>
        <v>7.4680302415077913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</v>
      </c>
      <c r="EJ102" s="12">
        <f>IF('Données projet'!$A$192&gt;35,EJ101+EI102-ER101,IF(A102&lt;'Données projet'!$A$192,$EG$205^A102,IF(A102='Données projet'!$A$192,'Données projet'!$B$192,EJ101+EI102-ER101)))</f>
        <v>328</v>
      </c>
      <c r="EK102" s="17">
        <f>EJ102*VLOOKUP('Données projet'!$B$15,Paramètres!$A$1:$I$89,3,0)*VLOOKUP('Données projet'!$B$15,Paramètres!$A$1:$I$89,5,0)</f>
        <v>332.59200000000004</v>
      </c>
      <c r="EL102" s="13">
        <f t="shared" si="99"/>
        <v>77.967449959094594</v>
      </c>
      <c r="EM102" s="20">
        <f t="shared" si="73"/>
        <v>715.05770867875651</v>
      </c>
      <c r="EN102" s="59">
        <f t="shared" si="74"/>
        <v>1008.3910420120899</v>
      </c>
      <c r="EO102" s="59">
        <f ca="1">AVERAGE(OFFSET($EN$3,0,0,'Données projet'!$E$15+1,1))-AVERAGE(OFFSET($H$3,0,0,'Données projet'!$E$15+1,1))</f>
        <v>384.50065773787549</v>
      </c>
      <c r="EP102" s="59">
        <f t="shared" si="100"/>
        <v>231.92898690465887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2.0885803366731772</v>
      </c>
      <c r="EW102" s="21">
        <f>EXP(-LN(2)/25)*EW101+(1-EXP(-LN(2)/25))/(LN(2)/25)*Calculateur!ER102*Calculateur!ET102*VLOOKUP('Données projet'!$B$15,Paramètres!$A$1:$I$89,3,0)*0.475*44/12</f>
        <v>1.5493142343069708</v>
      </c>
      <c r="EX102" s="21">
        <f>EXP(-LN(2)/2)*EX101+(1-EXP(-LN(2)/2))/(LN(2)/2)*ER102*EU102*VLOOKUP('Données projet'!$B$15,Paramètres!$A$1:$I$89,3,0)*0.475*44/12</f>
        <v>3.9368196480271339E-10</v>
      </c>
      <c r="EY102" s="22">
        <f t="shared" si="75"/>
        <v>3.6378945713738298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5</v>
      </c>
      <c r="FE102" s="12">
        <f>IF('Données projet'!$A$218&gt;35,FE101+FD102-FM101,IF(A102&lt;'Données projet'!$A$218,$FB$205^A102,IF(A102='Données projet'!$A$218,'Données projet'!$B$218,FE101+FD102-FM101)))</f>
        <v>327.99999999999989</v>
      </c>
      <c r="FF102" s="17">
        <f>FE102*VLOOKUP('Données projet'!$B$16,Paramètres!$A$1:$I$89,3,0)*VLOOKUP('Données projet'!$B$16,Paramètres!$A$1:$I$89,5,0)</f>
        <v>296.7743999999999</v>
      </c>
      <c r="FG102" s="13">
        <f t="shared" si="101"/>
        <v>70.499828966950673</v>
      </c>
      <c r="FH102" s="20">
        <f t="shared" si="76"/>
        <v>639.6692821174388</v>
      </c>
      <c r="FI102" s="59">
        <f t="shared" si="77"/>
        <v>933.00261545077205</v>
      </c>
      <c r="FJ102" s="59">
        <f ca="1">AVERAGE(OFFSET($FI$3,0,0,'Données projet'!$E$16+1,1))-AVERAGE(OFFSET($H$3,0,0,'Données projet'!$E$16+1,1))</f>
        <v>326.46362829268969</v>
      </c>
      <c r="FK102" s="59">
        <f t="shared" si="102"/>
        <v>203.5274665601915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1.8636563004160638</v>
      </c>
      <c r="FR102" s="21">
        <f>EXP(-LN(2)/25)*FR101+(1-EXP(-LN(2)/25))/(LN(2)/25)*Calculateur!FM102*Calculateur!FO102*VLOOKUP('Données projet'!$B$16,Paramètres!$A$1:$I$89,3,0)*0.475*44/12</f>
        <v>1.3824650090739106</v>
      </c>
      <c r="FS102" s="21">
        <f>EXP(-LN(2)/2)*FS101+(1-EXP(-LN(2)/2))/(LN(2)/2)*FM102*FP102*VLOOKUP('Données projet'!$B$16,Paramètres!$A$1:$I$89,3,0)*0.475*44/12</f>
        <v>3.5128544551626731E-10</v>
      </c>
      <c r="FT102" s="22">
        <f t="shared" si="78"/>
        <v>3.2461213098412602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5</v>
      </c>
      <c r="FZ102" s="12">
        <f>IF('Données projet'!$A$244&gt;35,FZ101+FY102-GH101,IF(A102&lt;'Données projet'!$A$244,$FW$205^A102,IF(A102='Données projet'!$A$244,'Données projet'!$B$244,FZ101+FY102-GH101)))</f>
        <v>327.99999999999989</v>
      </c>
      <c r="GA102" s="17">
        <f>FZ102*VLOOKUP('Données projet'!$B$17,Paramètres!$A$1:$I$89,3,0)*VLOOKUP('Données projet'!$B$17,Paramètres!$A$1:$I$89,5,0)</f>
        <v>317.24159999999989</v>
      </c>
      <c r="GB102" s="13">
        <f t="shared" si="103"/>
        <v>74.779126034245181</v>
      </c>
      <c r="GC102" s="20">
        <f t="shared" si="79"/>
        <v>682.76943117631015</v>
      </c>
      <c r="GD102" s="59">
        <f t="shared" si="80"/>
        <v>976.10276450964352</v>
      </c>
      <c r="GE102" s="59">
        <f ca="1">AVERAGE(OFFSET($GD$3,0,0,'Données projet'!$E$17+1,1))-AVERAGE(OFFSET($H$3,0,0,'Données projet'!$E$17+1,1))</f>
        <v>353.24082990916918</v>
      </c>
      <c r="GF102" s="59">
        <f t="shared" si="104"/>
        <v>219.76562717496353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1.9921843211344141</v>
      </c>
      <c r="GM102" s="21">
        <f>EXP(-LN(2)/25)*GM101+(1-EXP(-LN(2)/25))/(LN(2)/25)*Calculateur!GH102*Calculateur!GJ102*VLOOKUP('Données projet'!$B$17,Paramètres!$A$1:$I$89,3,0)*0.475*44/12</f>
        <v>1.4778074234928023</v>
      </c>
      <c r="GN102" s="21">
        <f>EXP(-LN(2)/2)*GN101+(1-EXP(-LN(2)/2))/(LN(2)/2)*GH102*GK102*VLOOKUP('Données projet'!$B$17,Paramètres!$A$1:$I$89,3,0)*0.475*44/12</f>
        <v>3.7551202796566517E-10</v>
      </c>
      <c r="GO102" s="21">
        <f t="shared" si="81"/>
        <v>3.4699917450027282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378.17323480030268</v>
      </c>
      <c r="T103" s="59">
        <f t="shared" si="88"/>
        <v>471.89239871617241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1.1012010529271914</v>
      </c>
      <c r="AA103" s="21">
        <f>EXP(-LN(2)/25)*AA102+(1-EXP(-LN(2)/25))/(LN(2)/25)*Calculateur!V103*Calculateur!X103*VLOOKUP('Données projet'!$B$9,Paramètres!$A$1:$I$89,3,0)*0.475*44/12</f>
        <v>2.9868160893872413</v>
      </c>
      <c r="AB103" s="21">
        <f>EXP(-LN(2)/2)*AB102+(1-EXP(-LN(2)/2))/(LN(2)/2)*V103*Y103*VLOOKUP('Données projet'!$B$9,Paramètres!$A$1:$I$89,3,0)*0.475*44/12</f>
        <v>3.0444326493520493E-10</v>
      </c>
      <c r="AC103" s="22">
        <f t="shared" si="57"/>
        <v>4.0880171426188765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141.22849894256314</v>
      </c>
      <c r="AO103" s="59">
        <f t="shared" si="90"/>
        <v>156.12101479343704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1.838832856715088</v>
      </c>
      <c r="AV103" s="21">
        <f>EXP(-LN(2)/25)*AV102+(1-EXP(-LN(2)/25))/(LN(2)/25)*Calculateur!AQ103*Calculateur!AS103*VLOOKUP('Données projet'!$B$10,Paramètres!$A$1:$I$89,3,0)*0.475*44/12</f>
        <v>0.8647598980691924</v>
      </c>
      <c r="AW103" s="21">
        <f>EXP(-LN(2)/2)*AW102+(1-EXP(-LN(2)/2))/(LN(2)/2)*AQ103*AT103*VLOOKUP('Données projet'!$B$10,Paramètres!$A$1:$I$89,3,0)*0.475*44/12</f>
        <v>8.6088287358626659E-11</v>
      </c>
      <c r="AX103" s="21">
        <f t="shared" si="60"/>
        <v>2.7035927548703689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114.25511901730295</v>
      </c>
      <c r="BJ103" s="59">
        <f t="shared" si="92"/>
        <v>180.96261947642182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0.85459272066098169</v>
      </c>
      <c r="BQ103" s="21">
        <f>EXP(-LN(2)/25)*BQ102+(1-EXP(-LN(2)/25))/(LN(2)/25)*Calculateur!BL103*Calculateur!BN103*VLOOKUP('Données projet'!$B$11,Paramètres!$A$1:$I$89,3,0)*0.475*44/12</f>
        <v>2.5580358524858813</v>
      </c>
      <c r="BR103" s="21">
        <f>EXP(-LN(2)/2)*BR102+(1-EXP(-LN(2)/2))/(LN(2)/2)*BL103*BO103*VLOOKUP('Données projet'!$B$11,Paramètres!$A$1:$I$89,3,0)*0.475*44/12</f>
        <v>1.9883918978104516E-10</v>
      </c>
      <c r="BS103" s="22">
        <f t="shared" si="63"/>
        <v>3.4126285733457022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4.4337866711430253E-14</v>
      </c>
      <c r="CA103" s="13">
        <f t="shared" si="93"/>
        <v>7.3222115536967035E-13</v>
      </c>
      <c r="CB103" s="20">
        <f t="shared" si="64"/>
        <v>1.3525069634579169E-12</v>
      </c>
      <c r="CC103" s="59">
        <f t="shared" si="65"/>
        <v>293.33333333333468</v>
      </c>
      <c r="CD103" s="59">
        <f ca="1">AVERAGE(OFFSET($CC$3,0,0,'Données projet'!$E$12+1,1))-AVERAGE(OFFSET($H$3,0,0,'Données projet'!$E$12+1,1))</f>
        <v>216.95993967070063</v>
      </c>
      <c r="CE103" s="59">
        <f t="shared" si="94"/>
        <v>208.79744153433245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1.2916564758781794</v>
      </c>
      <c r="CL103" s="21">
        <f>EXP(-LN(2)/25)*CL102+(1-EXP(-LN(2)/25))/(LN(2)/25)*Calculateur!CG103*Calculateur!CI103*VLOOKUP('Données projet'!$B$12,Paramètres!$A$1:$I$89,3,0)*0.475*44/12</f>
        <v>0.92145081899392522</v>
      </c>
      <c r="CM103" s="21">
        <f>EXP(-LN(2)/2)*CM102+(1-EXP(-LN(2)/2))/(LN(2)/2)*CG103*CJ103*VLOOKUP('Données projet'!$B$12,Paramètres!$A$1:$I$89,3,0)*0.475*44/12</f>
        <v>3.5902728457688556E-11</v>
      </c>
      <c r="CN103" s="22">
        <f t="shared" si="66"/>
        <v>2.2131072949080073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3.813056537183002E-14</v>
      </c>
      <c r="CV103" s="13">
        <f t="shared" si="95"/>
        <v>6.4086286045526829E-13</v>
      </c>
      <c r="CW103" s="20">
        <f t="shared" si="67"/>
        <v>1.1825802166488628E-12</v>
      </c>
      <c r="CX103" s="59">
        <f t="shared" si="68"/>
        <v>293.33333333333451</v>
      </c>
      <c r="CY103" s="59">
        <f ca="1">AVERAGE(OFFSET($CX$3,0,0,'Données projet'!$E$13+1,1))-AVERAGE(OFFSET($H$3,0,0,'Données projet'!$E$13+1,1))</f>
        <v>181.32837315090507</v>
      </c>
      <c r="CZ103" s="59">
        <f t="shared" si="96"/>
        <v>175.03267817980338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1.3691558644308688</v>
      </c>
      <c r="DG103" s="21">
        <f>EXP(-LN(2)/25)*DG102+(1-EXP(-LN(2)/25))/(LN(2)/25)*Calculateur!DB103*Calculateur!DD103*VLOOKUP('Données projet'!$B$13,Paramètres!$A$1:$I$89,3,0)*0.475*44/12</f>
        <v>0.976737868133561</v>
      </c>
      <c r="DH103" s="21">
        <f>EXP(-LN(2)/2)*DH102+(1-EXP(-LN(2)/2))/(LN(2)/2)*DB103*DE103*VLOOKUP('Données projet'!$B$13,Paramètres!$A$1:$I$89,3,0)*0.475*44/12</f>
        <v>3.0876346473612145E-11</v>
      </c>
      <c r="DI103" s="22">
        <f t="shared" si="69"/>
        <v>2.345893732595306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-2.8421709430404007E-13</v>
      </c>
      <c r="DP103" s="17">
        <f>DO103*VLOOKUP('Données projet'!$B$14,Paramètres!$A$1:$I$89,3,0)*VLOOKUP('Données projet'!$B$14,Paramètres!$A$1:$I$89,5,0)</f>
        <v>-2.2612312022829427E-13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325.72928944930294</v>
      </c>
      <c r="DU103" s="59">
        <f t="shared" si="98"/>
        <v>318.38876834819752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4.3286027761643302</v>
      </c>
      <c r="EB103" s="21">
        <f>EXP(-LN(2)/25)*EB102+(1-EXP(-LN(2)/25))/(LN(2)/25)*Calculateur!DW103*Calculateur!DY103*VLOOKUP('Données projet'!$B$14,Paramètres!$A$1:$I$89,3,0)*0.475*44/12</f>
        <v>2.9693681415778381</v>
      </c>
      <c r="EC103" s="21">
        <f>EXP(-LN(2)/2)*EC102+(1-EXP(-LN(2)/2))/(LN(2)/2)*DW103*DZ103*VLOOKUP('Données projet'!$B$14,Paramètres!$A$1:$I$89,3,0)*0.475*44/12</f>
        <v>3.4429019532643917E-10</v>
      </c>
      <c r="ED103" s="22">
        <f t="shared" si="72"/>
        <v>7.2979709180864578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333</v>
      </c>
      <c r="EH103" s="12">
        <f>VLOOKUP(A103,'Données projet'!$A$191:$I$211,9,0)</f>
        <v>5</v>
      </c>
      <c r="EI103" s="12">
        <f t="array" ref="EI103">INDEX(EH:EH,MIN(IF(ISNUMBER(EH103:EH299),ROW(EH103:EH299),"")))</f>
        <v>5</v>
      </c>
      <c r="EJ103" s="12">
        <f>IF('Données projet'!$A$192&gt;35,EJ102+EI103-ER102,IF(A103&lt;'Données projet'!$A$192,$EG$205^A103,IF(A103='Données projet'!$A$192,'Données projet'!$B$192,EJ102+EI103-ER102)))</f>
        <v>333</v>
      </c>
      <c r="EK103" s="17">
        <f>EJ103*VLOOKUP('Données projet'!$B$15,Paramètres!$A$1:$I$89,3,0)*VLOOKUP('Données projet'!$B$15,Paramètres!$A$1:$I$89,5,0)</f>
        <v>337.66200000000003</v>
      </c>
      <c r="EL103" s="13">
        <f t="shared" si="99"/>
        <v>79.016707002632685</v>
      </c>
      <c r="EM103" s="20">
        <f t="shared" si="73"/>
        <v>725.71541469625208</v>
      </c>
      <c r="EN103" s="59">
        <f t="shared" si="74"/>
        <v>1019.0487480295853</v>
      </c>
      <c r="EO103" s="59">
        <f ca="1">AVERAGE(OFFSET($EN$3,0,0,'Données projet'!$E$15+1,1))-AVERAGE(OFFSET($H$3,0,0,'Données projet'!$E$15+1,1))</f>
        <v>384.50065773787549</v>
      </c>
      <c r="EP103" s="59">
        <f t="shared" si="100"/>
        <v>231.92898690465887</v>
      </c>
      <c r="EQ103" s="15">
        <f>IF(ISNA(VLOOKUP(A103,'Données projet'!$A$191:$I$211,3,0)),0,VLOOKUP(A103,'Données projet'!$A$191:$I$211,3,0))</f>
        <v>17</v>
      </c>
      <c r="ER103" s="15">
        <f>IF(ISNA(VLOOKUP(A103,'Données projet'!$A$191:$I$211,4,0)),0,VLOOKUP(A103,'Données projet'!$A$191:$I$211,4,0))</f>
        <v>27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2.0476245501792336</v>
      </c>
      <c r="EW103" s="21">
        <f>EXP(-LN(2)/25)*EW102+(1-EXP(-LN(2)/25))/(LN(2)/25)*Calculateur!ER103*Calculateur!ET103*VLOOKUP('Données projet'!$B$15,Paramètres!$A$1:$I$89,3,0)*0.475*44/12</f>
        <v>1.5069481550949522</v>
      </c>
      <c r="EX103" s="21">
        <f>EXP(-LN(2)/2)*EX102+(1-EXP(-LN(2)/2))/(LN(2)/2)*ER103*EU103*VLOOKUP('Données projet'!$B$15,Paramètres!$A$1:$I$89,3,0)*0.475*44/12</f>
        <v>2.7837518694284236E-10</v>
      </c>
      <c r="EY103" s="22">
        <f t="shared" si="75"/>
        <v>3.5545727055525611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333</v>
      </c>
      <c r="FC103" s="12">
        <f>VLOOKUP(A103,'Données projet'!$A$217:$I$237,9,0)</f>
        <v>5</v>
      </c>
      <c r="FD103" s="12">
        <f t="array" ref="FD103">INDEX(FC:FC,MIN(IF(ISNUMBER(FC103:FC299),ROW(FC103:FC299),"")))</f>
        <v>5</v>
      </c>
      <c r="FE103" s="12">
        <f>IF('Données projet'!$A$218&gt;35,FE102+FD103-FM102,IF(A103&lt;'Données projet'!$A$218,$FB$205^A103,IF(A103='Données projet'!$A$218,'Données projet'!$B$218,FE102+FD103-FM102)))</f>
        <v>332.99999999999989</v>
      </c>
      <c r="FF103" s="17">
        <f>FE103*VLOOKUP('Données projet'!$B$16,Paramètres!$A$1:$I$89,3,0)*VLOOKUP('Données projet'!$B$16,Paramètres!$A$1:$I$89,5,0)</f>
        <v>301.2983999999999</v>
      </c>
      <c r="FG103" s="13">
        <f t="shared" si="101"/>
        <v>71.448589534990518</v>
      </c>
      <c r="FH103" s="20">
        <f t="shared" si="76"/>
        <v>649.20100677344158</v>
      </c>
      <c r="FI103" s="59">
        <f t="shared" si="77"/>
        <v>942.53434010677483</v>
      </c>
      <c r="FJ103" s="59">
        <f ca="1">AVERAGE(OFFSET($FI$3,0,0,'Données projet'!$E$16+1,1))-AVERAGE(OFFSET($H$3,0,0,'Données projet'!$E$16+1,1))</f>
        <v>326.46362829268969</v>
      </c>
      <c r="FK103" s="59">
        <f t="shared" si="102"/>
        <v>203.5274665601915</v>
      </c>
      <c r="FL103" s="15">
        <f>IF(ISNA(VLOOKUP(A103,'Données projet'!$A$217:$I$237,3,0)),0,VLOOKUP(A103,'Données projet'!$A$217:$I$237,3,0))</f>
        <v>17</v>
      </c>
      <c r="FM103" s="15">
        <f>IF(ISNA(VLOOKUP(A103,'Données projet'!$A$217:$I$237,4,0)),0,VLOOKUP(A103,'Données projet'!$A$217:$I$237,4,0))</f>
        <v>27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1.8271111370830064</v>
      </c>
      <c r="FR103" s="21">
        <f>EXP(-LN(2)/25)*FR102+(1-EXP(-LN(2)/25))/(LN(2)/25)*Calculateur!FM103*Calculateur!FO103*VLOOKUP('Données projet'!$B$16,Paramètres!$A$1:$I$89,3,0)*0.475*44/12</f>
        <v>1.3446614307001092</v>
      </c>
      <c r="FS103" s="21">
        <f>EXP(-LN(2)/2)*FS102+(1-EXP(-LN(2)/2))/(LN(2)/2)*FM103*FP103*VLOOKUP('Données projet'!$B$16,Paramètres!$A$1:$I$89,3,0)*0.475*44/12</f>
        <v>2.4839632065669009E-10</v>
      </c>
      <c r="FT103" s="22">
        <f t="shared" si="78"/>
        <v>3.1717725680315119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333</v>
      </c>
      <c r="FX103" s="12">
        <f>VLOOKUP(A103,'Données projet'!$A$243:$I$263,9,0)</f>
        <v>5</v>
      </c>
      <c r="FY103" s="12">
        <f t="array" ref="FY103">INDEX(FX:FX,MIN(IF(ISNUMBER(FX103:FX299),ROW(FX103:FX299),"")))</f>
        <v>5</v>
      </c>
      <c r="FZ103" s="12">
        <f>IF('Données projet'!$A$244&gt;35,FZ102+FY103-GH102,IF(A103&lt;'Données projet'!$A$244,$FW$205^A103,IF(A103='Données projet'!$A$244,'Données projet'!$B$244,FZ102+FY103-GH102)))</f>
        <v>332.99999999999989</v>
      </c>
      <c r="GA103" s="17">
        <f>FZ103*VLOOKUP('Données projet'!$B$17,Paramètres!$A$1:$I$89,3,0)*VLOOKUP('Données projet'!$B$17,Paramètres!$A$1:$I$89,5,0)</f>
        <v>322.0775999999999</v>
      </c>
      <c r="GB103" s="13">
        <f t="shared" si="103"/>
        <v>75.785475796129404</v>
      </c>
      <c r="GC103" s="20">
        <f t="shared" si="79"/>
        <v>692.94485701159181</v>
      </c>
      <c r="GD103" s="59">
        <f t="shared" si="80"/>
        <v>986.27819034492518</v>
      </c>
      <c r="GE103" s="59">
        <f ca="1">AVERAGE(OFFSET($GD$3,0,0,'Données projet'!$E$17+1,1))-AVERAGE(OFFSET($H$3,0,0,'Données projet'!$E$17+1,1))</f>
        <v>353.24082990916918</v>
      </c>
      <c r="GF103" s="59">
        <f t="shared" si="104"/>
        <v>219.76562717496353</v>
      </c>
      <c r="GG103" s="15">
        <f>IF(ISNA(VLOOKUP(A103,'Données projet'!$A$243:$I$263,3,0)),0,VLOOKUP(A103,'Données projet'!$A$243:$I$263,3,0))</f>
        <v>17</v>
      </c>
      <c r="GH103" s="15">
        <f>IF(ISNA(VLOOKUP(A103,'Données projet'!$A$243:$I$263,4,0)),0,VLOOKUP(A103,'Données projet'!$A$243:$I$263,4,0))</f>
        <v>27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1.9531188017094219</v>
      </c>
      <c r="GM103" s="21">
        <f>EXP(-LN(2)/25)*GM102+(1-EXP(-LN(2)/25))/(LN(2)/25)*Calculateur!GH103*Calculateur!GJ103*VLOOKUP('Données projet'!$B$17,Paramètres!$A$1:$I$89,3,0)*0.475*44/12</f>
        <v>1.4373967017828768</v>
      </c>
      <c r="GN103" s="21">
        <f>EXP(-LN(2)/2)*GN102+(1-EXP(-LN(2)/2))/(LN(2)/2)*GH103*GK103*VLOOKUP('Données projet'!$B$17,Paramètres!$A$1:$I$89,3,0)*0.475*44/12</f>
        <v>2.6552710139163431E-10</v>
      </c>
      <c r="GO103" s="21">
        <f t="shared" si="81"/>
        <v>3.3905155037578258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378.17323480030268</v>
      </c>
      <c r="T104" s="59">
        <f t="shared" si="88"/>
        <v>471.89239871617241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1.07960717194561</v>
      </c>
      <c r="AA104" s="21">
        <f>EXP(-LN(2)/25)*AA103+(1-EXP(-LN(2)/25))/(LN(2)/25)*Calculateur!V104*Calculateur!X104*VLOOKUP('Données projet'!$B$9,Paramètres!$A$1:$I$89,3,0)*0.475*44/12</f>
        <v>2.9051414463531153</v>
      </c>
      <c r="AB104" s="21">
        <f>EXP(-LN(2)/2)*AB103+(1-EXP(-LN(2)/2))/(LN(2)/2)*V104*Y104*VLOOKUP('Données projet'!$B$9,Paramètres!$A$1:$I$89,3,0)*0.475*44/12</f>
        <v>2.1527389712225607E-10</v>
      </c>
      <c r="AC104" s="22">
        <f t="shared" si="57"/>
        <v>3.9847486185139993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141.22849894256314</v>
      </c>
      <c r="AO104" s="59">
        <f t="shared" si="90"/>
        <v>156.12101479343704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1.8027744659722011</v>
      </c>
      <c r="AV104" s="21">
        <f>EXP(-LN(2)/25)*AV103+(1-EXP(-LN(2)/25))/(LN(2)/25)*Calculateur!AQ104*Calculateur!AS104*VLOOKUP('Données projet'!$B$10,Paramètres!$A$1:$I$89,3,0)*0.475*44/12</f>
        <v>0.84111299318074373</v>
      </c>
      <c r="AW104" s="21">
        <f>EXP(-LN(2)/2)*AW103+(1-EXP(-LN(2)/2))/(LN(2)/2)*AQ104*AT104*VLOOKUP('Données projet'!$B$10,Paramètres!$A$1:$I$89,3,0)*0.475*44/12</f>
        <v>6.0873611772021045E-11</v>
      </c>
      <c r="AX104" s="21">
        <f t="shared" si="60"/>
        <v>2.6438874592138184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114.25511901730295</v>
      </c>
      <c r="BJ104" s="59">
        <f t="shared" si="92"/>
        <v>180.96261947642182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0.83783467865891026</v>
      </c>
      <c r="BQ104" s="21">
        <f>EXP(-LN(2)/25)*BQ103+(1-EXP(-LN(2)/25))/(LN(2)/25)*Calculateur!BL104*Calculateur!BN104*VLOOKUP('Données projet'!$B$11,Paramètres!$A$1:$I$89,3,0)*0.475*44/12</f>
        <v>2.4880862275783957</v>
      </c>
      <c r="BR104" s="21">
        <f>EXP(-LN(2)/2)*BR103+(1-EXP(-LN(2)/2))/(LN(2)/2)*BL104*BO104*VLOOKUP('Données projet'!$B$11,Paramètres!$A$1:$I$89,3,0)*0.475*44/12</f>
        <v>1.4060053945981589E-10</v>
      </c>
      <c r="BS104" s="22">
        <f t="shared" si="63"/>
        <v>3.3259209063779065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4.4337866711430253E-14</v>
      </c>
      <c r="CA104" s="13">
        <f t="shared" si="93"/>
        <v>7.3222115536967035E-13</v>
      </c>
      <c r="CB104" s="20">
        <f t="shared" si="64"/>
        <v>1.3525069634579169E-12</v>
      </c>
      <c r="CC104" s="59">
        <f t="shared" si="65"/>
        <v>293.33333333333468</v>
      </c>
      <c r="CD104" s="59">
        <f ca="1">AVERAGE(OFFSET($CC$3,0,0,'Données projet'!$E$12+1,1))-AVERAGE(OFFSET($H$3,0,0,'Données projet'!$E$12+1,1))</f>
        <v>216.95993967070063</v>
      </c>
      <c r="CE104" s="59">
        <f t="shared" si="94"/>
        <v>208.79744153433245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1.2663278802188667</v>
      </c>
      <c r="CL104" s="21">
        <f>EXP(-LN(2)/25)*CL103+(1-EXP(-LN(2)/25))/(LN(2)/25)*Calculateur!CG104*Calculateur!CI104*VLOOKUP('Données projet'!$B$12,Paramètres!$A$1:$I$89,3,0)*0.475*44/12</f>
        <v>0.89625369789154374</v>
      </c>
      <c r="CM104" s="21">
        <f>EXP(-LN(2)/2)*CM103+(1-EXP(-LN(2)/2))/(LN(2)/2)*CG104*CJ104*VLOOKUP('Données projet'!$B$12,Paramètres!$A$1:$I$89,3,0)*0.475*44/12</f>
        <v>2.5387062755530815E-11</v>
      </c>
      <c r="CN104" s="22">
        <f t="shared" si="66"/>
        <v>2.1625815781357978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3.813056537183002E-14</v>
      </c>
      <c r="CV104" s="13">
        <f t="shared" si="95"/>
        <v>6.4086286045526829E-13</v>
      </c>
      <c r="CW104" s="20">
        <f t="shared" si="67"/>
        <v>1.1825802166488628E-12</v>
      </c>
      <c r="CX104" s="59">
        <f t="shared" si="68"/>
        <v>293.33333333333451</v>
      </c>
      <c r="CY104" s="59">
        <f ca="1">AVERAGE(OFFSET($CX$3,0,0,'Données projet'!$E$13+1,1))-AVERAGE(OFFSET($H$3,0,0,'Données projet'!$E$13+1,1))</f>
        <v>181.32837315090507</v>
      </c>
      <c r="CZ104" s="59">
        <f t="shared" si="96"/>
        <v>175.03267817980338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1.3423075530319972</v>
      </c>
      <c r="DG104" s="21">
        <f>EXP(-LN(2)/25)*DG103+(1-EXP(-LN(2)/25))/(LN(2)/25)*Calculateur!DB104*Calculateur!DD104*VLOOKUP('Données projet'!$B$13,Paramètres!$A$1:$I$89,3,0)*0.475*44/12</f>
        <v>0.95002891976503667</v>
      </c>
      <c r="DH104" s="21">
        <f>EXP(-LN(2)/2)*DH103+(1-EXP(-LN(2)/2))/(LN(2)/2)*DB104*DE104*VLOOKUP('Données projet'!$B$13,Paramètres!$A$1:$I$89,3,0)*0.475*44/12</f>
        <v>2.1832873969756492E-11</v>
      </c>
      <c r="DI104" s="22">
        <f t="shared" si="69"/>
        <v>2.2923364728188669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-2.8421709430404007E-13</v>
      </c>
      <c r="DP104" s="17">
        <f>DO104*VLOOKUP('Données projet'!$B$14,Paramètres!$A$1:$I$89,3,0)*VLOOKUP('Données projet'!$B$14,Paramètres!$A$1:$I$89,5,0)</f>
        <v>-2.2612312022829427E-13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325.72928944930294</v>
      </c>
      <c r="DU104" s="59">
        <f t="shared" si="98"/>
        <v>318.38876834819752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4.2437215159107442</v>
      </c>
      <c r="EB104" s="21">
        <f>EXP(-LN(2)/25)*EB103+(1-EXP(-LN(2)/25))/(LN(2)/25)*Calculateur!DW104*Calculateur!DY104*VLOOKUP('Données projet'!$B$14,Paramètres!$A$1:$I$89,3,0)*0.475*44/12</f>
        <v>2.8881706135941081</v>
      </c>
      <c r="EC104" s="21">
        <f>EXP(-LN(2)/2)*EC103+(1-EXP(-LN(2)/2))/(LN(2)/2)*DW104*DZ104*VLOOKUP('Données projet'!$B$14,Paramètres!$A$1:$I$89,3,0)*0.475*44/12</f>
        <v>2.4344993181136612E-10</v>
      </c>
      <c r="ED104" s="22">
        <f t="shared" si="72"/>
        <v>7.1318921297483016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5.4</v>
      </c>
      <c r="EJ104" s="12">
        <f>IF('Données projet'!$A$192&gt;35,EJ103+EI104-ER103,IF(A104&lt;'Données projet'!$A$192,$EG$205^A104,IF(A104='Données projet'!$A$192,'Données projet'!$B$192,EJ103+EI104-ER103)))</f>
        <v>311.39999999999998</v>
      </c>
      <c r="EK104" s="17">
        <f>EJ104*VLOOKUP('Données projet'!$B$15,Paramètres!$A$1:$I$89,3,0)*VLOOKUP('Données projet'!$B$15,Paramètres!$A$1:$I$89,5,0)</f>
        <v>315.75959999999998</v>
      </c>
      <c r="EL104" s="13">
        <f t="shared" si="99"/>
        <v>74.470372149154613</v>
      </c>
      <c r="EM104" s="20">
        <f t="shared" si="73"/>
        <v>679.6505348264443</v>
      </c>
      <c r="EN104" s="59">
        <f t="shared" si="74"/>
        <v>972.98386815977756</v>
      </c>
      <c r="EO104" s="59">
        <f ca="1">AVERAGE(OFFSET($EN$3,0,0,'Données projet'!$E$15+1,1))-AVERAGE(OFFSET($H$3,0,0,'Données projet'!$E$15+1,1))</f>
        <v>384.50065773787549</v>
      </c>
      <c r="EP104" s="59">
        <f t="shared" si="100"/>
        <v>231.92898690465887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2.0074718816778732</v>
      </c>
      <c r="EW104" s="21">
        <f>EXP(-LN(2)/25)*EW103+(1-EXP(-LN(2)/25))/(LN(2)/25)*Calculateur!ER104*Calculateur!ET104*VLOOKUP('Données projet'!$B$15,Paramètres!$A$1:$I$89,3,0)*0.475*44/12</f>
        <v>1.4657405785469213</v>
      </c>
      <c r="EX104" s="21">
        <f>EXP(-LN(2)/2)*EX103+(1-EXP(-LN(2)/2))/(LN(2)/2)*ER104*EU104*VLOOKUP('Données projet'!$B$15,Paramètres!$A$1:$I$89,3,0)*0.475*44/12</f>
        <v>1.9684098240135669E-10</v>
      </c>
      <c r="EY104" s="22">
        <f t="shared" si="75"/>
        <v>3.4732124604216352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5.4</v>
      </c>
      <c r="FE104" s="12">
        <f>IF('Données projet'!$A$218&gt;35,FE103+FD104-FM103,IF(A104&lt;'Données projet'!$A$218,$FB$205^A104,IF(A104='Données projet'!$A$218,'Données projet'!$B$218,FE103+FD104-FM103)))</f>
        <v>311.39999999999986</v>
      </c>
      <c r="FF104" s="17">
        <f>FE104*VLOOKUP('Données projet'!$B$16,Paramètres!$A$1:$I$89,3,0)*VLOOKUP('Données projet'!$B$16,Paramètres!$A$1:$I$89,5,0)</f>
        <v>281.75471999999985</v>
      </c>
      <c r="FG104" s="13">
        <f t="shared" si="101"/>
        <v>67.337696723120317</v>
      </c>
      <c r="FH104" s="20">
        <f t="shared" si="76"/>
        <v>608.0026257927675</v>
      </c>
      <c r="FI104" s="59">
        <f t="shared" si="77"/>
        <v>901.33595912610076</v>
      </c>
      <c r="FJ104" s="59">
        <f ca="1">AVERAGE(OFFSET($FI$3,0,0,'Données projet'!$E$16+1,1))-AVERAGE(OFFSET($H$3,0,0,'Données projet'!$E$16+1,1))</f>
        <v>326.46362829268969</v>
      </c>
      <c r="FK104" s="59">
        <f t="shared" si="102"/>
        <v>203.5274665601915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1.7912826021125616</v>
      </c>
      <c r="FR104" s="21">
        <f>EXP(-LN(2)/25)*FR103+(1-EXP(-LN(2)/25))/(LN(2)/25)*Calculateur!FM104*Calculateur!FO104*VLOOKUP('Données projet'!$B$16,Paramètres!$A$1:$I$89,3,0)*0.475*44/12</f>
        <v>1.3078915931649433</v>
      </c>
      <c r="FS104" s="21">
        <f>EXP(-LN(2)/2)*FS103+(1-EXP(-LN(2)/2))/(LN(2)/2)*FM104*FP104*VLOOKUP('Données projet'!$B$16,Paramètres!$A$1:$I$89,3,0)*0.475*44/12</f>
        <v>1.7564272275813366E-10</v>
      </c>
      <c r="FT104" s="22">
        <f t="shared" si="78"/>
        <v>3.0991741954531475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5.4</v>
      </c>
      <c r="FZ104" s="12">
        <f>IF('Données projet'!$A$244&gt;35,FZ103+FY104-GH103,IF(A104&lt;'Données projet'!$A$244,$FW$205^A104,IF(A104='Données projet'!$A$244,'Données projet'!$B$244,FZ103+FY104-GH103)))</f>
        <v>311.39999999999986</v>
      </c>
      <c r="GA104" s="17">
        <f>FZ104*VLOOKUP('Données projet'!$B$17,Paramètres!$A$1:$I$89,3,0)*VLOOKUP('Données projet'!$B$17,Paramètres!$A$1:$I$89,5,0)</f>
        <v>301.18607999999989</v>
      </c>
      <c r="GB104" s="13">
        <f t="shared" si="103"/>
        <v>71.425054271756295</v>
      </c>
      <c r="GC104" s="20">
        <f t="shared" si="79"/>
        <v>648.96439218997534</v>
      </c>
      <c r="GD104" s="59">
        <f t="shared" si="80"/>
        <v>942.2977255233086</v>
      </c>
      <c r="GE104" s="59">
        <f ca="1">AVERAGE(OFFSET($GD$3,0,0,'Données projet'!$E$17+1,1))-AVERAGE(OFFSET($H$3,0,0,'Données projet'!$E$17+1,1))</f>
        <v>353.24082990916918</v>
      </c>
      <c r="GF104" s="59">
        <f t="shared" si="104"/>
        <v>219.76562717496353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1.9148193332927395</v>
      </c>
      <c r="GM104" s="21">
        <f>EXP(-LN(2)/25)*GM103+(1-EXP(-LN(2)/25))/(LN(2)/25)*Calculateur!GH104*Calculateur!GJ104*VLOOKUP('Données projet'!$B$17,Paramètres!$A$1:$I$89,3,0)*0.475*44/12</f>
        <v>1.3980910133832167</v>
      </c>
      <c r="GN104" s="21">
        <f>EXP(-LN(2)/2)*GN103+(1-EXP(-LN(2)/2))/(LN(2)/2)*GH104*GK104*VLOOKUP('Données projet'!$B$17,Paramètres!$A$1:$I$89,3,0)*0.475*44/12</f>
        <v>1.8775601398283258E-10</v>
      </c>
      <c r="GO104" s="21">
        <f t="shared" si="81"/>
        <v>3.312910346863712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378.17323480030268</v>
      </c>
      <c r="T105" s="59">
        <f t="shared" si="88"/>
        <v>471.89239871617241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1.0584367337991105</v>
      </c>
      <c r="AA105" s="21">
        <f>EXP(-LN(2)/25)*AA104+(1-EXP(-LN(2)/25))/(LN(2)/25)*Calculateur!V105*Calculateur!X105*VLOOKUP('Données projet'!$B$9,Paramètres!$A$1:$I$89,3,0)*0.475*44/12</f>
        <v>2.8257002007278404</v>
      </c>
      <c r="AB105" s="21">
        <f>EXP(-LN(2)/2)*AB104+(1-EXP(-LN(2)/2))/(LN(2)/2)*V105*Y105*VLOOKUP('Données projet'!$B$9,Paramètres!$A$1:$I$89,3,0)*0.475*44/12</f>
        <v>1.5222163246760246E-10</v>
      </c>
      <c r="AC105" s="22">
        <f t="shared" si="57"/>
        <v>3.8841369346791725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141.22849894256314</v>
      </c>
      <c r="AO105" s="59">
        <f t="shared" si="90"/>
        <v>156.12101479343704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1.7674231582783357</v>
      </c>
      <c r="AV105" s="21">
        <f>EXP(-LN(2)/25)*AV104+(1-EXP(-LN(2)/25))/(LN(2)/25)*Calculateur!AQ105*Calculateur!AS105*VLOOKUP('Données projet'!$B$10,Paramètres!$A$1:$I$89,3,0)*0.475*44/12</f>
        <v>0.81811271415000641</v>
      </c>
      <c r="AW105" s="21">
        <f>EXP(-LN(2)/2)*AW104+(1-EXP(-LN(2)/2))/(LN(2)/2)*AQ105*AT105*VLOOKUP('Données projet'!$B$10,Paramètres!$A$1:$I$89,3,0)*0.475*44/12</f>
        <v>4.3044143679313329E-11</v>
      </c>
      <c r="AX105" s="21">
        <f t="shared" si="60"/>
        <v>2.5855358724713864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114.25511901730295</v>
      </c>
      <c r="BJ105" s="59">
        <f t="shared" si="92"/>
        <v>180.96261947642182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0.82140525163910316</v>
      </c>
      <c r="BQ105" s="21">
        <f>EXP(-LN(2)/25)*BQ104+(1-EXP(-LN(2)/25))/(LN(2)/25)*Calculateur!BL105*Calculateur!BN105*VLOOKUP('Données projet'!$B$11,Paramètres!$A$1:$I$89,3,0)*0.475*44/12</f>
        <v>2.4200493788424962</v>
      </c>
      <c r="BR105" s="21">
        <f>EXP(-LN(2)/2)*BR104+(1-EXP(-LN(2)/2))/(LN(2)/2)*BL105*BO105*VLOOKUP('Données projet'!$B$11,Paramètres!$A$1:$I$89,3,0)*0.475*44/12</f>
        <v>9.9419594890522578E-11</v>
      </c>
      <c r="BS105" s="22">
        <f t="shared" si="63"/>
        <v>3.241454630581019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4.4337866711430253E-14</v>
      </c>
      <c r="CA105" s="13">
        <f t="shared" si="93"/>
        <v>7.3222115536967035E-13</v>
      </c>
      <c r="CB105" s="20">
        <f t="shared" si="64"/>
        <v>1.3525069634579169E-12</v>
      </c>
      <c r="CC105" s="59">
        <f t="shared" si="65"/>
        <v>293.33333333333468</v>
      </c>
      <c r="CD105" s="59">
        <f ca="1">AVERAGE(OFFSET($CC$3,0,0,'Données projet'!$E$12+1,1))-AVERAGE(OFFSET($H$3,0,0,'Données projet'!$E$12+1,1))</f>
        <v>216.95993967070063</v>
      </c>
      <c r="CE105" s="59">
        <f t="shared" si="94"/>
        <v>208.79744153433245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1.241495962871515</v>
      </c>
      <c r="CL105" s="21">
        <f>EXP(-LN(2)/25)*CL104+(1-EXP(-LN(2)/25))/(LN(2)/25)*Calculateur!CG105*Calculateur!CI105*VLOOKUP('Données projet'!$B$12,Paramètres!$A$1:$I$89,3,0)*0.475*44/12</f>
        <v>0.87174559339076596</v>
      </c>
      <c r="CM105" s="21">
        <f>EXP(-LN(2)/2)*CM104+(1-EXP(-LN(2)/2))/(LN(2)/2)*CG105*CJ105*VLOOKUP('Données projet'!$B$12,Paramètres!$A$1:$I$89,3,0)*0.475*44/12</f>
        <v>1.7951364228844278E-11</v>
      </c>
      <c r="CN105" s="22">
        <f t="shared" si="66"/>
        <v>2.1132415562802325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3.813056537183002E-14</v>
      </c>
      <c r="CV105" s="13">
        <f t="shared" si="95"/>
        <v>6.4086286045526829E-13</v>
      </c>
      <c r="CW105" s="20">
        <f t="shared" si="67"/>
        <v>1.1825802166488628E-12</v>
      </c>
      <c r="CX105" s="59">
        <f t="shared" si="68"/>
        <v>293.33333333333451</v>
      </c>
      <c r="CY105" s="59">
        <f ca="1">AVERAGE(OFFSET($CX$3,0,0,'Données projet'!$E$13+1,1))-AVERAGE(OFFSET($H$3,0,0,'Données projet'!$E$13+1,1))</f>
        <v>181.32837315090507</v>
      </c>
      <c r="CZ105" s="59">
        <f t="shared" si="96"/>
        <v>175.03267817980338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1.3159857206438046</v>
      </c>
      <c r="DG105" s="21">
        <f>EXP(-LN(2)/25)*DG104+(1-EXP(-LN(2)/25))/(LN(2)/25)*Calculateur!DB105*Calculateur!DD105*VLOOKUP('Données projet'!$B$13,Paramètres!$A$1:$I$89,3,0)*0.475*44/12</f>
        <v>0.92405032899421213</v>
      </c>
      <c r="DH105" s="21">
        <f>EXP(-LN(2)/2)*DH104+(1-EXP(-LN(2)/2))/(LN(2)/2)*DB105*DE105*VLOOKUP('Données projet'!$B$13,Paramètres!$A$1:$I$89,3,0)*0.475*44/12</f>
        <v>1.5438173236806073E-11</v>
      </c>
      <c r="DI105" s="22">
        <f t="shared" si="69"/>
        <v>2.240036049653455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-2.8421709430404007E-13</v>
      </c>
      <c r="DP105" s="17">
        <f>DO105*VLOOKUP('Données projet'!$B$14,Paramètres!$A$1:$I$89,3,0)*VLOOKUP('Données projet'!$B$14,Paramètres!$A$1:$I$89,5,0)</f>
        <v>-2.2612312022829427E-13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325.72928944930294</v>
      </c>
      <c r="DU105" s="59">
        <f t="shared" si="98"/>
        <v>318.38876834819752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4.1605047253982743</v>
      </c>
      <c r="EB105" s="21">
        <f>EXP(-LN(2)/25)*EB104+(1-EXP(-LN(2)/25))/(LN(2)/25)*Calculateur!DW105*Calculateur!DY105*VLOOKUP('Données projet'!$B$14,Paramètres!$A$1:$I$89,3,0)*0.475*44/12</f>
        <v>2.8091934362830857</v>
      </c>
      <c r="EC105" s="21">
        <f>EXP(-LN(2)/2)*EC104+(1-EXP(-LN(2)/2))/(LN(2)/2)*DW105*DZ105*VLOOKUP('Données projet'!$B$14,Paramètres!$A$1:$I$89,3,0)*0.475*44/12</f>
        <v>1.7214509766321959E-10</v>
      </c>
      <c r="ED105" s="22">
        <f t="shared" si="72"/>
        <v>6.969698161853505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5.4</v>
      </c>
      <c r="EJ105" s="12">
        <f>IF('Données projet'!$A$192&gt;35,EJ104+EI105-ER104,IF(A105&lt;'Données projet'!$A$192,$EG$205^A105,IF(A105='Données projet'!$A$192,'Données projet'!$B$192,EJ104+EI105-ER104)))</f>
        <v>316.79999999999995</v>
      </c>
      <c r="EK105" s="17">
        <f>EJ105*VLOOKUP('Données projet'!$B$15,Paramètres!$A$1:$I$89,3,0)*VLOOKUP('Données projet'!$B$15,Paramètres!$A$1:$I$89,5,0)</f>
        <v>321.23519999999996</v>
      </c>
      <c r="EL105" s="13">
        <f t="shared" si="99"/>
        <v>75.610303390297929</v>
      </c>
      <c r="EM105" s="20">
        <f t="shared" si="73"/>
        <v>691.17258507143549</v>
      </c>
      <c r="EN105" s="59">
        <f t="shared" si="74"/>
        <v>984.50591840476886</v>
      </c>
      <c r="EO105" s="59">
        <f ca="1">AVERAGE(OFFSET($EN$3,0,0,'Données projet'!$E$15+1,1))-AVERAGE(OFFSET($H$3,0,0,'Données projet'!$E$15+1,1))</f>
        <v>384.50065773787549</v>
      </c>
      <c r="EP105" s="59">
        <f t="shared" si="100"/>
        <v>231.92898690465887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1.9681065825151147</v>
      </c>
      <c r="EW105" s="21">
        <f>EXP(-LN(2)/25)*EW104+(1-EXP(-LN(2)/25))/(LN(2)/25)*Calculateur!ER105*Calculateur!ET105*VLOOKUP('Données projet'!$B$15,Paramètres!$A$1:$I$89,3,0)*0.475*44/12</f>
        <v>1.4256598253466086</v>
      </c>
      <c r="EX105" s="21">
        <f>EXP(-LN(2)/2)*EX104+(1-EXP(-LN(2)/2))/(LN(2)/2)*ER105*EU105*VLOOKUP('Données projet'!$B$15,Paramètres!$A$1:$I$89,3,0)*0.475*44/12</f>
        <v>1.3918759347142118E-10</v>
      </c>
      <c r="EY105" s="22">
        <f t="shared" si="75"/>
        <v>3.3937664080009111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5.4</v>
      </c>
      <c r="FE105" s="12">
        <f>IF('Données projet'!$A$218&gt;35,FE104+FD105-FM104,IF(A105&lt;'Données projet'!$A$218,$FB$205^A105,IF(A105='Données projet'!$A$218,'Données projet'!$B$218,FE104+FD105-FM104)))</f>
        <v>316.79999999999984</v>
      </c>
      <c r="FF105" s="17">
        <f>FE105*VLOOKUP('Données projet'!$B$16,Paramètres!$A$1:$I$89,3,0)*VLOOKUP('Données projet'!$B$16,Paramètres!$A$1:$I$89,5,0)</f>
        <v>286.64063999999985</v>
      </c>
      <c r="FG105" s="13">
        <f t="shared" si="101"/>
        <v>68.368446832003599</v>
      </c>
      <c r="FH105" s="20">
        <f t="shared" si="76"/>
        <v>618.3074928990726</v>
      </c>
      <c r="FI105" s="59">
        <f t="shared" si="77"/>
        <v>911.64082623240597</v>
      </c>
      <c r="FJ105" s="59">
        <f ca="1">AVERAGE(OFFSET($FI$3,0,0,'Données projet'!$E$16+1,1))-AVERAGE(OFFSET($H$3,0,0,'Données projet'!$E$16+1,1))</f>
        <v>326.46362829268969</v>
      </c>
      <c r="FK105" s="59">
        <f t="shared" si="102"/>
        <v>203.5274665601915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1.7561566428596389</v>
      </c>
      <c r="FR105" s="21">
        <f>EXP(-LN(2)/25)*FR104+(1-EXP(-LN(2)/25))/(LN(2)/25)*Calculateur!FM105*Calculateur!FO105*VLOOKUP('Données projet'!$B$16,Paramètres!$A$1:$I$89,3,0)*0.475*44/12</f>
        <v>1.2721272287708183</v>
      </c>
      <c r="FS105" s="21">
        <f>EXP(-LN(2)/2)*FS104+(1-EXP(-LN(2)/2))/(LN(2)/2)*FM105*FP105*VLOOKUP('Données projet'!$B$16,Paramètres!$A$1:$I$89,3,0)*0.475*44/12</f>
        <v>1.2419816032834505E-10</v>
      </c>
      <c r="FT105" s="22">
        <f t="shared" si="78"/>
        <v>3.0282838717546552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5.4</v>
      </c>
      <c r="FZ105" s="12">
        <f>IF('Données projet'!$A$244&gt;35,FZ104+FY105-GH104,IF(A105&lt;'Données projet'!$A$244,$FW$205^A105,IF(A105='Données projet'!$A$244,'Données projet'!$B$244,FZ104+FY105-GH104)))</f>
        <v>316.79999999999984</v>
      </c>
      <c r="GA105" s="17">
        <f>FZ105*VLOOKUP('Données projet'!$B$17,Paramètres!$A$1:$I$89,3,0)*VLOOKUP('Données projet'!$B$17,Paramètres!$A$1:$I$89,5,0)</f>
        <v>306.40895999999987</v>
      </c>
      <c r="GB105" s="13">
        <f t="shared" si="103"/>
        <v>72.518370290127407</v>
      </c>
      <c r="GC105" s="20">
        <f t="shared" si="79"/>
        <v>659.96510025530495</v>
      </c>
      <c r="GD105" s="59">
        <f t="shared" si="80"/>
        <v>953.29843358863832</v>
      </c>
      <c r="GE105" s="59">
        <f ca="1">AVERAGE(OFFSET($GD$3,0,0,'Données projet'!$E$17+1,1))-AVERAGE(OFFSET($H$3,0,0,'Données projet'!$E$17+1,1))</f>
        <v>353.24082990916918</v>
      </c>
      <c r="GF105" s="59">
        <f t="shared" si="104"/>
        <v>219.76562717496353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1.8772708940913392</v>
      </c>
      <c r="GM105" s="21">
        <f>EXP(-LN(2)/25)*GM104+(1-EXP(-LN(2)/25))/(LN(2)/25)*Calculateur!GH105*Calculateur!GJ105*VLOOKUP('Données projet'!$B$17,Paramètres!$A$1:$I$89,3,0)*0.475*44/12</f>
        <v>1.3598601410998417</v>
      </c>
      <c r="GN105" s="21">
        <f>EXP(-LN(2)/2)*GN104+(1-EXP(-LN(2)/2))/(LN(2)/2)*GH105*GK105*VLOOKUP('Données projet'!$B$17,Paramètres!$A$1:$I$89,3,0)*0.475*44/12</f>
        <v>1.3276355069581715E-10</v>
      </c>
      <c r="GO105" s="21">
        <f t="shared" si="81"/>
        <v>3.2371310353239444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378.17323480030268</v>
      </c>
      <c r="T106" s="59">
        <f t="shared" si="88"/>
        <v>471.89239871617241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1.0376814350319716</v>
      </c>
      <c r="AA106" s="21">
        <f>EXP(-LN(2)/25)*AA105+(1-EXP(-LN(2)/25))/(LN(2)/25)*Calculateur!V106*Calculateur!X106*VLOOKUP('Données projet'!$B$9,Paramètres!$A$1:$I$89,3,0)*0.475*44/12</f>
        <v>2.7484312801418223</v>
      </c>
      <c r="AB106" s="21">
        <f>EXP(-LN(2)/2)*AB105+(1-EXP(-LN(2)/2))/(LN(2)/2)*V106*Y106*VLOOKUP('Données projet'!$B$9,Paramètres!$A$1:$I$89,3,0)*0.475*44/12</f>
        <v>1.0763694856112804E-10</v>
      </c>
      <c r="AC106" s="22">
        <f t="shared" si="57"/>
        <v>3.7861127152814311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141.22849894256314</v>
      </c>
      <c r="AO106" s="59">
        <f t="shared" si="90"/>
        <v>156.12101479343704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1.7327650681661784</v>
      </c>
      <c r="AV106" s="21">
        <f>EXP(-LN(2)/25)*AV105+(1-EXP(-LN(2)/25))/(LN(2)/25)*Calculateur!AQ106*Calculateur!AS106*VLOOKUP('Données projet'!$B$10,Paramètres!$A$1:$I$89,3,0)*0.475*44/12</f>
        <v>0.79574137895889663</v>
      </c>
      <c r="AW106" s="21">
        <f>EXP(-LN(2)/2)*AW105+(1-EXP(-LN(2)/2))/(LN(2)/2)*AQ106*AT106*VLOOKUP('Données projet'!$B$10,Paramètres!$A$1:$I$89,3,0)*0.475*44/12</f>
        <v>3.0436805886010523E-11</v>
      </c>
      <c r="AX106" s="21">
        <f t="shared" si="60"/>
        <v>2.5285064471555119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114.25511901730295</v>
      </c>
      <c r="BJ106" s="59">
        <f t="shared" si="92"/>
        <v>180.96261947642182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0.8052979956621934</v>
      </c>
      <c r="BQ106" s="21">
        <f>EXP(-LN(2)/25)*BQ105+(1-EXP(-LN(2)/25))/(LN(2)/25)*Calculateur!BL106*Calculateur!BN106*VLOOKUP('Données projet'!$B$11,Paramètres!$A$1:$I$89,3,0)*0.475*44/12</f>
        <v>2.3538730013131826</v>
      </c>
      <c r="BR106" s="21">
        <f>EXP(-LN(2)/2)*BR105+(1-EXP(-LN(2)/2))/(LN(2)/2)*BL106*BO106*VLOOKUP('Données projet'!$B$11,Paramètres!$A$1:$I$89,3,0)*0.475*44/12</f>
        <v>7.0300269729907946E-11</v>
      </c>
      <c r="BS106" s="22">
        <f t="shared" si="63"/>
        <v>3.1591709970456763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4.4337866711430253E-14</v>
      </c>
      <c r="CA106" s="13">
        <f t="shared" si="93"/>
        <v>7.3222115536967035E-13</v>
      </c>
      <c r="CB106" s="20">
        <f t="shared" si="64"/>
        <v>1.3525069634579169E-12</v>
      </c>
      <c r="CC106" s="59">
        <f t="shared" si="65"/>
        <v>293.33333333333468</v>
      </c>
      <c r="CD106" s="59">
        <f ca="1">AVERAGE(OFFSET($CC$3,0,0,'Données projet'!$E$12+1,1))-AVERAGE(OFFSET($H$3,0,0,'Données projet'!$E$12+1,1))</f>
        <v>216.95993967070063</v>
      </c>
      <c r="CE106" s="59">
        <f t="shared" si="94"/>
        <v>208.79744153433245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1.2171509842773709</v>
      </c>
      <c r="CL106" s="21">
        <f>EXP(-LN(2)/25)*CL105+(1-EXP(-LN(2)/25))/(LN(2)/25)*Calculateur!CG106*Calculateur!CI106*VLOOKUP('Données projet'!$B$12,Paramètres!$A$1:$I$89,3,0)*0.475*44/12</f>
        <v>0.84790766429638709</v>
      </c>
      <c r="CM106" s="21">
        <f>EXP(-LN(2)/2)*CM105+(1-EXP(-LN(2)/2))/(LN(2)/2)*CG106*CJ106*VLOOKUP('Données projet'!$B$12,Paramètres!$A$1:$I$89,3,0)*0.475*44/12</f>
        <v>1.2693531377765408E-11</v>
      </c>
      <c r="CN106" s="22">
        <f t="shared" si="66"/>
        <v>2.0650586485864513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3.813056537183002E-14</v>
      </c>
      <c r="CV106" s="13">
        <f t="shared" si="95"/>
        <v>6.4086286045526829E-13</v>
      </c>
      <c r="CW106" s="20">
        <f t="shared" si="67"/>
        <v>1.1825802166488628E-12</v>
      </c>
      <c r="CX106" s="59">
        <f t="shared" si="68"/>
        <v>293.33333333333451</v>
      </c>
      <c r="CY106" s="59">
        <f ca="1">AVERAGE(OFFSET($CX$3,0,0,'Données projet'!$E$13+1,1))-AVERAGE(OFFSET($H$3,0,0,'Données projet'!$E$13+1,1))</f>
        <v>181.32837315090507</v>
      </c>
      <c r="CZ106" s="59">
        <f t="shared" si="96"/>
        <v>175.03267817980338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1.2901800433340118</v>
      </c>
      <c r="DG106" s="21">
        <f>EXP(-LN(2)/25)*DG105+(1-EXP(-LN(2)/25))/(LN(2)/25)*Calculateur!DB106*Calculateur!DD106*VLOOKUP('Données projet'!$B$13,Paramètres!$A$1:$I$89,3,0)*0.475*44/12</f>
        <v>0.89878212415417058</v>
      </c>
      <c r="DH106" s="21">
        <f>EXP(-LN(2)/2)*DH105+(1-EXP(-LN(2)/2))/(LN(2)/2)*DB106*DE106*VLOOKUP('Données projet'!$B$13,Paramètres!$A$1:$I$89,3,0)*0.475*44/12</f>
        <v>1.0916436984878246E-11</v>
      </c>
      <c r="DI106" s="22">
        <f t="shared" si="69"/>
        <v>2.1889621674990991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-2.8421709430404007E-13</v>
      </c>
      <c r="DP106" s="17">
        <f>DO106*VLOOKUP('Données projet'!$B$14,Paramètres!$A$1:$I$89,3,0)*VLOOKUP('Données projet'!$B$14,Paramètres!$A$1:$I$89,5,0)</f>
        <v>-2.2612312022829427E-13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325.72928944930294</v>
      </c>
      <c r="DU106" s="59">
        <f t="shared" si="98"/>
        <v>318.38876834819752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4.0789197653905234</v>
      </c>
      <c r="EB106" s="21">
        <f>EXP(-LN(2)/25)*EB105+(1-EXP(-LN(2)/25))/(LN(2)/25)*Calculateur!DW106*Calculateur!DY106*VLOOKUP('Données projet'!$B$14,Paramètres!$A$1:$I$89,3,0)*0.475*44/12</f>
        <v>2.7323758940388623</v>
      </c>
      <c r="EC106" s="21">
        <f>EXP(-LN(2)/2)*EC105+(1-EXP(-LN(2)/2))/(LN(2)/2)*DW106*DZ106*VLOOKUP('Données projet'!$B$14,Paramètres!$A$1:$I$89,3,0)*0.475*44/12</f>
        <v>1.2172496590568306E-10</v>
      </c>
      <c r="ED106" s="22">
        <f t="shared" si="72"/>
        <v>6.81129565955111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5.4</v>
      </c>
      <c r="EJ106" s="12">
        <f>IF('Données projet'!$A$192&gt;35,EJ105+EI106-ER105,IF(A106&lt;'Données projet'!$A$192,$EG$205^A106,IF(A106='Données projet'!$A$192,'Données projet'!$B$192,EJ105+EI106-ER105)))</f>
        <v>322.19999999999993</v>
      </c>
      <c r="EK106" s="17">
        <f>EJ106*VLOOKUP('Données projet'!$B$15,Paramètres!$A$1:$I$89,3,0)*VLOOKUP('Données projet'!$B$15,Paramètres!$A$1:$I$89,5,0)</f>
        <v>326.71079999999995</v>
      </c>
      <c r="EL106" s="13">
        <f t="shared" si="99"/>
        <v>76.747975030799893</v>
      </c>
      <c r="EM106" s="20">
        <f t="shared" si="73"/>
        <v>702.69069984530972</v>
      </c>
      <c r="EN106" s="59">
        <f t="shared" si="74"/>
        <v>996.02403317864309</v>
      </c>
      <c r="EO106" s="59">
        <f ca="1">AVERAGE(OFFSET($EN$3,0,0,'Données projet'!$E$15+1,1))-AVERAGE(OFFSET($H$3,0,0,'Données projet'!$E$15+1,1))</f>
        <v>384.50065773787549</v>
      </c>
      <c r="EP106" s="59">
        <f t="shared" si="100"/>
        <v>231.92898690465887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1.9295132128584764</v>
      </c>
      <c r="EW106" s="21">
        <f>EXP(-LN(2)/25)*EW105+(1-EXP(-LN(2)/25))/(LN(2)/25)*Calculateur!ER106*Calculateur!ET106*VLOOKUP('Données projet'!$B$15,Paramètres!$A$1:$I$89,3,0)*0.475*44/12</f>
        <v>1.3866750824503138</v>
      </c>
      <c r="EX106" s="21">
        <f>EXP(-LN(2)/2)*EX105+(1-EXP(-LN(2)/2))/(LN(2)/2)*ER106*EU106*VLOOKUP('Données projet'!$B$15,Paramètres!$A$1:$I$89,3,0)*0.475*44/12</f>
        <v>9.8420491200678347E-11</v>
      </c>
      <c r="EY106" s="22">
        <f t="shared" si="75"/>
        <v>3.3161882954072106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5.4</v>
      </c>
      <c r="FE106" s="12">
        <f>IF('Données projet'!$A$218&gt;35,FE105+FD106-FM105,IF(A106&lt;'Données projet'!$A$218,$FB$205^A106,IF(A106='Données projet'!$A$218,'Données projet'!$B$218,FE105+FD106-FM105)))</f>
        <v>322.19999999999982</v>
      </c>
      <c r="FF106" s="17">
        <f>FE106*VLOOKUP('Données projet'!$B$16,Paramètres!$A$1:$I$89,3,0)*VLOOKUP('Données projet'!$B$16,Paramètres!$A$1:$I$89,5,0)</f>
        <v>291.52655999999985</v>
      </c>
      <c r="FG106" s="13">
        <f t="shared" si="101"/>
        <v>69.397153761857183</v>
      </c>
      <c r="FH106" s="20">
        <f t="shared" si="76"/>
        <v>628.60880146856755</v>
      </c>
      <c r="FI106" s="59">
        <f t="shared" si="77"/>
        <v>921.94213480190092</v>
      </c>
      <c r="FJ106" s="59">
        <f ca="1">AVERAGE(OFFSET($FI$3,0,0,'Données projet'!$E$16+1,1))-AVERAGE(OFFSET($H$3,0,0,'Données projet'!$E$16+1,1))</f>
        <v>326.46362829268969</v>
      </c>
      <c r="FK106" s="59">
        <f t="shared" si="102"/>
        <v>203.5274665601915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1.7217194822429462</v>
      </c>
      <c r="FR106" s="21">
        <f>EXP(-LN(2)/25)*FR105+(1-EXP(-LN(2)/25))/(LN(2)/25)*Calculateur!FM106*Calculateur!FO106*VLOOKUP('Données projet'!$B$16,Paramètres!$A$1:$I$89,3,0)*0.475*44/12</f>
        <v>1.2373408428018169</v>
      </c>
      <c r="FS106" s="21">
        <f>EXP(-LN(2)/2)*FS105+(1-EXP(-LN(2)/2))/(LN(2)/2)*FM106*FP106*VLOOKUP('Données projet'!$B$16,Paramètres!$A$1:$I$89,3,0)*0.475*44/12</f>
        <v>8.7821361379066829E-11</v>
      </c>
      <c r="FT106" s="22">
        <f t="shared" si="78"/>
        <v>2.9590603251325844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5.4</v>
      </c>
      <c r="FZ106" s="12">
        <f>IF('Données projet'!$A$244&gt;35,FZ105+FY106-GH105,IF(A106&lt;'Données projet'!$A$244,$FW$205^A106,IF(A106='Données projet'!$A$244,'Données projet'!$B$244,FZ105+FY106-GH105)))</f>
        <v>322.19999999999982</v>
      </c>
      <c r="GA106" s="17">
        <f>FZ106*VLOOKUP('Données projet'!$B$17,Paramètres!$A$1:$I$89,3,0)*VLOOKUP('Données projet'!$B$17,Paramètres!$A$1:$I$89,5,0)</f>
        <v>311.63183999999984</v>
      </c>
      <c r="GB106" s="13">
        <f t="shared" si="103"/>
        <v>73.609519109735089</v>
      </c>
      <c r="GC106" s="20">
        <f t="shared" si="79"/>
        <v>670.96203378278835</v>
      </c>
      <c r="GD106" s="59">
        <f t="shared" si="80"/>
        <v>964.29536711612172</v>
      </c>
      <c r="GE106" s="59">
        <f ca="1">AVERAGE(OFFSET($GD$3,0,0,'Données projet'!$E$17+1,1))-AVERAGE(OFFSET($H$3,0,0,'Données projet'!$E$17+1,1))</f>
        <v>353.24082990916918</v>
      </c>
      <c r="GF106" s="59">
        <f t="shared" si="104"/>
        <v>219.76562717496353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1.8404587568803918</v>
      </c>
      <c r="GM106" s="21">
        <f>EXP(-LN(2)/25)*GM105+(1-EXP(-LN(2)/25))/(LN(2)/25)*Calculateur!GH106*Calculateur!GJ106*VLOOKUP('Données projet'!$B$17,Paramètres!$A$1:$I$89,3,0)*0.475*44/12</f>
        <v>1.3226746940295298</v>
      </c>
      <c r="GN106" s="21">
        <f>EXP(-LN(2)/2)*GN105+(1-EXP(-LN(2)/2))/(LN(2)/2)*GH106*GK106*VLOOKUP('Données projet'!$B$17,Paramètres!$A$1:$I$89,3,0)*0.475*44/12</f>
        <v>9.3878006991416291E-11</v>
      </c>
      <c r="GO106" s="21">
        <f t="shared" si="81"/>
        <v>3.1631334510037994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378.17323480030268</v>
      </c>
      <c r="T107" s="59">
        <f t="shared" si="88"/>
        <v>471.89239871617241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1.0173331350141741</v>
      </c>
      <c r="AA107" s="21">
        <f>EXP(-LN(2)/25)*AA106+(1-EXP(-LN(2)/25))/(LN(2)/25)*Calculateur!V107*Calculateur!X107*VLOOKUP('Données projet'!$B$9,Paramètres!$A$1:$I$89,3,0)*0.475*44/12</f>
        <v>2.6732752822526247</v>
      </c>
      <c r="AB107" s="21">
        <f>EXP(-LN(2)/2)*AB106+(1-EXP(-LN(2)/2))/(LN(2)/2)*V107*Y107*VLOOKUP('Données projet'!$B$9,Paramètres!$A$1:$I$89,3,0)*0.475*44/12</f>
        <v>7.6110816233801232E-11</v>
      </c>
      <c r="AC107" s="22">
        <f t="shared" si="57"/>
        <v>3.6906084173429097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141.22849894256314</v>
      </c>
      <c r="AO107" s="59">
        <f t="shared" si="90"/>
        <v>156.12101479343704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1.6987866020617728</v>
      </c>
      <c r="AV107" s="21">
        <f>EXP(-LN(2)/25)*AV106+(1-EXP(-LN(2)/25))/(LN(2)/25)*Calculateur!AQ107*Calculateur!AS107*VLOOKUP('Données projet'!$B$10,Paramètres!$A$1:$I$89,3,0)*0.475*44/12</f>
        <v>0.77398178910504523</v>
      </c>
      <c r="AW107" s="21">
        <f>EXP(-LN(2)/2)*AW106+(1-EXP(-LN(2)/2))/(LN(2)/2)*AQ107*AT107*VLOOKUP('Données projet'!$B$10,Paramètres!$A$1:$I$89,3,0)*0.475*44/12</f>
        <v>2.1522071839656665E-11</v>
      </c>
      <c r="AX107" s="21">
        <f t="shared" si="60"/>
        <v>2.4727683911883398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114.25511901730295</v>
      </c>
      <c r="BJ107" s="59">
        <f t="shared" si="92"/>
        <v>180.96261947642182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0.78950659315053484</v>
      </c>
      <c r="BQ107" s="21">
        <f>EXP(-LN(2)/25)*BQ106+(1-EXP(-LN(2)/25))/(LN(2)/25)*Calculateur!BL107*Calculateur!BN107*VLOOKUP('Données projet'!$B$11,Paramètres!$A$1:$I$89,3,0)*0.475*44/12</f>
        <v>2.2895062203074721</v>
      </c>
      <c r="BR107" s="21">
        <f>EXP(-LN(2)/2)*BR106+(1-EXP(-LN(2)/2))/(LN(2)/2)*BL107*BO107*VLOOKUP('Données projet'!$B$11,Paramètres!$A$1:$I$89,3,0)*0.475*44/12</f>
        <v>4.9709797445261289E-11</v>
      </c>
      <c r="BS107" s="22">
        <f t="shared" si="63"/>
        <v>3.0790128135077168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4.4337866711430253E-14</v>
      </c>
      <c r="CA107" s="13">
        <f t="shared" si="93"/>
        <v>7.3222115536967035E-13</v>
      </c>
      <c r="CB107" s="20">
        <f t="shared" si="64"/>
        <v>1.3525069634579169E-12</v>
      </c>
      <c r="CC107" s="59">
        <f t="shared" si="65"/>
        <v>293.33333333333468</v>
      </c>
      <c r="CD107" s="59">
        <f ca="1">AVERAGE(OFFSET($CC$3,0,0,'Données projet'!$E$12+1,1))-AVERAGE(OFFSET($H$3,0,0,'Données projet'!$E$12+1,1))</f>
        <v>216.95993967070063</v>
      </c>
      <c r="CE107" s="59">
        <f t="shared" si="94"/>
        <v>208.79744153433245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1.1932833958644873</v>
      </c>
      <c r="CL107" s="21">
        <f>EXP(-LN(2)/25)*CL106+(1-EXP(-LN(2)/25))/(LN(2)/25)*Calculateur!CG107*Calculateur!CI107*VLOOKUP('Données projet'!$B$12,Paramètres!$A$1:$I$89,3,0)*0.475*44/12</f>
        <v>0.82472158462667622</v>
      </c>
      <c r="CM107" s="21">
        <f>EXP(-LN(2)/2)*CM106+(1-EXP(-LN(2)/2))/(LN(2)/2)*CG107*CJ107*VLOOKUP('Données projet'!$B$12,Paramètres!$A$1:$I$89,3,0)*0.475*44/12</f>
        <v>8.9756821144221391E-12</v>
      </c>
      <c r="CN107" s="22">
        <f t="shared" si="66"/>
        <v>2.0180049805001388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3.813056537183002E-14</v>
      </c>
      <c r="CV107" s="13">
        <f t="shared" si="95"/>
        <v>6.4086286045526829E-13</v>
      </c>
      <c r="CW107" s="20">
        <f t="shared" si="67"/>
        <v>1.1825802166488628E-12</v>
      </c>
      <c r="CX107" s="59">
        <f t="shared" si="68"/>
        <v>293.33333333333451</v>
      </c>
      <c r="CY107" s="59">
        <f ca="1">AVERAGE(OFFSET($CX$3,0,0,'Données projet'!$E$13+1,1))-AVERAGE(OFFSET($H$3,0,0,'Données projet'!$E$13+1,1))</f>
        <v>181.32837315090507</v>
      </c>
      <c r="CZ107" s="59">
        <f t="shared" si="96"/>
        <v>175.03267817980338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1.2648803996163551</v>
      </c>
      <c r="DG107" s="21">
        <f>EXP(-LN(2)/25)*DG106+(1-EXP(-LN(2)/25))/(LN(2)/25)*Calculateur!DB107*Calculateur!DD107*VLOOKUP('Données projet'!$B$13,Paramètres!$A$1:$I$89,3,0)*0.475*44/12</f>
        <v>0.87420487970427707</v>
      </c>
      <c r="DH107" s="21">
        <f>EXP(-LN(2)/2)*DH106+(1-EXP(-LN(2)/2))/(LN(2)/2)*DB107*DE107*VLOOKUP('Données projet'!$B$13,Paramètres!$A$1:$I$89,3,0)*0.475*44/12</f>
        <v>7.7190866184030364E-12</v>
      </c>
      <c r="DI107" s="22">
        <f t="shared" si="69"/>
        <v>2.1390852793283512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-2.8421709430404007E-13</v>
      </c>
      <c r="DP107" s="17">
        <f>DO107*VLOOKUP('Données projet'!$B$14,Paramètres!$A$1:$I$89,3,0)*VLOOKUP('Données projet'!$B$14,Paramètres!$A$1:$I$89,5,0)</f>
        <v>-2.2612312022829427E-13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325.72928944930294</v>
      </c>
      <c r="DU107" s="59">
        <f t="shared" si="98"/>
        <v>318.38876834819752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3.998934636686613</v>
      </c>
      <c r="EB107" s="21">
        <f>EXP(-LN(2)/25)*EB106+(1-EXP(-LN(2)/25))/(LN(2)/25)*Calculateur!DW107*Calculateur!DY107*VLOOKUP('Données projet'!$B$14,Paramètres!$A$1:$I$89,3,0)*0.475*44/12</f>
        <v>2.6576589315269663</v>
      </c>
      <c r="EC107" s="21">
        <f>EXP(-LN(2)/2)*EC106+(1-EXP(-LN(2)/2))/(LN(2)/2)*DW107*DZ107*VLOOKUP('Données projet'!$B$14,Paramètres!$A$1:$I$89,3,0)*0.475*44/12</f>
        <v>8.6072548831609794E-11</v>
      </c>
      <c r="ED107" s="22">
        <f t="shared" si="72"/>
        <v>6.6565935682996518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5.4</v>
      </c>
      <c r="EJ107" s="12">
        <f>IF('Données projet'!$A$192&gt;35,EJ106+EI107-ER106,IF(A107&lt;'Données projet'!$A$192,$EG$205^A107,IF(A107='Données projet'!$A$192,'Données projet'!$B$192,EJ106+EI107-ER106)))</f>
        <v>327.59999999999991</v>
      </c>
      <c r="EK107" s="17">
        <f>EJ107*VLOOKUP('Données projet'!$B$15,Paramètres!$A$1:$I$89,3,0)*VLOOKUP('Données projet'!$B$15,Paramètres!$A$1:$I$89,5,0)</f>
        <v>332.18639999999994</v>
      </c>
      <c r="EL107" s="13">
        <f t="shared" si="99"/>
        <v>77.88342931194974</v>
      </c>
      <c r="EM107" s="20">
        <f t="shared" si="73"/>
        <v>714.20495271831226</v>
      </c>
      <c r="EN107" s="59">
        <f t="shared" si="74"/>
        <v>1007.5382860516456</v>
      </c>
      <c r="EO107" s="59">
        <f ca="1">AVERAGE(OFFSET($EN$3,0,0,'Données projet'!$E$15+1,1))-AVERAGE(OFFSET($H$3,0,0,'Données projet'!$E$15+1,1))</f>
        <v>384.50065773787549</v>
      </c>
      <c r="EP107" s="59">
        <f t="shared" si="100"/>
        <v>231.92898690465887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1.8916766356411736</v>
      </c>
      <c r="EW107" s="21">
        <f>EXP(-LN(2)/25)*EW106+(1-EXP(-LN(2)/25))/(LN(2)/25)*Calculateur!ER107*Calculateur!ET107*VLOOKUP('Données projet'!$B$15,Paramètres!$A$1:$I$89,3,0)*0.475*44/12</f>
        <v>1.3487563793986366</v>
      </c>
      <c r="EX107" s="21">
        <f>EXP(-LN(2)/2)*EX106+(1-EXP(-LN(2)/2))/(LN(2)/2)*ER107*EU107*VLOOKUP('Données projet'!$B$15,Paramètres!$A$1:$I$89,3,0)*0.475*44/12</f>
        <v>6.9593796735710589E-11</v>
      </c>
      <c r="EY107" s="22">
        <f t="shared" si="75"/>
        <v>3.2404330151094038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5.4</v>
      </c>
      <c r="FE107" s="12">
        <f>IF('Données projet'!$A$218&gt;35,FE106+FD107-FM106,IF(A107&lt;'Données projet'!$A$218,$FB$205^A107,IF(A107='Données projet'!$A$218,'Données projet'!$B$218,FE106+FD107-FM106)))</f>
        <v>327.5999999999998</v>
      </c>
      <c r="FF107" s="17">
        <f>FE107*VLOOKUP('Données projet'!$B$16,Paramètres!$A$1:$I$89,3,0)*VLOOKUP('Données projet'!$B$16,Paramètres!$A$1:$I$89,5,0)</f>
        <v>296.41247999999979</v>
      </c>
      <c r="FG107" s="13">
        <f t="shared" si="101"/>
        <v>70.423855708154704</v>
      </c>
      <c r="FH107" s="20">
        <f t="shared" si="76"/>
        <v>638.90661802503575</v>
      </c>
      <c r="FI107" s="59">
        <f t="shared" si="77"/>
        <v>932.23995135836913</v>
      </c>
      <c r="FJ107" s="59">
        <f ca="1">AVERAGE(OFFSET($FI$3,0,0,'Données projet'!$E$16+1,1))-AVERAGE(OFFSET($H$3,0,0,'Données projet'!$E$16+1,1))</f>
        <v>326.46362829268969</v>
      </c>
      <c r="FK107" s="59">
        <f t="shared" si="102"/>
        <v>203.5274665601915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1.687957613341353</v>
      </c>
      <c r="FR107" s="21">
        <f>EXP(-LN(2)/25)*FR106+(1-EXP(-LN(2)/25))/(LN(2)/25)*Calculateur!FM107*Calculateur!FO107*VLOOKUP('Données projet'!$B$16,Paramètres!$A$1:$I$89,3,0)*0.475*44/12</f>
        <v>1.2035056923864742</v>
      </c>
      <c r="FS107" s="21">
        <f>EXP(-LN(2)/2)*FS106+(1-EXP(-LN(2)/2))/(LN(2)/2)*FM107*FP107*VLOOKUP('Données projet'!$B$16,Paramètres!$A$1:$I$89,3,0)*0.475*44/12</f>
        <v>6.2099080164172523E-11</v>
      </c>
      <c r="FT107" s="22">
        <f t="shared" si="78"/>
        <v>2.8914633057899262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5.4</v>
      </c>
      <c r="FZ107" s="12">
        <f>IF('Données projet'!$A$244&gt;35,FZ106+FY107-GH106,IF(A107&lt;'Données projet'!$A$244,$FW$205^A107,IF(A107='Données projet'!$A$244,'Données projet'!$B$244,FZ106+FY107-GH106)))</f>
        <v>327.5999999999998</v>
      </c>
      <c r="GA107" s="17">
        <f>FZ107*VLOOKUP('Données projet'!$B$17,Paramètres!$A$1:$I$89,3,0)*VLOOKUP('Données projet'!$B$17,Paramètres!$A$1:$I$89,5,0)</f>
        <v>316.85471999999982</v>
      </c>
      <c r="GB107" s="13">
        <f t="shared" si="103"/>
        <v>74.698541244494848</v>
      </c>
      <c r="GC107" s="20">
        <f t="shared" si="79"/>
        <v>681.95526333416149</v>
      </c>
      <c r="GD107" s="59">
        <f t="shared" si="80"/>
        <v>975.28859666749486</v>
      </c>
      <c r="GE107" s="59">
        <f ca="1">AVERAGE(OFFSET($GD$3,0,0,'Données projet'!$E$17+1,1))-AVERAGE(OFFSET($H$3,0,0,'Données projet'!$E$17+1,1))</f>
        <v>353.24082990916918</v>
      </c>
      <c r="GF107" s="59">
        <f t="shared" si="104"/>
        <v>219.76562717496353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1.8043684832269646</v>
      </c>
      <c r="GM107" s="21">
        <f>EXP(-LN(2)/25)*GM106+(1-EXP(-LN(2)/25))/(LN(2)/25)*Calculateur!GH107*Calculateur!GJ107*VLOOKUP('Données projet'!$B$17,Paramètres!$A$1:$I$89,3,0)*0.475*44/12</f>
        <v>1.2865060849648531</v>
      </c>
      <c r="GN107" s="21">
        <f>EXP(-LN(2)/2)*GN106+(1-EXP(-LN(2)/2))/(LN(2)/2)*GH107*GK107*VLOOKUP('Données projet'!$B$17,Paramètres!$A$1:$I$89,3,0)*0.475*44/12</f>
        <v>6.6381775347908577E-11</v>
      </c>
      <c r="GO107" s="21">
        <f t="shared" si="81"/>
        <v>3.0908745682581991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378.17323480030268</v>
      </c>
      <c r="T108" s="59">
        <f t="shared" si="88"/>
        <v>471.89239871617241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0.99738385274848806</v>
      </c>
      <c r="AA108" s="21">
        <f>EXP(-LN(2)/25)*AA107+(1-EXP(-LN(2)/25))/(LN(2)/25)*Calculateur!V108*Calculateur!X108*VLOOKUP('Données projet'!$B$9,Paramètres!$A$1:$I$89,3,0)*0.475*44/12</f>
        <v>2.6001744290779896</v>
      </c>
      <c r="AB108" s="21">
        <f>EXP(-LN(2)/2)*AB107+(1-EXP(-LN(2)/2))/(LN(2)/2)*V108*Y108*VLOOKUP('Données projet'!$B$9,Paramètres!$A$1:$I$89,3,0)*0.475*44/12</f>
        <v>5.3818474280564018E-11</v>
      </c>
      <c r="AC108" s="22">
        <f t="shared" si="57"/>
        <v>3.5975582818802958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141.22849894256314</v>
      </c>
      <c r="AO108" s="59">
        <f t="shared" si="90"/>
        <v>156.12101479343704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1.6654744329528566</v>
      </c>
      <c r="AV108" s="21">
        <f>EXP(-LN(2)/25)*AV107+(1-EXP(-LN(2)/25))/(LN(2)/25)*Calculateur!AQ108*Calculateur!AS108*VLOOKUP('Données projet'!$B$10,Paramètres!$A$1:$I$89,3,0)*0.475*44/12</f>
        <v>0.7528172163800344</v>
      </c>
      <c r="AW108" s="21">
        <f>EXP(-LN(2)/2)*AW107+(1-EXP(-LN(2)/2))/(LN(2)/2)*AQ108*AT108*VLOOKUP('Données projet'!$B$10,Paramètres!$A$1:$I$89,3,0)*0.475*44/12</f>
        <v>1.5218402943005261E-11</v>
      </c>
      <c r="AX108" s="21">
        <f t="shared" si="60"/>
        <v>2.4182916493481095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114.25511901730295</v>
      </c>
      <c r="BJ108" s="59">
        <f t="shared" si="92"/>
        <v>180.96261947642182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0.77402485041032543</v>
      </c>
      <c r="BQ108" s="21">
        <f>EXP(-LN(2)/25)*BQ107+(1-EXP(-LN(2)/25))/(LN(2)/25)*Calculateur!BL108*Calculateur!BN108*VLOOKUP('Données projet'!$B$11,Paramètres!$A$1:$I$89,3,0)*0.475*44/12</f>
        <v>2.2268995523132649</v>
      </c>
      <c r="BR108" s="21">
        <f>EXP(-LN(2)/2)*BR107+(1-EXP(-LN(2)/2))/(LN(2)/2)*BL108*BO108*VLOOKUP('Données projet'!$B$11,Paramètres!$A$1:$I$89,3,0)*0.475*44/12</f>
        <v>3.5150134864953973E-11</v>
      </c>
      <c r="BS108" s="22">
        <f t="shared" si="63"/>
        <v>3.0009244027587405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4.4337866711430253E-14</v>
      </c>
      <c r="CA108" s="13">
        <f t="shared" si="93"/>
        <v>7.3222115536967035E-13</v>
      </c>
      <c r="CB108" s="20">
        <f t="shared" si="64"/>
        <v>1.3525069634579169E-12</v>
      </c>
      <c r="CC108" s="59">
        <f t="shared" si="65"/>
        <v>293.33333333333468</v>
      </c>
      <c r="CD108" s="59">
        <f ca="1">AVERAGE(OFFSET($CC$3,0,0,'Données projet'!$E$12+1,1))-AVERAGE(OFFSET($H$3,0,0,'Données projet'!$E$12+1,1))</f>
        <v>216.95993967070063</v>
      </c>
      <c r="CE108" s="59">
        <f t="shared" si="94"/>
        <v>208.79744153433245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1.1698838363025887</v>
      </c>
      <c r="CL108" s="21">
        <f>EXP(-LN(2)/25)*CL107+(1-EXP(-LN(2)/25))/(LN(2)/25)*Calculateur!CG108*Calculateur!CI108*VLOOKUP('Données projet'!$B$12,Paramètres!$A$1:$I$89,3,0)*0.475*44/12</f>
        <v>0.80216952952483656</v>
      </c>
      <c r="CM108" s="21">
        <f>EXP(-LN(2)/2)*CM107+(1-EXP(-LN(2)/2))/(LN(2)/2)*CG108*CJ108*VLOOKUP('Données projet'!$B$12,Paramètres!$A$1:$I$89,3,0)*0.475*44/12</f>
        <v>6.3467656888827038E-12</v>
      </c>
      <c r="CN108" s="22">
        <f t="shared" si="66"/>
        <v>1.972053365833772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3.813056537183002E-14</v>
      </c>
      <c r="CV108" s="13">
        <f t="shared" si="95"/>
        <v>6.4086286045526829E-13</v>
      </c>
      <c r="CW108" s="20">
        <f t="shared" si="67"/>
        <v>1.1825802166488628E-12</v>
      </c>
      <c r="CX108" s="59">
        <f t="shared" si="68"/>
        <v>293.33333333333451</v>
      </c>
      <c r="CY108" s="59">
        <f ca="1">AVERAGE(OFFSET($CX$3,0,0,'Données projet'!$E$13+1,1))-AVERAGE(OFFSET($H$3,0,0,'Données projet'!$E$13+1,1))</f>
        <v>181.32837315090507</v>
      </c>
      <c r="CZ108" s="59">
        <f t="shared" si="96"/>
        <v>175.03267817980338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1.2400768664807429</v>
      </c>
      <c r="DG108" s="21">
        <f>EXP(-LN(2)/25)*DG107+(1-EXP(-LN(2)/25))/(LN(2)/25)*Calculateur!DB108*Calculateur!DD108*VLOOKUP('Données projet'!$B$13,Paramètres!$A$1:$I$89,3,0)*0.475*44/12</f>
        <v>0.85029970129632704</v>
      </c>
      <c r="DH108" s="21">
        <f>EXP(-LN(2)/2)*DH107+(1-EXP(-LN(2)/2))/(LN(2)/2)*DB108*DE108*VLOOKUP('Données projet'!$B$13,Paramètres!$A$1:$I$89,3,0)*0.475*44/12</f>
        <v>5.458218492439123E-12</v>
      </c>
      <c r="DI108" s="22">
        <f t="shared" si="69"/>
        <v>2.0903765677825281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-2.8421709430404007E-13</v>
      </c>
      <c r="DP108" s="17">
        <f>DO108*VLOOKUP('Données projet'!$B$14,Paramètres!$A$1:$I$89,3,0)*VLOOKUP('Données projet'!$B$14,Paramètres!$A$1:$I$89,5,0)</f>
        <v>-2.2612312022829427E-13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325.72928944930294</v>
      </c>
      <c r="DU108" s="59">
        <f t="shared" si="98"/>
        <v>318.38876834819752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3.9205179675704747</v>
      </c>
      <c r="EB108" s="21">
        <f>EXP(-LN(2)/25)*EB107+(1-EXP(-LN(2)/25))/(LN(2)/25)*Calculateur!DW108*Calculateur!DY108*VLOOKUP('Données projet'!$B$14,Paramètres!$A$1:$I$89,3,0)*0.475*44/12</f>
        <v>2.5849851082841524</v>
      </c>
      <c r="EC108" s="21">
        <f>EXP(-LN(2)/2)*EC107+(1-EXP(-LN(2)/2))/(LN(2)/2)*DW108*DZ108*VLOOKUP('Données projet'!$B$14,Paramètres!$A$1:$I$89,3,0)*0.475*44/12</f>
        <v>6.0862482952841531E-11</v>
      </c>
      <c r="ED108" s="22">
        <f t="shared" si="72"/>
        <v>6.505503075915489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333</v>
      </c>
      <c r="EH108" s="12">
        <f>VLOOKUP(A108,'Données projet'!$A$191:$I$211,9,0)</f>
        <v>5.4</v>
      </c>
      <c r="EI108" s="12">
        <f t="array" ref="EI108">INDEX(EH:EH,MIN(IF(ISNUMBER(EH108:EH304),ROW(EH108:EH304),"")))</f>
        <v>5.4</v>
      </c>
      <c r="EJ108" s="12">
        <f>IF('Données projet'!$A$192&gt;35,EJ107+EI108-ER107,IF(A108&lt;'Données projet'!$A$192,$EG$205^A108,IF(A108='Données projet'!$A$192,'Données projet'!$B$192,EJ107+EI108-ER107)))</f>
        <v>332.99999999999989</v>
      </c>
      <c r="EK108" s="17">
        <f>EJ108*VLOOKUP('Données projet'!$B$15,Paramètres!$A$1:$I$89,3,0)*VLOOKUP('Données projet'!$B$15,Paramètres!$A$1:$I$89,5,0)</f>
        <v>337.66199999999992</v>
      </c>
      <c r="EL108" s="13">
        <f t="shared" si="99"/>
        <v>79.016707002632685</v>
      </c>
      <c r="EM108" s="20">
        <f t="shared" si="73"/>
        <v>725.71541469625174</v>
      </c>
      <c r="EN108" s="59">
        <f t="shared" si="74"/>
        <v>1019.0487480295851</v>
      </c>
      <c r="EO108" s="59">
        <f ca="1">AVERAGE(OFFSET($EN$3,0,0,'Données projet'!$E$15+1,1))-AVERAGE(OFFSET($H$3,0,0,'Données projet'!$E$15+1,1))</f>
        <v>384.50065773787549</v>
      </c>
      <c r="EP108" s="59">
        <f t="shared" si="100"/>
        <v>231.92898690465887</v>
      </c>
      <c r="EQ108" s="15">
        <f>IF(ISNA(VLOOKUP(A108,'Données projet'!$A$191:$I$211,3,0)),0,VLOOKUP(A108,'Données projet'!$A$191:$I$211,3,0))</f>
        <v>18</v>
      </c>
      <c r="ER108" s="15">
        <f>IF(ISNA(VLOOKUP(A108,'Données projet'!$A$191:$I$211,4,0)),0,VLOOKUP(A108,'Données projet'!$A$191:$I$211,4,0))</f>
        <v>26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1.8545820106250688</v>
      </c>
      <c r="EW108" s="21">
        <f>EXP(-LN(2)/25)*EW107+(1-EXP(-LN(2)/25))/(LN(2)/25)*Calculateur!ER108*Calculateur!ET108*VLOOKUP('Données projet'!$B$15,Paramètres!$A$1:$I$89,3,0)*0.475*44/12</f>
        <v>1.3118745652759656</v>
      </c>
      <c r="EX108" s="21">
        <f>EXP(-LN(2)/2)*EX107+(1-EXP(-LN(2)/2))/(LN(2)/2)*ER108*EU108*VLOOKUP('Données projet'!$B$15,Paramètres!$A$1:$I$89,3,0)*0.475*44/12</f>
        <v>4.9210245600339173E-11</v>
      </c>
      <c r="EY108" s="22">
        <f t="shared" si="75"/>
        <v>3.166456575950245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333</v>
      </c>
      <c r="FC108" s="12">
        <f>VLOOKUP(A108,'Données projet'!$A$217:$I$237,9,0)</f>
        <v>5.4</v>
      </c>
      <c r="FD108" s="12">
        <f t="array" ref="FD108">INDEX(FC:FC,MIN(IF(ISNUMBER(FC108:FC304),ROW(FC108:FC304),"")))</f>
        <v>5.4</v>
      </c>
      <c r="FE108" s="12">
        <f>IF('Données projet'!$A$218&gt;35,FE107+FD108-FM107,IF(A108&lt;'Données projet'!$A$218,$FB$205^A108,IF(A108='Données projet'!$A$218,'Données projet'!$B$218,FE107+FD108-FM107)))</f>
        <v>332.99999999999977</v>
      </c>
      <c r="FF108" s="17">
        <f>FE108*VLOOKUP('Données projet'!$B$16,Paramètres!$A$1:$I$89,3,0)*VLOOKUP('Données projet'!$B$16,Paramètres!$A$1:$I$89,5,0)</f>
        <v>301.29839999999979</v>
      </c>
      <c r="FG108" s="13">
        <f t="shared" si="101"/>
        <v>71.448589534990461</v>
      </c>
      <c r="FH108" s="20">
        <f t="shared" si="76"/>
        <v>649.20100677344124</v>
      </c>
      <c r="FI108" s="59">
        <f t="shared" si="77"/>
        <v>942.53434010677461</v>
      </c>
      <c r="FJ108" s="59">
        <f ca="1">AVERAGE(OFFSET($FI$3,0,0,'Données projet'!$E$16+1,1))-AVERAGE(OFFSET($H$3,0,0,'Données projet'!$E$16+1,1))</f>
        <v>326.46362829268969</v>
      </c>
      <c r="FK108" s="59">
        <f t="shared" si="102"/>
        <v>203.5274665601915</v>
      </c>
      <c r="FL108" s="15">
        <f>IF(ISNA(VLOOKUP(A108,'Données projet'!$A$217:$I$237,3,0)),0,VLOOKUP(A108,'Données projet'!$A$217:$I$237,3,0))</f>
        <v>18</v>
      </c>
      <c r="FM108" s="15">
        <f>IF(ISNA(VLOOKUP(A108,'Données projet'!$A$217:$I$237,4,0)),0,VLOOKUP(A108,'Données projet'!$A$217:$I$237,4,0))</f>
        <v>26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1.6548577940962133</v>
      </c>
      <c r="FR108" s="21">
        <f>EXP(-LN(2)/25)*FR107+(1-EXP(-LN(2)/25))/(LN(2)/25)*Calculateur!FM108*Calculateur!FO108*VLOOKUP('Données projet'!$B$16,Paramètres!$A$1:$I$89,3,0)*0.475*44/12</f>
        <v>1.1705957659385524</v>
      </c>
      <c r="FS108" s="21">
        <f>EXP(-LN(2)/2)*FS107+(1-EXP(-LN(2)/2))/(LN(2)/2)*FM108*FP108*VLOOKUP('Données projet'!$B$16,Paramètres!$A$1:$I$89,3,0)*0.475*44/12</f>
        <v>4.3910680689533414E-11</v>
      </c>
      <c r="FT108" s="22">
        <f t="shared" si="78"/>
        <v>2.8254535600786763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>
        <f>VLOOKUP(A108,'Données projet'!$A$243:$I$263,2,0)</f>
        <v>333</v>
      </c>
      <c r="FX108" s="12">
        <f>VLOOKUP(A108,'Données projet'!$A$243:$I$263,9,0)</f>
        <v>5.4</v>
      </c>
      <c r="FY108" s="12">
        <f t="array" ref="FY108">INDEX(FX:FX,MIN(IF(ISNUMBER(FX108:FX304),ROW(FX108:FX304),"")))</f>
        <v>5.4</v>
      </c>
      <c r="FZ108" s="12">
        <f>IF('Données projet'!$A$244&gt;35,FZ107+FY108-GH107,IF(A108&lt;'Données projet'!$A$244,$FW$205^A108,IF(A108='Données projet'!$A$244,'Données projet'!$B$244,FZ107+FY108-GH107)))</f>
        <v>332.99999999999977</v>
      </c>
      <c r="GA108" s="17">
        <f>FZ108*VLOOKUP('Données projet'!$B$17,Paramètres!$A$1:$I$89,3,0)*VLOOKUP('Données projet'!$B$17,Paramètres!$A$1:$I$89,5,0)</f>
        <v>322.07759999999979</v>
      </c>
      <c r="GB108" s="13">
        <f t="shared" si="103"/>
        <v>75.785475796129404</v>
      </c>
      <c r="GC108" s="20">
        <f t="shared" si="79"/>
        <v>692.94485701159158</v>
      </c>
      <c r="GD108" s="59">
        <f t="shared" si="80"/>
        <v>986.27819034492495</v>
      </c>
      <c r="GE108" s="59">
        <f ca="1">AVERAGE(OFFSET($GD$3,0,0,'Données projet'!$E$17+1,1))-AVERAGE(OFFSET($H$3,0,0,'Données projet'!$E$17+1,1))</f>
        <v>353.24082990916918</v>
      </c>
      <c r="GF108" s="59">
        <f t="shared" si="104"/>
        <v>219.76562717496353</v>
      </c>
      <c r="GG108" s="15">
        <f>IF(ISNA(VLOOKUP(A108,'Données projet'!$A$243:$I$263,3,0)),0,VLOOKUP(A108,'Données projet'!$A$243:$I$263,3,0))</f>
        <v>18</v>
      </c>
      <c r="GH108" s="15">
        <f>IF(ISNA(VLOOKUP(A108,'Données projet'!$A$243:$I$263,4,0)),0,VLOOKUP(A108,'Données projet'!$A$243:$I$263,4,0))</f>
        <v>26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1.7689859178269878</v>
      </c>
      <c r="GM108" s="21">
        <f>EXP(-LN(2)/25)*GM107+(1-EXP(-LN(2)/25))/(LN(2)/25)*Calculateur!GH108*Calculateur!GJ108*VLOOKUP('Données projet'!$B$17,Paramètres!$A$1:$I$89,3,0)*0.475*44/12</f>
        <v>1.2513265084170746</v>
      </c>
      <c r="GN108" s="21">
        <f>EXP(-LN(2)/2)*GN107+(1-EXP(-LN(2)/2))/(LN(2)/2)*GH108*GK108*VLOOKUP('Données projet'!$B$17,Paramètres!$A$1:$I$89,3,0)*0.475*44/12</f>
        <v>4.6939003495708146E-11</v>
      </c>
      <c r="GO108" s="21">
        <f t="shared" si="81"/>
        <v>3.0203124262910013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378.17323480030268</v>
      </c>
      <c r="T109" s="59">
        <f t="shared" si="88"/>
        <v>471.89239871617241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0.97782576374017138</v>
      </c>
      <c r="AA109" s="21">
        <f>EXP(-LN(2)/25)*AA108+(1-EXP(-LN(2)/25))/(LN(2)/25)*Calculateur!V109*Calculateur!X109*VLOOKUP('Données projet'!$B$9,Paramètres!$A$1:$I$89,3,0)*0.475*44/12</f>
        <v>2.5290725225776214</v>
      </c>
      <c r="AB109" s="21">
        <f>EXP(-LN(2)/2)*AB108+(1-EXP(-LN(2)/2))/(LN(2)/2)*V109*Y109*VLOOKUP('Données projet'!$B$9,Paramètres!$A$1:$I$89,3,0)*0.475*44/12</f>
        <v>3.8055408116900616E-11</v>
      </c>
      <c r="AC109" s="22">
        <f t="shared" si="57"/>
        <v>3.506898286355848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141.22849894256314</v>
      </c>
      <c r="AO109" s="59">
        <f t="shared" si="90"/>
        <v>156.12101479343704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1.6328154951617493</v>
      </c>
      <c r="AV109" s="21">
        <f>EXP(-LN(2)/25)*AV108+(1-EXP(-LN(2)/25))/(LN(2)/25)*Calculateur!AQ109*Calculateur!AS109*VLOOKUP('Données projet'!$B$10,Paramètres!$A$1:$I$89,3,0)*0.475*44/12</f>
        <v>0.73223139000918558</v>
      </c>
      <c r="AW109" s="21">
        <f>EXP(-LN(2)/2)*AW108+(1-EXP(-LN(2)/2))/(LN(2)/2)*AQ109*AT109*VLOOKUP('Données projet'!$B$10,Paramètres!$A$1:$I$89,3,0)*0.475*44/12</f>
        <v>1.0761035919828332E-11</v>
      </c>
      <c r="AX109" s="21">
        <f t="shared" si="60"/>
        <v>2.3650468851816959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114.25511901730295</v>
      </c>
      <c r="BJ109" s="59">
        <f t="shared" si="92"/>
        <v>180.96261947642182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0.75884669520232084</v>
      </c>
      <c r="BQ109" s="21">
        <f>EXP(-LN(2)/25)*BQ108+(1-EXP(-LN(2)/25))/(LN(2)/25)*Calculateur!BL109*Calculateur!BN109*VLOOKUP('Données projet'!$B$11,Paramètres!$A$1:$I$89,3,0)*0.475*44/12</f>
        <v>2.1660048669477008</v>
      </c>
      <c r="BR109" s="21">
        <f>EXP(-LN(2)/2)*BR108+(1-EXP(-LN(2)/2))/(LN(2)/2)*BL109*BO109*VLOOKUP('Données projet'!$B$11,Paramètres!$A$1:$I$89,3,0)*0.475*44/12</f>
        <v>2.4854898722630644E-11</v>
      </c>
      <c r="BS109" s="22">
        <f t="shared" si="63"/>
        <v>2.9248515621748763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4.4337866711430253E-14</v>
      </c>
      <c r="CA109" s="13">
        <f t="shared" si="93"/>
        <v>7.3222115536967035E-13</v>
      </c>
      <c r="CB109" s="20">
        <f t="shared" si="64"/>
        <v>1.3525069634579169E-12</v>
      </c>
      <c r="CC109" s="59">
        <f t="shared" si="65"/>
        <v>293.33333333333468</v>
      </c>
      <c r="CD109" s="59">
        <f ca="1">AVERAGE(OFFSET($CC$3,0,0,'Données projet'!$E$12+1,1))-AVERAGE(OFFSET($H$3,0,0,'Données projet'!$E$12+1,1))</f>
        <v>216.95993967070063</v>
      </c>
      <c r="CE109" s="59">
        <f t="shared" si="94"/>
        <v>208.79744153433245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1.1469431278313771</v>
      </c>
      <c r="CL109" s="21">
        <f>EXP(-LN(2)/25)*CL108+(1-EXP(-LN(2)/25))/(LN(2)/25)*Calculateur!CG109*Calculateur!CI109*VLOOKUP('Données projet'!$B$12,Paramètres!$A$1:$I$89,3,0)*0.475*44/12</f>
        <v>0.78023416155571768</v>
      </c>
      <c r="CM109" s="21">
        <f>EXP(-LN(2)/2)*CM108+(1-EXP(-LN(2)/2))/(LN(2)/2)*CG109*CJ109*VLOOKUP('Données projet'!$B$12,Paramètres!$A$1:$I$89,3,0)*0.475*44/12</f>
        <v>4.4878410572110696E-12</v>
      </c>
      <c r="CN109" s="22">
        <f t="shared" si="66"/>
        <v>1.9271772893915824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3.813056537183002E-14</v>
      </c>
      <c r="CV109" s="13">
        <f t="shared" si="95"/>
        <v>6.4086286045526829E-13</v>
      </c>
      <c r="CW109" s="20">
        <f t="shared" si="67"/>
        <v>1.1825802166488628E-12</v>
      </c>
      <c r="CX109" s="59">
        <f t="shared" si="68"/>
        <v>293.33333333333451</v>
      </c>
      <c r="CY109" s="59">
        <f ca="1">AVERAGE(OFFSET($CX$3,0,0,'Données projet'!$E$13+1,1))-AVERAGE(OFFSET($H$3,0,0,'Données projet'!$E$13+1,1))</f>
        <v>181.32837315090507</v>
      </c>
      <c r="CZ109" s="59">
        <f t="shared" si="96"/>
        <v>175.03267817980338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1.2157597155012585</v>
      </c>
      <c r="DG109" s="21">
        <f>EXP(-LN(2)/25)*DG108+(1-EXP(-LN(2)/25))/(LN(2)/25)*Calculateur!DB109*Calculateur!DD109*VLOOKUP('Données projet'!$B$13,Paramètres!$A$1:$I$89,3,0)*0.475*44/12</f>
        <v>0.82704821124906103</v>
      </c>
      <c r="DH109" s="21">
        <f>EXP(-LN(2)/2)*DH108+(1-EXP(-LN(2)/2))/(LN(2)/2)*DB109*DE109*VLOOKUP('Données projet'!$B$13,Paramètres!$A$1:$I$89,3,0)*0.475*44/12</f>
        <v>3.8595433092015182E-12</v>
      </c>
      <c r="DI109" s="22">
        <f t="shared" si="69"/>
        <v>2.042807926754179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-2.8421709430404007E-13</v>
      </c>
      <c r="DP109" s="17">
        <f>DO109*VLOOKUP('Données projet'!$B$14,Paramètres!$A$1:$I$89,3,0)*VLOOKUP('Données projet'!$B$14,Paramètres!$A$1:$I$89,5,0)</f>
        <v>-2.2612312022829427E-13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325.72928944930294</v>
      </c>
      <c r="DU109" s="59">
        <f t="shared" si="98"/>
        <v>318.38876834819752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3.8436390015062587</v>
      </c>
      <c r="EB109" s="21">
        <f>EXP(-LN(2)/25)*EB108+(1-EXP(-LN(2)/25))/(LN(2)/25)*Calculateur!DW109*Calculateur!DY109*VLOOKUP('Données projet'!$B$14,Paramètres!$A$1:$I$89,3,0)*0.475*44/12</f>
        <v>2.5142985545596637</v>
      </c>
      <c r="EC109" s="21">
        <f>EXP(-LN(2)/2)*EC108+(1-EXP(-LN(2)/2))/(LN(2)/2)*DW109*DZ109*VLOOKUP('Données projet'!$B$14,Paramètres!$A$1:$I$89,3,0)*0.475*44/12</f>
        <v>4.3036274415804897E-11</v>
      </c>
      <c r="ED109" s="22">
        <f t="shared" si="72"/>
        <v>6.3579375561089586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</v>
      </c>
      <c r="EJ109" s="12">
        <f>IF('Données projet'!$A$192&gt;35,EJ108+EI109-ER108,IF(A109&lt;'Données projet'!$A$192,$EG$205^A109,IF(A109='Données projet'!$A$192,'Données projet'!$B$192,EJ108+EI109-ER108)))</f>
        <v>311.99999999999989</v>
      </c>
      <c r="EK109" s="17">
        <f>EJ109*VLOOKUP('Données projet'!$B$15,Paramètres!$A$1:$I$89,3,0)*VLOOKUP('Données projet'!$B$15,Paramètres!$A$1:$I$89,5,0)</f>
        <v>316.36799999999988</v>
      </c>
      <c r="EL109" s="13">
        <f t="shared" si="99"/>
        <v>74.597144109003438</v>
      </c>
      <c r="EM109" s="20">
        <f t="shared" si="73"/>
        <v>680.93095932318067</v>
      </c>
      <c r="EN109" s="59">
        <f t="shared" si="74"/>
        <v>974.26429265651404</v>
      </c>
      <c r="EO109" s="59">
        <f ca="1">AVERAGE(OFFSET($EN$3,0,0,'Données projet'!$E$15+1,1))-AVERAGE(OFFSET($H$3,0,0,'Données projet'!$E$15+1,1))</f>
        <v>384.50065773787549</v>
      </c>
      <c r="EP109" s="59">
        <f t="shared" si="100"/>
        <v>231.92898690465887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1.8182147885800426</v>
      </c>
      <c r="EW109" s="21">
        <f>EXP(-LN(2)/25)*EW108+(1-EXP(-LN(2)/25))/(LN(2)/25)*Calculateur!ER109*Calculateur!ET109*VLOOKUP('Données projet'!$B$15,Paramètres!$A$1:$I$89,3,0)*0.475*44/12</f>
        <v>1.2760012863000092</v>
      </c>
      <c r="EX109" s="21">
        <f>EXP(-LN(2)/2)*EX108+(1-EXP(-LN(2)/2))/(LN(2)/2)*ER109*EU109*VLOOKUP('Données projet'!$B$15,Paramètres!$A$1:$I$89,3,0)*0.475*44/12</f>
        <v>3.4796898367855294E-11</v>
      </c>
      <c r="EY109" s="22">
        <f t="shared" si="75"/>
        <v>3.0942160749148488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5</v>
      </c>
      <c r="FE109" s="12">
        <f>IF('Données projet'!$A$218&gt;35,FE108+FD109-FM108,IF(A109&lt;'Données projet'!$A$218,$FB$205^A109,IF(A109='Données projet'!$A$218,'Données projet'!$B$218,FE108+FD109-FM108)))</f>
        <v>311.99999999999977</v>
      </c>
      <c r="FF109" s="17">
        <f>FE109*VLOOKUP('Données projet'!$B$16,Paramètres!$A$1:$I$89,3,0)*VLOOKUP('Données projet'!$B$16,Paramètres!$A$1:$I$89,5,0)</f>
        <v>282.29759999999982</v>
      </c>
      <c r="FG109" s="13">
        <f t="shared" si="101"/>
        <v>67.452326629470107</v>
      </c>
      <c r="FH109" s="20">
        <f t="shared" si="76"/>
        <v>609.1477888796602</v>
      </c>
      <c r="FI109" s="59">
        <f t="shared" si="77"/>
        <v>902.48112221299357</v>
      </c>
      <c r="FJ109" s="59">
        <f ca="1">AVERAGE(OFFSET($FI$3,0,0,'Données projet'!$E$16+1,1))-AVERAGE(OFFSET($H$3,0,0,'Données projet'!$E$16+1,1))</f>
        <v>326.46362829268969</v>
      </c>
      <c r="FK109" s="59">
        <f t="shared" si="102"/>
        <v>203.5274665601915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1.6224070421175745</v>
      </c>
      <c r="FR109" s="21">
        <f>EXP(-LN(2)/25)*FR108+(1-EXP(-LN(2)/25))/(LN(2)/25)*Calculateur!FM109*Calculateur!FO109*VLOOKUP('Données projet'!$B$16,Paramètres!$A$1:$I$89,3,0)*0.475*44/12</f>
        <v>1.1385857631600067</v>
      </c>
      <c r="FS109" s="21">
        <f>EXP(-LN(2)/2)*FS108+(1-EXP(-LN(2)/2))/(LN(2)/2)*FM109*FP109*VLOOKUP('Données projet'!$B$16,Paramètres!$A$1:$I$89,3,0)*0.475*44/12</f>
        <v>3.1049540082086261E-11</v>
      </c>
      <c r="FT109" s="22">
        <f t="shared" si="78"/>
        <v>2.7609928053086308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5</v>
      </c>
      <c r="FZ109" s="12">
        <f>IF('Données projet'!$A$244&gt;35,FZ108+FY109-GH108,IF(A109&lt;'Données projet'!$A$244,$FW$205^A109,IF(A109='Données projet'!$A$244,'Données projet'!$B$244,FZ108+FY109-GH108)))</f>
        <v>311.99999999999977</v>
      </c>
      <c r="GA109" s="17">
        <f>FZ109*VLOOKUP('Données projet'!$B$17,Paramètres!$A$1:$I$89,3,0)*VLOOKUP('Données projet'!$B$17,Paramètres!$A$1:$I$89,5,0)</f>
        <v>301.76639999999981</v>
      </c>
      <c r="GB109" s="13">
        <f t="shared" si="103"/>
        <v>71.546642144235292</v>
      </c>
      <c r="GC109" s="20">
        <f t="shared" si="79"/>
        <v>650.18688173454279</v>
      </c>
      <c r="GD109" s="59">
        <f t="shared" si="80"/>
        <v>943.52021506787605</v>
      </c>
      <c r="GE109" s="59">
        <f ca="1">AVERAGE(OFFSET($GD$3,0,0,'Données projet'!$E$17+1,1))-AVERAGE(OFFSET($H$3,0,0,'Données projet'!$E$17+1,1))</f>
        <v>353.24082990916918</v>
      </c>
      <c r="GF109" s="59">
        <f t="shared" si="104"/>
        <v>219.76562717496353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1.7342971829532705</v>
      </c>
      <c r="GM109" s="21">
        <f>EXP(-LN(2)/25)*GM108+(1-EXP(-LN(2)/25))/(LN(2)/25)*Calculateur!GH109*Calculateur!GJ109*VLOOKUP('Données projet'!$B$17,Paramètres!$A$1:$I$89,3,0)*0.475*44/12</f>
        <v>1.2171089192400086</v>
      </c>
      <c r="GN109" s="21">
        <f>EXP(-LN(2)/2)*GN108+(1-EXP(-LN(2)/2))/(LN(2)/2)*GH109*GK109*VLOOKUP('Données projet'!$B$17,Paramètres!$A$1:$I$89,3,0)*0.475*44/12</f>
        <v>3.3190887673954289E-11</v>
      </c>
      <c r="GO109" s="21">
        <f t="shared" si="81"/>
        <v>2.9514061022264699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378.17323480030268</v>
      </c>
      <c r="T110" s="59">
        <f t="shared" si="88"/>
        <v>471.89239871617241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0.95865119692805145</v>
      </c>
      <c r="AA110" s="21">
        <f>EXP(-LN(2)/25)*AA109+(1-EXP(-LN(2)/25))/(LN(2)/25)*Calculateur!V110*Calculateur!X110*VLOOKUP('Données projet'!$B$9,Paramètres!$A$1:$I$89,3,0)*0.475*44/12</f>
        <v>2.4599149014495927</v>
      </c>
      <c r="AB110" s="21">
        <f>EXP(-LN(2)/2)*AB109+(1-EXP(-LN(2)/2))/(LN(2)/2)*V110*Y110*VLOOKUP('Données projet'!$B$9,Paramètres!$A$1:$I$89,3,0)*0.475*44/12</f>
        <v>2.6909237140282009E-11</v>
      </c>
      <c r="AC110" s="22">
        <f t="shared" si="57"/>
        <v>3.4185660984045532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141.22849894256314</v>
      </c>
      <c r="AO110" s="59">
        <f t="shared" si="90"/>
        <v>156.12101479343704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1.6007969792207406</v>
      </c>
      <c r="AV110" s="21">
        <f>EXP(-LN(2)/25)*AV109+(1-EXP(-LN(2)/25))/(LN(2)/25)*Calculateur!AQ110*Calculateur!AS110*VLOOKUP('Données projet'!$B$10,Paramètres!$A$1:$I$89,3,0)*0.475*44/12</f>
        <v>0.71220848414300919</v>
      </c>
      <c r="AW110" s="21">
        <f>EXP(-LN(2)/2)*AW109+(1-EXP(-LN(2)/2))/(LN(2)/2)*AQ110*AT110*VLOOKUP('Données projet'!$B$10,Paramètres!$A$1:$I$89,3,0)*0.475*44/12</f>
        <v>7.6092014715026307E-12</v>
      </c>
      <c r="AX110" s="21">
        <f t="shared" si="60"/>
        <v>2.3130054633713586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114.25511901730295</v>
      </c>
      <c r="BJ110" s="59">
        <f t="shared" si="92"/>
        <v>180.96261947642182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0.74396617436018464</v>
      </c>
      <c r="BQ110" s="21">
        <f>EXP(-LN(2)/25)*BQ109+(1-EXP(-LN(2)/25))/(LN(2)/25)*Calculateur!BL110*Calculateur!BN110*VLOOKUP('Données projet'!$B$11,Paramètres!$A$1:$I$89,3,0)*0.475*44/12</f>
        <v>2.1067753499557704</v>
      </c>
      <c r="BR110" s="21">
        <f>EXP(-LN(2)/2)*BR109+(1-EXP(-LN(2)/2))/(LN(2)/2)*BL110*BO110*VLOOKUP('Données projet'!$B$11,Paramètres!$A$1:$I$89,3,0)*0.475*44/12</f>
        <v>1.7575067432476986E-11</v>
      </c>
      <c r="BS110" s="22">
        <f t="shared" si="63"/>
        <v>2.8507415243335306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4.4337866711430253E-14</v>
      </c>
      <c r="CA110" s="13">
        <f t="shared" si="93"/>
        <v>7.3222115536967035E-13</v>
      </c>
      <c r="CB110" s="20">
        <f t="shared" si="64"/>
        <v>1.3525069634579169E-12</v>
      </c>
      <c r="CC110" s="59">
        <f t="shared" si="65"/>
        <v>293.33333333333468</v>
      </c>
      <c r="CD110" s="59">
        <f ca="1">AVERAGE(OFFSET($CC$3,0,0,'Données projet'!$E$12+1,1))-AVERAGE(OFFSET($H$3,0,0,'Données projet'!$E$12+1,1))</f>
        <v>216.95993967070063</v>
      </c>
      <c r="CE110" s="59">
        <f t="shared" si="94"/>
        <v>208.79744153433245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1.1244522726608353</v>
      </c>
      <c r="CL110" s="21">
        <f>EXP(-LN(2)/25)*CL109+(1-EXP(-LN(2)/25))/(LN(2)/25)*Calculateur!CG110*Calculateur!CI110*VLOOKUP('Données projet'!$B$12,Paramètres!$A$1:$I$89,3,0)*0.475*44/12</f>
        <v>0.75889861737724529</v>
      </c>
      <c r="CM110" s="21">
        <f>EXP(-LN(2)/2)*CM109+(1-EXP(-LN(2)/2))/(LN(2)/2)*CG110*CJ110*VLOOKUP('Données projet'!$B$12,Paramètres!$A$1:$I$89,3,0)*0.475*44/12</f>
        <v>3.1733828444413519E-12</v>
      </c>
      <c r="CN110" s="22">
        <f t="shared" si="66"/>
        <v>1.8833508900412541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3.813056537183002E-14</v>
      </c>
      <c r="CV110" s="13">
        <f t="shared" si="95"/>
        <v>6.4086286045526829E-13</v>
      </c>
      <c r="CW110" s="20">
        <f t="shared" si="67"/>
        <v>1.1825802166488628E-12</v>
      </c>
      <c r="CX110" s="59">
        <f t="shared" si="68"/>
        <v>293.33333333333451</v>
      </c>
      <c r="CY110" s="59">
        <f ca="1">AVERAGE(OFFSET($CX$3,0,0,'Données projet'!$E$13+1,1))-AVERAGE(OFFSET($H$3,0,0,'Données projet'!$E$13+1,1))</f>
        <v>181.32837315090507</v>
      </c>
      <c r="CZ110" s="59">
        <f t="shared" si="96"/>
        <v>175.03267817980338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1.1919194090204843</v>
      </c>
      <c r="DG110" s="21">
        <f>EXP(-LN(2)/25)*DG109+(1-EXP(-LN(2)/25))/(LN(2)/25)*Calculateur!DB110*Calculateur!DD110*VLOOKUP('Données projet'!$B$13,Paramètres!$A$1:$I$89,3,0)*0.475*44/12</f>
        <v>0.80443253441988027</v>
      </c>
      <c r="DH110" s="21">
        <f>EXP(-LN(2)/2)*DH109+(1-EXP(-LN(2)/2))/(LN(2)/2)*DB110*DE110*VLOOKUP('Données projet'!$B$13,Paramètres!$A$1:$I$89,3,0)*0.475*44/12</f>
        <v>2.7291092462195615E-12</v>
      </c>
      <c r="DI110" s="22">
        <f t="shared" si="69"/>
        <v>1.9963519434430939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-2.8421709430404007E-13</v>
      </c>
      <c r="DP110" s="17">
        <f>DO110*VLOOKUP('Données projet'!$B$14,Paramètres!$A$1:$I$89,3,0)*VLOOKUP('Données projet'!$B$14,Paramètres!$A$1:$I$89,5,0)</f>
        <v>-2.2612312022829427E-13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325.72928944930294</v>
      </c>
      <c r="DU110" s="59">
        <f t="shared" si="98"/>
        <v>318.38876834819752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3.7682675850750229</v>
      </c>
      <c r="EB110" s="21">
        <f>EXP(-LN(2)/25)*EB109+(1-EXP(-LN(2)/25))/(LN(2)/25)*Calculateur!DW110*Calculateur!DY110*VLOOKUP('Données projet'!$B$14,Paramètres!$A$1:$I$89,3,0)*0.475*44/12</f>
        <v>2.4455449283640154</v>
      </c>
      <c r="EC110" s="21">
        <f>EXP(-LN(2)/2)*EC109+(1-EXP(-LN(2)/2))/(LN(2)/2)*DW110*DZ110*VLOOKUP('Données projet'!$B$14,Paramètres!$A$1:$I$89,3,0)*0.475*44/12</f>
        <v>3.0431241476420765E-11</v>
      </c>
      <c r="ED110" s="22">
        <f t="shared" si="72"/>
        <v>6.2138125134694695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</v>
      </c>
      <c r="EJ110" s="12">
        <f>IF('Données projet'!$A$192&gt;35,EJ109+EI110-ER109,IF(A110&lt;'Données projet'!$A$192,$EG$205^A110,IF(A110='Données projet'!$A$192,'Données projet'!$B$192,EJ109+EI110-ER109)))</f>
        <v>316.99999999999989</v>
      </c>
      <c r="EK110" s="17">
        <f>EJ110*VLOOKUP('Données projet'!$B$15,Paramètres!$A$1:$I$89,3,0)*VLOOKUP('Données projet'!$B$15,Paramètres!$A$1:$I$89,5,0)</f>
        <v>321.43799999999987</v>
      </c>
      <c r="EL110" s="13">
        <f t="shared" si="99"/>
        <v>75.652479406660177</v>
      </c>
      <c r="EM110" s="20">
        <f t="shared" si="73"/>
        <v>691.59925163326625</v>
      </c>
      <c r="EN110" s="59">
        <f t="shared" si="74"/>
        <v>984.93258496659951</v>
      </c>
      <c r="EO110" s="59">
        <f ca="1">AVERAGE(OFFSET($EN$3,0,0,'Données projet'!$E$15+1,1))-AVERAGE(OFFSET($H$3,0,0,'Données projet'!$E$15+1,1))</f>
        <v>384.50065773787549</v>
      </c>
      <c r="EP110" s="59">
        <f t="shared" si="100"/>
        <v>231.92898690465887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1.7825607055775041</v>
      </c>
      <c r="EW110" s="21">
        <f>EXP(-LN(2)/25)*EW109+(1-EXP(-LN(2)/25))/(LN(2)/25)*Calculateur!ER110*Calculateur!ET110*VLOOKUP('Données projet'!$B$15,Paramètres!$A$1:$I$89,3,0)*0.475*44/12</f>
        <v>1.2411089640241442</v>
      </c>
      <c r="EX110" s="21">
        <f>EXP(-LN(2)/2)*EX109+(1-EXP(-LN(2)/2))/(LN(2)/2)*ER110*EU110*VLOOKUP('Données projet'!$B$15,Paramètres!$A$1:$I$89,3,0)*0.475*44/12</f>
        <v>2.4605122800169587E-11</v>
      </c>
      <c r="EY110" s="22">
        <f t="shared" si="75"/>
        <v>3.0236696696262535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5</v>
      </c>
      <c r="FE110" s="12">
        <f>IF('Données projet'!$A$218&gt;35,FE109+FD110-FM109,IF(A110&lt;'Données projet'!$A$218,$FB$205^A110,IF(A110='Données projet'!$A$218,'Données projet'!$B$218,FE109+FD110-FM109)))</f>
        <v>316.99999999999977</v>
      </c>
      <c r="FF110" s="17">
        <f>FE110*VLOOKUP('Données projet'!$B$16,Paramètres!$A$1:$I$89,3,0)*VLOOKUP('Données projet'!$B$16,Paramètres!$A$1:$I$89,5,0)</f>
        <v>286.82159999999976</v>
      </c>
      <c r="FG110" s="13">
        <f t="shared" si="101"/>
        <v>68.406583284351413</v>
      </c>
      <c r="FH110" s="20">
        <f t="shared" si="76"/>
        <v>618.68908588691158</v>
      </c>
      <c r="FI110" s="59">
        <f t="shared" si="77"/>
        <v>912.02241922024496</v>
      </c>
      <c r="FJ110" s="59">
        <f ca="1">AVERAGE(OFFSET($FI$3,0,0,'Données projet'!$E$16+1,1))-AVERAGE(OFFSET($H$3,0,0,'Données projet'!$E$16+1,1))</f>
        <v>326.46362829268969</v>
      </c>
      <c r="FK110" s="59">
        <f t="shared" si="102"/>
        <v>203.5274665601915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1.5905926295922326</v>
      </c>
      <c r="FR110" s="21">
        <f>EXP(-LN(2)/25)*FR109+(1-EXP(-LN(2)/25))/(LN(2)/25)*Calculateur!FM110*Calculateur!FO110*VLOOKUP('Données projet'!$B$16,Paramètres!$A$1:$I$89,3,0)*0.475*44/12</f>
        <v>1.1074510755907734</v>
      </c>
      <c r="FS110" s="21">
        <f>EXP(-LN(2)/2)*FS109+(1-EXP(-LN(2)/2))/(LN(2)/2)*FM110*FP110*VLOOKUP('Données projet'!$B$16,Paramètres!$A$1:$I$89,3,0)*0.475*44/12</f>
        <v>2.1955340344766707E-11</v>
      </c>
      <c r="FT110" s="22">
        <f t="shared" si="78"/>
        <v>2.6980437052049613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5</v>
      </c>
      <c r="FZ110" s="12">
        <f>IF('Données projet'!$A$244&gt;35,FZ109+FY110-GH109,IF(A110&lt;'Données projet'!$A$244,$FW$205^A110,IF(A110='Données projet'!$A$244,'Données projet'!$B$244,FZ109+FY110-GH109)))</f>
        <v>316.99999999999977</v>
      </c>
      <c r="GA110" s="17">
        <f>FZ110*VLOOKUP('Données projet'!$B$17,Paramètres!$A$1:$I$89,3,0)*VLOOKUP('Données projet'!$B$17,Paramètres!$A$1:$I$89,5,0)</f>
        <v>306.60239999999976</v>
      </c>
      <c r="GB110" s="13">
        <f t="shared" si="103"/>
        <v>72.558821602115032</v>
      </c>
      <c r="GC110" s="20">
        <f t="shared" si="79"/>
        <v>660.37246095701653</v>
      </c>
      <c r="GD110" s="59">
        <f t="shared" si="80"/>
        <v>953.70579429034979</v>
      </c>
      <c r="GE110" s="59">
        <f ca="1">AVERAGE(OFFSET($GD$3,0,0,'Données projet'!$E$17+1,1))-AVERAGE(OFFSET($H$3,0,0,'Données projet'!$E$17+1,1))</f>
        <v>353.24082990916918</v>
      </c>
      <c r="GF110" s="59">
        <f t="shared" si="104"/>
        <v>219.76562717496353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1.7002886730123878</v>
      </c>
      <c r="GM110" s="21">
        <f>EXP(-LN(2)/25)*GM109+(1-EXP(-LN(2)/25))/(LN(2)/25)*Calculateur!GH110*Calculateur!GJ110*VLOOKUP('Données projet'!$B$17,Paramètres!$A$1:$I$89,3,0)*0.475*44/12</f>
        <v>1.1838270118384142</v>
      </c>
      <c r="GN110" s="21">
        <f>EXP(-LN(2)/2)*GN109+(1-EXP(-LN(2)/2))/(LN(2)/2)*GH110*GK110*VLOOKUP('Données projet'!$B$17,Paramètres!$A$1:$I$89,3,0)*0.475*44/12</f>
        <v>2.3469501747854073E-11</v>
      </c>
      <c r="GO110" s="21">
        <f t="shared" si="81"/>
        <v>2.8841156848742719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378.17323480030268</v>
      </c>
      <c r="T111" s="59">
        <f t="shared" si="88"/>
        <v>471.89239871617241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0.93985263167578625</v>
      </c>
      <c r="AA111" s="21">
        <f>EXP(-LN(2)/25)*AA110+(1-EXP(-LN(2)/25))/(LN(2)/25)*Calculateur!V111*Calculateur!X111*VLOOKUP('Données projet'!$B$9,Paramètres!$A$1:$I$89,3,0)*0.475*44/12</f>
        <v>2.3926483991081513</v>
      </c>
      <c r="AB111" s="21">
        <f>EXP(-LN(2)/2)*AB110+(1-EXP(-LN(2)/2))/(LN(2)/2)*V111*Y111*VLOOKUP('Données projet'!$B$9,Paramètres!$A$1:$I$89,3,0)*0.475*44/12</f>
        <v>1.9027704058450308E-11</v>
      </c>
      <c r="AC111" s="22">
        <f t="shared" si="57"/>
        <v>3.3325010308029657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141.22849894256314</v>
      </c>
      <c r="AO111" s="59">
        <f t="shared" si="90"/>
        <v>156.12101479343704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1.5694063268479688</v>
      </c>
      <c r="AV111" s="21">
        <f>EXP(-LN(2)/25)*AV110+(1-EXP(-LN(2)/25))/(LN(2)/25)*Calculateur!AQ111*Calculateur!AS111*VLOOKUP('Données projet'!$B$10,Paramètres!$A$1:$I$89,3,0)*0.475*44/12</f>
        <v>0.69273310569070223</v>
      </c>
      <c r="AW111" s="21">
        <f>EXP(-LN(2)/2)*AW110+(1-EXP(-LN(2)/2))/(LN(2)/2)*AQ111*AT111*VLOOKUP('Données projet'!$B$10,Paramètres!$A$1:$I$89,3,0)*0.475*44/12</f>
        <v>5.3805179599141662E-12</v>
      </c>
      <c r="AX111" s="21">
        <f t="shared" si="60"/>
        <v>2.2621394325440516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114.25511901730295</v>
      </c>
      <c r="BJ111" s="59">
        <f t="shared" si="92"/>
        <v>180.96261947642182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0.72937745145554123</v>
      </c>
      <c r="BQ111" s="21">
        <f>EXP(-LN(2)/25)*BQ110+(1-EXP(-LN(2)/25))/(LN(2)/25)*Calculateur!BL111*Calculateur!BN111*VLOOKUP('Données projet'!$B$11,Paramètres!$A$1:$I$89,3,0)*0.475*44/12</f>
        <v>2.0491654672207291</v>
      </c>
      <c r="BR111" s="21">
        <f>EXP(-LN(2)/2)*BR110+(1-EXP(-LN(2)/2))/(LN(2)/2)*BL111*BO111*VLOOKUP('Données projet'!$B$11,Paramètres!$A$1:$I$89,3,0)*0.475*44/12</f>
        <v>1.2427449361315322E-11</v>
      </c>
      <c r="BS111" s="22">
        <f t="shared" si="63"/>
        <v>2.7785429186886978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4.4337866711430253E-14</v>
      </c>
      <c r="CA111" s="13">
        <f t="shared" si="93"/>
        <v>7.3222115536967035E-13</v>
      </c>
      <c r="CB111" s="20">
        <f t="shared" si="64"/>
        <v>1.3525069634579169E-12</v>
      </c>
      <c r="CC111" s="59">
        <f t="shared" si="65"/>
        <v>293.33333333333468</v>
      </c>
      <c r="CD111" s="59">
        <f ca="1">AVERAGE(OFFSET($CC$3,0,0,'Données projet'!$E$12+1,1))-AVERAGE(OFFSET($H$3,0,0,'Données projet'!$E$12+1,1))</f>
        <v>216.95993967070063</v>
      </c>
      <c r="CE111" s="59">
        <f t="shared" si="94"/>
        <v>208.79744153433245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1.1024024494421207</v>
      </c>
      <c r="CL111" s="21">
        <f>EXP(-LN(2)/25)*CL110+(1-EXP(-LN(2)/25))/(LN(2)/25)*Calculateur!CG111*Calculateur!CI111*VLOOKUP('Données projet'!$B$12,Paramètres!$A$1:$I$89,3,0)*0.475*44/12</f>
        <v>0.73814649477632066</v>
      </c>
      <c r="CM111" s="21">
        <f>EXP(-LN(2)/2)*CM110+(1-EXP(-LN(2)/2))/(LN(2)/2)*CG111*CJ111*VLOOKUP('Données projet'!$B$12,Paramètres!$A$1:$I$89,3,0)*0.475*44/12</f>
        <v>2.2439205286055348E-12</v>
      </c>
      <c r="CN111" s="22">
        <f t="shared" si="66"/>
        <v>1.8405489442206853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3.813056537183002E-14</v>
      </c>
      <c r="CV111" s="13">
        <f t="shared" si="95"/>
        <v>6.4086286045526829E-13</v>
      </c>
      <c r="CW111" s="20">
        <f t="shared" si="67"/>
        <v>1.1825802166488628E-12</v>
      </c>
      <c r="CX111" s="59">
        <f t="shared" si="68"/>
        <v>293.33333333333451</v>
      </c>
      <c r="CY111" s="59">
        <f ca="1">AVERAGE(OFFSET($CX$3,0,0,'Données projet'!$E$13+1,1))-AVERAGE(OFFSET($H$3,0,0,'Données projet'!$E$13+1,1))</f>
        <v>181.32837315090507</v>
      </c>
      <c r="CZ111" s="59">
        <f t="shared" si="96"/>
        <v>175.03267817980338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1.168546596408647</v>
      </c>
      <c r="DG111" s="21">
        <f>EXP(-LN(2)/25)*DG110+(1-EXP(-LN(2)/25))/(LN(2)/25)*Calculateur!DB111*Calculateur!DD111*VLOOKUP('Données projet'!$B$13,Paramètres!$A$1:$I$89,3,0)*0.475*44/12</f>
        <v>0.78243528446290023</v>
      </c>
      <c r="DH111" s="21">
        <f>EXP(-LN(2)/2)*DH110+(1-EXP(-LN(2)/2))/(LN(2)/2)*DB111*DE111*VLOOKUP('Données projet'!$B$13,Paramètres!$A$1:$I$89,3,0)*0.475*44/12</f>
        <v>1.9297716546007591E-12</v>
      </c>
      <c r="DI111" s="22">
        <f t="shared" si="69"/>
        <v>1.9509818808734771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-2.8421709430404007E-13</v>
      </c>
      <c r="DP111" s="17">
        <f>DO111*VLOOKUP('Données projet'!$B$14,Paramètres!$A$1:$I$89,3,0)*VLOOKUP('Données projet'!$B$14,Paramètres!$A$1:$I$89,5,0)</f>
        <v>-2.2612312022829427E-13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325.72928944930294</v>
      </c>
      <c r="DU111" s="59">
        <f t="shared" si="98"/>
        <v>318.38876834819752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3.6943741561479788</v>
      </c>
      <c r="EB111" s="21">
        <f>EXP(-LN(2)/25)*EB110+(1-EXP(-LN(2)/25))/(LN(2)/25)*Calculateur!DW111*Calculateur!DY111*VLOOKUP('Données projet'!$B$14,Paramètres!$A$1:$I$89,3,0)*0.475*44/12</f>
        <v>2.3786713736922831</v>
      </c>
      <c r="EC111" s="21">
        <f>EXP(-LN(2)/2)*EC110+(1-EXP(-LN(2)/2))/(LN(2)/2)*DW111*DZ111*VLOOKUP('Données projet'!$B$14,Paramètres!$A$1:$I$89,3,0)*0.475*44/12</f>
        <v>2.1518137207902448E-11</v>
      </c>
      <c r="ED111" s="22">
        <f t="shared" si="72"/>
        <v>6.0730455298617798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</v>
      </c>
      <c r="EJ111" s="12">
        <f>IF('Données projet'!$A$192&gt;35,EJ110+EI111-ER110,IF(A111&lt;'Données projet'!$A$192,$EG$205^A111,IF(A111='Données projet'!$A$192,'Données projet'!$B$192,EJ110+EI111-ER110)))</f>
        <v>321.99999999999989</v>
      </c>
      <c r="EK111" s="17">
        <f>EJ111*VLOOKUP('Données projet'!$B$15,Paramètres!$A$1:$I$89,3,0)*VLOOKUP('Données projet'!$B$15,Paramètres!$A$1:$I$89,5,0)</f>
        <v>326.50799999999987</v>
      </c>
      <c r="EL111" s="13">
        <f t="shared" si="99"/>
        <v>76.705878841344258</v>
      </c>
      <c r="EM111" s="20">
        <f t="shared" si="73"/>
        <v>702.26417231534106</v>
      </c>
      <c r="EN111" s="59">
        <f t="shared" si="74"/>
        <v>995.59750564867431</v>
      </c>
      <c r="EO111" s="59">
        <f ca="1">AVERAGE(OFFSET($EN$3,0,0,'Données projet'!$E$15+1,1))-AVERAGE(OFFSET($H$3,0,0,'Données projet'!$E$15+1,1))</f>
        <v>384.50065773787549</v>
      </c>
      <c r="EP111" s="59">
        <f t="shared" si="100"/>
        <v>231.92898690465887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1.7476057773958023</v>
      </c>
      <c r="EW111" s="21">
        <f>EXP(-LN(2)/25)*EW110+(1-EXP(-LN(2)/25))/(LN(2)/25)*Calculateur!ER111*Calculateur!ET111*VLOOKUP('Données projet'!$B$15,Paramètres!$A$1:$I$89,3,0)*0.475*44/12</f>
        <v>1.2071707741358202</v>
      </c>
      <c r="EX111" s="21">
        <f>EXP(-LN(2)/2)*EX110+(1-EXP(-LN(2)/2))/(LN(2)/2)*ER111*EU111*VLOOKUP('Données projet'!$B$15,Paramètres!$A$1:$I$89,3,0)*0.475*44/12</f>
        <v>1.7398449183927647E-11</v>
      </c>
      <c r="EY111" s="22">
        <f t="shared" si="75"/>
        <v>2.954776551549021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5</v>
      </c>
      <c r="FE111" s="12">
        <f>IF('Données projet'!$A$218&gt;35,FE110+FD111-FM110,IF(A111&lt;'Données projet'!$A$218,$FB$205^A111,IF(A111='Données projet'!$A$218,'Données projet'!$B$218,FE110+FD111-FM110)))</f>
        <v>321.99999999999977</v>
      </c>
      <c r="FF111" s="17">
        <f>FE111*VLOOKUP('Données projet'!$B$16,Paramètres!$A$1:$I$89,3,0)*VLOOKUP('Données projet'!$B$16,Paramètres!$A$1:$I$89,5,0)</f>
        <v>291.34559999999976</v>
      </c>
      <c r="FG111" s="13">
        <f t="shared" si="101"/>
        <v>69.359089490698651</v>
      </c>
      <c r="FH111" s="20">
        <f t="shared" si="76"/>
        <v>628.22733419629969</v>
      </c>
      <c r="FI111" s="59">
        <f t="shared" si="77"/>
        <v>921.56066752963306</v>
      </c>
      <c r="FJ111" s="59">
        <f ca="1">AVERAGE(OFFSET($FI$3,0,0,'Données projet'!$E$16+1,1))-AVERAGE(OFFSET($H$3,0,0,'Données projet'!$E$16+1,1))</f>
        <v>326.46362829268969</v>
      </c>
      <c r="FK111" s="59">
        <f t="shared" si="102"/>
        <v>203.5274665601915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1.5594020782916371</v>
      </c>
      <c r="FR111" s="21">
        <f>EXP(-LN(2)/25)*FR110+(1-EXP(-LN(2)/25))/(LN(2)/25)*Calculateur!FM111*Calculateur!FO111*VLOOKUP('Données projet'!$B$16,Paramètres!$A$1:$I$89,3,0)*0.475*44/12</f>
        <v>1.0771677676904228</v>
      </c>
      <c r="FS111" s="21">
        <f>EXP(-LN(2)/2)*FS110+(1-EXP(-LN(2)/2))/(LN(2)/2)*FM111*FP111*VLOOKUP('Données projet'!$B$16,Paramètres!$A$1:$I$89,3,0)*0.475*44/12</f>
        <v>1.5524770041043131E-11</v>
      </c>
      <c r="FT111" s="22">
        <f t="shared" si="78"/>
        <v>2.636569845997585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5</v>
      </c>
      <c r="FZ111" s="12">
        <f>IF('Données projet'!$A$244&gt;35,FZ110+FY111-GH110,IF(A111&lt;'Données projet'!$A$244,$FW$205^A111,IF(A111='Données projet'!$A$244,'Données projet'!$B$244,FZ110+FY111-GH110)))</f>
        <v>321.99999999999977</v>
      </c>
      <c r="GA111" s="17">
        <f>FZ111*VLOOKUP('Données projet'!$B$17,Paramètres!$A$1:$I$89,3,0)*VLOOKUP('Données projet'!$B$17,Paramètres!$A$1:$I$89,5,0)</f>
        <v>311.43839999999977</v>
      </c>
      <c r="GB111" s="13">
        <f t="shared" si="103"/>
        <v>73.569144360291361</v>
      </c>
      <c r="GC111" s="20">
        <f t="shared" si="79"/>
        <v>670.55480642750706</v>
      </c>
      <c r="GD111" s="59">
        <f t="shared" si="80"/>
        <v>963.88813976084043</v>
      </c>
      <c r="GE111" s="59">
        <f ca="1">AVERAGE(OFFSET($GD$3,0,0,'Données projet'!$E$17+1,1))-AVERAGE(OFFSET($H$3,0,0,'Données projet'!$E$17+1,1))</f>
        <v>353.24082990916918</v>
      </c>
      <c r="GF111" s="59">
        <f t="shared" si="104"/>
        <v>219.76562717496353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1.6669470492083029</v>
      </c>
      <c r="GM111" s="21">
        <f>EXP(-LN(2)/25)*GM110+(1-EXP(-LN(2)/25))/(LN(2)/25)*Calculateur!GH111*Calculateur!GJ111*VLOOKUP('Données projet'!$B$17,Paramètres!$A$1:$I$89,3,0)*0.475*44/12</f>
        <v>1.1514551999449358</v>
      </c>
      <c r="GN111" s="21">
        <f>EXP(-LN(2)/2)*GN110+(1-EXP(-LN(2)/2))/(LN(2)/2)*GH111*GK111*VLOOKUP('Données projet'!$B$17,Paramètres!$A$1:$I$89,3,0)*0.475*44/12</f>
        <v>1.6595443836977144E-11</v>
      </c>
      <c r="GO111" s="21">
        <f t="shared" si="81"/>
        <v>2.8184022491698344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378.17323480030268</v>
      </c>
      <c r="T112" s="59">
        <f t="shared" si="88"/>
        <v>471.89239871617241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0.92142269482212535</v>
      </c>
      <c r="AA112" s="21">
        <f>EXP(-LN(2)/25)*AA111+(1-EXP(-LN(2)/25))/(LN(2)/25)*Calculateur!V112*Calculateur!X112*VLOOKUP('Données projet'!$B$9,Paramètres!$A$1:$I$89,3,0)*0.475*44/12</f>
        <v>2.3272213028106279</v>
      </c>
      <c r="AB112" s="21">
        <f>EXP(-LN(2)/2)*AB111+(1-EXP(-LN(2)/2))/(LN(2)/2)*V112*Y112*VLOOKUP('Données projet'!$B$9,Paramètres!$A$1:$I$89,3,0)*0.475*44/12</f>
        <v>1.3454618570141004E-11</v>
      </c>
      <c r="AC112" s="22">
        <f t="shared" si="57"/>
        <v>3.2486439976462078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141.22849894256314</v>
      </c>
      <c r="AO112" s="59">
        <f t="shared" si="90"/>
        <v>156.12101479343704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1.5386312260218196</v>
      </c>
      <c r="AV112" s="21">
        <f>EXP(-LN(2)/25)*AV111+(1-EXP(-LN(2)/25))/(LN(2)/25)*Calculateur!AQ112*Calculateur!AS112*VLOOKUP('Données projet'!$B$10,Paramètres!$A$1:$I$89,3,0)*0.475*44/12</f>
        <v>0.67379028248633921</v>
      </c>
      <c r="AW112" s="21">
        <f>EXP(-LN(2)/2)*AW111+(1-EXP(-LN(2)/2))/(LN(2)/2)*AQ112*AT112*VLOOKUP('Données projet'!$B$10,Paramètres!$A$1:$I$89,3,0)*0.475*44/12</f>
        <v>3.8046007357513153E-12</v>
      </c>
      <c r="AX112" s="21">
        <f t="shared" si="60"/>
        <v>2.2124215085119632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114.25511901730295</v>
      </c>
      <c r="BJ112" s="59">
        <f t="shared" si="92"/>
        <v>180.96261947642182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0.71507480450881555</v>
      </c>
      <c r="BQ112" s="21">
        <f>EXP(-LN(2)/25)*BQ111+(1-EXP(-LN(2)/25))/(LN(2)/25)*Calculateur!BL112*Calculateur!BN112*VLOOKUP('Données projet'!$B$11,Paramètres!$A$1:$I$89,3,0)*0.475*44/12</f>
        <v>1.9931309297586497</v>
      </c>
      <c r="BR112" s="21">
        <f>EXP(-LN(2)/2)*BR111+(1-EXP(-LN(2)/2))/(LN(2)/2)*BL112*BO112*VLOOKUP('Données projet'!$B$11,Paramètres!$A$1:$I$89,3,0)*0.475*44/12</f>
        <v>8.7875337162384932E-12</v>
      </c>
      <c r="BS112" s="22">
        <f t="shared" si="63"/>
        <v>2.7082057342762527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4.4337866711430253E-14</v>
      </c>
      <c r="CA112" s="13">
        <f t="shared" si="93"/>
        <v>7.3222115536967035E-13</v>
      </c>
      <c r="CB112" s="20">
        <f t="shared" si="64"/>
        <v>1.3525069634579169E-12</v>
      </c>
      <c r="CC112" s="59">
        <f t="shared" si="65"/>
        <v>293.33333333333468</v>
      </c>
      <c r="CD112" s="59">
        <f ca="1">AVERAGE(OFFSET($CC$3,0,0,'Données projet'!$E$12+1,1))-AVERAGE(OFFSET($H$3,0,0,'Données projet'!$E$12+1,1))</f>
        <v>216.95993967070063</v>
      </c>
      <c r="CE112" s="59">
        <f t="shared" si="94"/>
        <v>208.79744153433245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1.080785009807661</v>
      </c>
      <c r="CL112" s="21">
        <f>EXP(-LN(2)/25)*CL111+(1-EXP(-LN(2)/25))/(LN(2)/25)*Calculateur!CG112*Calculateur!CI112*VLOOKUP('Données projet'!$B$12,Paramètres!$A$1:$I$89,3,0)*0.475*44/12</f>
        <v>0.71796184005922503</v>
      </c>
      <c r="CM112" s="21">
        <f>EXP(-LN(2)/2)*CM111+(1-EXP(-LN(2)/2))/(LN(2)/2)*CG112*CJ112*VLOOKUP('Données projet'!$B$12,Paramètres!$A$1:$I$89,3,0)*0.475*44/12</f>
        <v>1.586691422220676E-12</v>
      </c>
      <c r="CN112" s="22">
        <f t="shared" si="66"/>
        <v>1.7987468498684729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3.813056537183002E-14</v>
      </c>
      <c r="CV112" s="13">
        <f t="shared" si="95"/>
        <v>6.4086286045526829E-13</v>
      </c>
      <c r="CW112" s="20">
        <f t="shared" si="67"/>
        <v>1.1825802166488628E-12</v>
      </c>
      <c r="CX112" s="59">
        <f t="shared" si="68"/>
        <v>293.33333333333451</v>
      </c>
      <c r="CY112" s="59">
        <f ca="1">AVERAGE(OFFSET($CX$3,0,0,'Données projet'!$E$13+1,1))-AVERAGE(OFFSET($H$3,0,0,'Données projet'!$E$13+1,1))</f>
        <v>181.32837315090507</v>
      </c>
      <c r="CZ112" s="59">
        <f t="shared" si="96"/>
        <v>175.03267817980338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1.1456321103961198</v>
      </c>
      <c r="DG112" s="21">
        <f>EXP(-LN(2)/25)*DG111+(1-EXP(-LN(2)/25))/(LN(2)/25)*Calculateur!DB112*Calculateur!DD112*VLOOKUP('Données projet'!$B$13,Paramètres!$A$1:$I$89,3,0)*0.475*44/12</f>
        <v>0.76103955046277894</v>
      </c>
      <c r="DH112" s="21">
        <f>EXP(-LN(2)/2)*DH111+(1-EXP(-LN(2)/2))/(LN(2)/2)*DB112*DE112*VLOOKUP('Données projet'!$B$13,Paramètres!$A$1:$I$89,3,0)*0.475*44/12</f>
        <v>1.3645546231097807E-12</v>
      </c>
      <c r="DI112" s="22">
        <f t="shared" si="69"/>
        <v>1.9066716608602632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-2.8421709430404007E-13</v>
      </c>
      <c r="DP112" s="17">
        <f>DO112*VLOOKUP('Données projet'!$B$14,Paramètres!$A$1:$I$89,3,0)*VLOOKUP('Données projet'!$B$14,Paramètres!$A$1:$I$89,5,0)</f>
        <v>-2.2612312022829427E-13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325.72928944930294</v>
      </c>
      <c r="DU112" s="59">
        <f t="shared" si="98"/>
        <v>318.38876834819752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3.6219297322916528</v>
      </c>
      <c r="EB112" s="21">
        <f>EXP(-LN(2)/25)*EB111+(1-EXP(-LN(2)/25))/(LN(2)/25)*Calculateur!DW112*Calculateur!DY112*VLOOKUP('Données projet'!$B$14,Paramètres!$A$1:$I$89,3,0)*0.475*44/12</f>
        <v>2.3136264798897765</v>
      </c>
      <c r="EC112" s="21">
        <f>EXP(-LN(2)/2)*EC111+(1-EXP(-LN(2)/2))/(LN(2)/2)*DW112*DZ112*VLOOKUP('Données projet'!$B$14,Paramètres!$A$1:$I$89,3,0)*0.475*44/12</f>
        <v>1.5215620738210383E-11</v>
      </c>
      <c r="ED112" s="22">
        <f t="shared" si="72"/>
        <v>5.9355562121966452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</v>
      </c>
      <c r="EJ112" s="12">
        <f>IF('Données projet'!$A$192&gt;35,EJ111+EI112-ER111,IF(A112&lt;'Données projet'!$A$192,$EG$205^A112,IF(A112='Données projet'!$A$192,'Données projet'!$B$192,EJ111+EI112-ER111)))</f>
        <v>326.99999999999989</v>
      </c>
      <c r="EK112" s="17">
        <f>EJ112*VLOOKUP('Données projet'!$B$15,Paramètres!$A$1:$I$89,3,0)*VLOOKUP('Données projet'!$B$15,Paramètres!$A$1:$I$89,5,0)</f>
        <v>331.57799999999992</v>
      </c>
      <c r="EL112" s="13">
        <f t="shared" si="99"/>
        <v>77.75737594442586</v>
      </c>
      <c r="EM112" s="20">
        <f t="shared" si="73"/>
        <v>712.92577976987479</v>
      </c>
      <c r="EN112" s="59">
        <f t="shared" si="74"/>
        <v>1006.2591131032082</v>
      </c>
      <c r="EO112" s="59">
        <f ca="1">AVERAGE(OFFSET($EN$3,0,0,'Données projet'!$E$15+1,1))-AVERAGE(OFFSET($H$3,0,0,'Données projet'!$E$15+1,1))</f>
        <v>384.50065773787549</v>
      </c>
      <c r="EP112" s="59">
        <f t="shared" si="100"/>
        <v>231.92898690465887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1.7133362940353425</v>
      </c>
      <c r="EW112" s="21">
        <f>EXP(-LN(2)/25)*EW111+(1-EXP(-LN(2)/25))/(LN(2)/25)*Calculateur!ER112*Calculateur!ET112*VLOOKUP('Données projet'!$B$15,Paramètres!$A$1:$I$89,3,0)*0.475*44/12</f>
        <v>1.1741606258347241</v>
      </c>
      <c r="EX112" s="21">
        <f>EXP(-LN(2)/2)*EX111+(1-EXP(-LN(2)/2))/(LN(2)/2)*ER112*EU112*VLOOKUP('Données projet'!$B$15,Paramètres!$A$1:$I$89,3,0)*0.475*44/12</f>
        <v>1.2302561400084793E-11</v>
      </c>
      <c r="EY112" s="22">
        <f t="shared" si="75"/>
        <v>2.8874969198823695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5</v>
      </c>
      <c r="FE112" s="12">
        <f>IF('Données projet'!$A$218&gt;35,FE111+FD112-FM111,IF(A112&lt;'Données projet'!$A$218,$FB$205^A112,IF(A112='Données projet'!$A$218,'Données projet'!$B$218,FE111+FD112-FM111)))</f>
        <v>326.99999999999977</v>
      </c>
      <c r="FF112" s="17">
        <f>FE112*VLOOKUP('Données projet'!$B$16,Paramètres!$A$1:$I$89,3,0)*VLOOKUP('Données projet'!$B$16,Paramètres!$A$1:$I$89,5,0)</f>
        <v>295.86959999999976</v>
      </c>
      <c r="FG112" s="13">
        <f t="shared" si="101"/>
        <v>70.309875568291147</v>
      </c>
      <c r="FH112" s="20">
        <f t="shared" si="76"/>
        <v>637.76258661477334</v>
      </c>
      <c r="FI112" s="59">
        <f t="shared" si="77"/>
        <v>931.09591994810671</v>
      </c>
      <c r="FJ112" s="59">
        <f ca="1">AVERAGE(OFFSET($FI$3,0,0,'Données projet'!$E$16+1,1))-AVERAGE(OFFSET($H$3,0,0,'Données projet'!$E$16+1,1))</f>
        <v>326.46362829268969</v>
      </c>
      <c r="FK112" s="59">
        <f t="shared" si="102"/>
        <v>203.5274665601915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1.5288231546776885</v>
      </c>
      <c r="FR112" s="21">
        <f>EXP(-LN(2)/25)*FR111+(1-EXP(-LN(2)/25))/(LN(2)/25)*Calculateur!FM112*Calculateur!FO112*VLOOKUP('Données projet'!$B$16,Paramètres!$A$1:$I$89,3,0)*0.475*44/12</f>
        <v>1.0477125584371372</v>
      </c>
      <c r="FS112" s="21">
        <f>EXP(-LN(2)/2)*FS111+(1-EXP(-LN(2)/2))/(LN(2)/2)*FM112*FP112*VLOOKUP('Données projet'!$B$16,Paramètres!$A$1:$I$89,3,0)*0.475*44/12</f>
        <v>1.0977670172383354E-11</v>
      </c>
      <c r="FT112" s="22">
        <f t="shared" si="78"/>
        <v>2.5765357131258035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5</v>
      </c>
      <c r="FZ112" s="12">
        <f>IF('Données projet'!$A$244&gt;35,FZ111+FY112-GH111,IF(A112&lt;'Données projet'!$A$244,$FW$205^A112,IF(A112='Données projet'!$A$244,'Données projet'!$B$244,FZ111+FY112-GH111)))</f>
        <v>326.99999999999977</v>
      </c>
      <c r="GA112" s="17">
        <f>FZ112*VLOOKUP('Données projet'!$B$17,Paramètres!$A$1:$I$89,3,0)*VLOOKUP('Données projet'!$B$17,Paramètres!$A$1:$I$89,5,0)</f>
        <v>316.27439999999979</v>
      </c>
      <c r="GB112" s="13">
        <f t="shared" si="103"/>
        <v>74.577642578935567</v>
      </c>
      <c r="GC112" s="20">
        <f t="shared" si="79"/>
        <v>680.73397415831244</v>
      </c>
      <c r="GD112" s="59">
        <f t="shared" si="80"/>
        <v>974.06730749164581</v>
      </c>
      <c r="GE112" s="59">
        <f ca="1">AVERAGE(OFFSET($GD$3,0,0,'Données projet'!$E$17+1,1))-AVERAGE(OFFSET($H$3,0,0,'Données projet'!$E$17+1,1))</f>
        <v>353.24082990916918</v>
      </c>
      <c r="GF112" s="59">
        <f t="shared" si="104"/>
        <v>219.76562717496353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1.6342592343106337</v>
      </c>
      <c r="GM112" s="21">
        <f>EXP(-LN(2)/25)*GM111+(1-EXP(-LN(2)/25))/(LN(2)/25)*Calculateur!GH112*Calculateur!GJ112*VLOOKUP('Données projet'!$B$17,Paramètres!$A$1:$I$89,3,0)*0.475*44/12</f>
        <v>1.1199685969500444</v>
      </c>
      <c r="GN112" s="21">
        <f>EXP(-LN(2)/2)*GN111+(1-EXP(-LN(2)/2))/(LN(2)/2)*GH112*GK112*VLOOKUP('Données projet'!$B$17,Paramètres!$A$1:$I$89,3,0)*0.475*44/12</f>
        <v>1.1734750873927036E-11</v>
      </c>
      <c r="GO112" s="21">
        <f t="shared" si="81"/>
        <v>2.7542278312724129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378.17323480030268</v>
      </c>
      <c r="T113" s="59">
        <f t="shared" si="88"/>
        <v>471.89239871617241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0.90335415778901318</v>
      </c>
      <c r="AA113" s="21">
        <f>EXP(-LN(2)/25)*AA112+(1-EXP(-LN(2)/25))/(LN(2)/25)*Calculateur!V113*Calculateur!X113*VLOOKUP('Données projet'!$B$9,Paramètres!$A$1:$I$89,3,0)*0.475*44/12</f>
        <v>2.2635833139020218</v>
      </c>
      <c r="AB113" s="21">
        <f>EXP(-LN(2)/2)*AB112+(1-EXP(-LN(2)/2))/(LN(2)/2)*V113*Y113*VLOOKUP('Données projet'!$B$9,Paramètres!$A$1:$I$89,3,0)*0.475*44/12</f>
        <v>9.513852029225154E-12</v>
      </c>
      <c r="AC113" s="22">
        <f t="shared" si="57"/>
        <v>3.1669374717005487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141.22849894256314</v>
      </c>
      <c r="AO113" s="59">
        <f t="shared" si="90"/>
        <v>156.12101479343704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1.5084596061519131</v>
      </c>
      <c r="AV113" s="21">
        <f>EXP(-LN(2)/25)*AV112+(1-EXP(-LN(2)/25))/(LN(2)/25)*Calculateur!AQ113*Calculateur!AS113*VLOOKUP('Données projet'!$B$10,Paramètres!$A$1:$I$89,3,0)*0.475*44/12</f>
        <v>0.65536545177865924</v>
      </c>
      <c r="AW113" s="21">
        <f>EXP(-LN(2)/2)*AW112+(1-EXP(-LN(2)/2))/(LN(2)/2)*AQ113*AT113*VLOOKUP('Données projet'!$B$10,Paramètres!$A$1:$I$89,3,0)*0.475*44/12</f>
        <v>2.6902589799570831E-12</v>
      </c>
      <c r="AX113" s="21">
        <f t="shared" si="60"/>
        <v>2.1638250579332627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114.25511901730295</v>
      </c>
      <c r="BJ113" s="59">
        <f t="shared" si="92"/>
        <v>180.96261947642182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0.70105262374496191</v>
      </c>
      <c r="BQ113" s="21">
        <f>EXP(-LN(2)/25)*BQ112+(1-EXP(-LN(2)/25))/(LN(2)/25)*Calculateur!BL113*Calculateur!BN113*VLOOKUP('Données projet'!$B$11,Paramètres!$A$1:$I$89,3,0)*0.475*44/12</f>
        <v>1.9386286596701992</v>
      </c>
      <c r="BR113" s="21">
        <f>EXP(-LN(2)/2)*BR112+(1-EXP(-LN(2)/2))/(LN(2)/2)*BL113*BO113*VLOOKUP('Données projet'!$B$11,Paramètres!$A$1:$I$89,3,0)*0.475*44/12</f>
        <v>6.2137246806576611E-12</v>
      </c>
      <c r="BS113" s="22">
        <f t="shared" si="63"/>
        <v>2.6396812834213748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4.4337866711430253E-14</v>
      </c>
      <c r="CA113" s="13">
        <f t="shared" si="93"/>
        <v>7.3222115536967035E-13</v>
      </c>
      <c r="CB113" s="20">
        <f t="shared" si="64"/>
        <v>1.3525069634579169E-12</v>
      </c>
      <c r="CC113" s="59">
        <f t="shared" si="65"/>
        <v>293.33333333333468</v>
      </c>
      <c r="CD113" s="59">
        <f ca="1">AVERAGE(OFFSET($CC$3,0,0,'Données projet'!$E$12+1,1))-AVERAGE(OFFSET($H$3,0,0,'Données projet'!$E$12+1,1))</f>
        <v>216.95993967070063</v>
      </c>
      <c r="CE113" s="59">
        <f t="shared" si="94"/>
        <v>208.79744153433245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1.0595914749790969</v>
      </c>
      <c r="CL113" s="21">
        <f>EXP(-LN(2)/25)*CL112+(1-EXP(-LN(2)/25))/(LN(2)/25)*Calculateur!CG113*Calculateur!CI113*VLOOKUP('Données projet'!$B$12,Paramètres!$A$1:$I$89,3,0)*0.475*44/12</f>
        <v>0.69832913578683331</v>
      </c>
      <c r="CM113" s="21">
        <f>EXP(-LN(2)/2)*CM112+(1-EXP(-LN(2)/2))/(LN(2)/2)*CG113*CJ113*VLOOKUP('Données projet'!$B$12,Paramètres!$A$1:$I$89,3,0)*0.475*44/12</f>
        <v>1.1219602643027674E-12</v>
      </c>
      <c r="CN113" s="22">
        <f t="shared" si="66"/>
        <v>1.7579206107670522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3.813056537183002E-14</v>
      </c>
      <c r="CV113" s="13">
        <f t="shared" si="95"/>
        <v>6.4086286045526829E-13</v>
      </c>
      <c r="CW113" s="20">
        <f t="shared" si="67"/>
        <v>1.1825802166488628E-12</v>
      </c>
      <c r="CX113" s="59">
        <f t="shared" si="68"/>
        <v>293.33333333333451</v>
      </c>
      <c r="CY113" s="59">
        <f ca="1">AVERAGE(OFFSET($CX$3,0,0,'Données projet'!$E$13+1,1))-AVERAGE(OFFSET($H$3,0,0,'Données projet'!$E$13+1,1))</f>
        <v>181.32837315090507</v>
      </c>
      <c r="CZ113" s="59">
        <f t="shared" si="96"/>
        <v>175.03267817980338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1.1231669634778418</v>
      </c>
      <c r="DG113" s="21">
        <f>EXP(-LN(2)/25)*DG112+(1-EXP(-LN(2)/25))/(LN(2)/25)*Calculateur!DB113*Calculateur!DD113*VLOOKUP('Données projet'!$B$13,Paramètres!$A$1:$I$89,3,0)*0.475*44/12</f>
        <v>0.74022888393404362</v>
      </c>
      <c r="DH113" s="21">
        <f>EXP(-LN(2)/2)*DH112+(1-EXP(-LN(2)/2))/(LN(2)/2)*DB113*DE113*VLOOKUP('Données projet'!$B$13,Paramètres!$A$1:$I$89,3,0)*0.475*44/12</f>
        <v>9.6488582730037954E-13</v>
      </c>
      <c r="DI113" s="22">
        <f t="shared" si="69"/>
        <v>1.8633958474128502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-2.8421709430404007E-13</v>
      </c>
      <c r="DP113" s="17">
        <f>DO113*VLOOKUP('Données projet'!$B$14,Paramètres!$A$1:$I$89,3,0)*VLOOKUP('Données projet'!$B$14,Paramètres!$A$1:$I$89,5,0)</f>
        <v>-2.2612312022829427E-13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325.72928944930294</v>
      </c>
      <c r="DU113" s="59">
        <f t="shared" si="98"/>
        <v>318.38876834819752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3.5509058994004139</v>
      </c>
      <c r="EB113" s="21">
        <f>EXP(-LN(2)/25)*EB112+(1-EXP(-LN(2)/25))/(LN(2)/25)*Calculateur!DW113*Calculateur!DY113*VLOOKUP('Données projet'!$B$14,Paramètres!$A$1:$I$89,3,0)*0.475*44/12</f>
        <v>2.250360242128862</v>
      </c>
      <c r="EC113" s="21">
        <f>EXP(-LN(2)/2)*EC112+(1-EXP(-LN(2)/2))/(LN(2)/2)*DW113*DZ113*VLOOKUP('Données projet'!$B$14,Paramètres!$A$1:$I$89,3,0)*0.475*44/12</f>
        <v>1.0759068603951224E-11</v>
      </c>
      <c r="ED113" s="22">
        <f t="shared" si="72"/>
        <v>5.8012661415400348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332</v>
      </c>
      <c r="EH113" s="12">
        <f>VLOOKUP(A113,'Données projet'!$A$191:$I$211,9,0)</f>
        <v>5</v>
      </c>
      <c r="EI113" s="12">
        <f t="array" ref="EI113">INDEX(EH:EH,MIN(IF(ISNUMBER(EH113:EH309),ROW(EH113:EH309),"")))</f>
        <v>5</v>
      </c>
      <c r="EJ113" s="12">
        <f>IF('Données projet'!$A$192&gt;35,EJ112+EI113-ER112,IF(A113&lt;'Données projet'!$A$192,$EG$205^A113,IF(A113='Données projet'!$A$192,'Données projet'!$B$192,EJ112+EI113-ER112)))</f>
        <v>331.99999999999989</v>
      </c>
      <c r="EK113" s="17">
        <f>EJ113*VLOOKUP('Données projet'!$B$15,Paramètres!$A$1:$I$89,3,0)*VLOOKUP('Données projet'!$B$15,Paramètres!$A$1:$I$89,5,0)</f>
        <v>336.64799999999991</v>
      </c>
      <c r="EL113" s="13">
        <f t="shared" si="99"/>
        <v>78.807003163010307</v>
      </c>
      <c r="EM113" s="20">
        <f t="shared" si="73"/>
        <v>723.58413050890942</v>
      </c>
      <c r="EN113" s="59">
        <f t="shared" si="74"/>
        <v>1016.9174638422428</v>
      </c>
      <c r="EO113" s="59">
        <f ca="1">AVERAGE(OFFSET($EN$3,0,0,'Données projet'!$E$15+1,1))-AVERAGE(OFFSET($H$3,0,0,'Données projet'!$E$15+1,1))</f>
        <v>384.50065773787549</v>
      </c>
      <c r="EP113" s="59">
        <f t="shared" si="100"/>
        <v>231.92898690465887</v>
      </c>
      <c r="EQ113" s="15">
        <f>IF(ISNA(VLOOKUP(A113,'Données projet'!$A$191:$I$211,3,0)),0,VLOOKUP(A113,'Données projet'!$A$191:$I$211,3,0))</f>
        <v>19</v>
      </c>
      <c r="ER113" s="15">
        <f>IF(ISNA(VLOOKUP(A113,'Données projet'!$A$191:$I$211,4,0)),0,VLOOKUP(A113,'Données projet'!$A$191:$I$211,4,0))</f>
        <v>25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1.6797388143412604</v>
      </c>
      <c r="EW113" s="21">
        <f>EXP(-LN(2)/25)*EW112+(1-EXP(-LN(2)/25))/(LN(2)/25)*Calculateur!ER113*Calculateur!ET113*VLOOKUP('Données projet'!$B$15,Paramètres!$A$1:$I$89,3,0)*0.475*44/12</f>
        <v>1.1420531417748498</v>
      </c>
      <c r="EX113" s="21">
        <f>EXP(-LN(2)/2)*EX112+(1-EXP(-LN(2)/2))/(LN(2)/2)*ER113*EU113*VLOOKUP('Données projet'!$B$15,Paramètres!$A$1:$I$89,3,0)*0.475*44/12</f>
        <v>8.6992245919638236E-12</v>
      </c>
      <c r="EY113" s="22">
        <f t="shared" si="75"/>
        <v>2.8217919561248093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332</v>
      </c>
      <c r="FC113" s="12">
        <f>VLOOKUP(A113,'Données projet'!$A$217:$I$237,9,0)</f>
        <v>5</v>
      </c>
      <c r="FD113" s="12">
        <f t="array" ref="FD113">INDEX(FC:FC,MIN(IF(ISNUMBER(FC113:FC309),ROW(FC113:FC309),"")))</f>
        <v>5</v>
      </c>
      <c r="FE113" s="12">
        <f>IF('Données projet'!$A$218&gt;35,FE112+FD113-FM112,IF(A113&lt;'Données projet'!$A$218,$FB$205^A113,IF(A113='Données projet'!$A$218,'Données projet'!$B$218,FE112+FD113-FM112)))</f>
        <v>331.99999999999977</v>
      </c>
      <c r="FF113" s="17">
        <f>FE113*VLOOKUP('Données projet'!$B$16,Paramètres!$A$1:$I$89,3,0)*VLOOKUP('Données projet'!$B$16,Paramètres!$A$1:$I$89,5,0)</f>
        <v>300.39359999999976</v>
      </c>
      <c r="FG113" s="13">
        <f t="shared" si="101"/>
        <v>71.258970856492667</v>
      </c>
      <c r="FH113" s="20">
        <f t="shared" si="76"/>
        <v>647.29489424172436</v>
      </c>
      <c r="FI113" s="59">
        <f t="shared" si="77"/>
        <v>940.62822757505774</v>
      </c>
      <c r="FJ113" s="59">
        <f ca="1">AVERAGE(OFFSET($FI$3,0,0,'Données projet'!$E$16+1,1))-AVERAGE(OFFSET($H$3,0,0,'Données projet'!$E$16+1,1))</f>
        <v>326.46362829268969</v>
      </c>
      <c r="FK113" s="59">
        <f t="shared" si="102"/>
        <v>203.5274665601915</v>
      </c>
      <c r="FL113" s="15">
        <f>IF(ISNA(VLOOKUP(A113,'Données projet'!$A$217:$I$237,3,0)),0,VLOOKUP(A113,'Données projet'!$A$217:$I$237,3,0))</f>
        <v>19</v>
      </c>
      <c r="FM113" s="15">
        <f>IF(ISNA(VLOOKUP(A113,'Données projet'!$A$217:$I$237,4,0)),0,VLOOKUP(A113,'Données projet'!$A$217:$I$237,4,0))</f>
        <v>25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1.4988438651045075</v>
      </c>
      <c r="FR113" s="21">
        <f>EXP(-LN(2)/25)*FR112+(1-EXP(-LN(2)/25))/(LN(2)/25)*Calculateur!FM113*Calculateur!FO113*VLOOKUP('Données projet'!$B$16,Paramètres!$A$1:$I$89,3,0)*0.475*44/12</f>
        <v>1.0190628034298648</v>
      </c>
      <c r="FS113" s="21">
        <f>EXP(-LN(2)/2)*FS112+(1-EXP(-LN(2)/2))/(LN(2)/2)*FM113*FP113*VLOOKUP('Données projet'!$B$16,Paramètres!$A$1:$I$89,3,0)*0.475*44/12</f>
        <v>7.7623850205215654E-12</v>
      </c>
      <c r="FT113" s="22">
        <f t="shared" si="78"/>
        <v>2.5179066685421345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>
        <f>VLOOKUP(A113,'Données projet'!$A$243:$I$263,2,0)</f>
        <v>332</v>
      </c>
      <c r="FX113" s="12">
        <f>VLOOKUP(A113,'Données projet'!$A$243:$I$263,9,0)</f>
        <v>5</v>
      </c>
      <c r="FY113" s="12">
        <f t="array" ref="FY113">INDEX(FX:FX,MIN(IF(ISNUMBER(FX113:FX309),ROW(FX113:FX309),"")))</f>
        <v>5</v>
      </c>
      <c r="FZ113" s="12">
        <f>IF('Données projet'!$A$244&gt;35,FZ112+FY113-GH112,IF(A113&lt;'Données projet'!$A$244,$FW$205^A113,IF(A113='Données projet'!$A$244,'Données projet'!$B$244,FZ112+FY113-GH112)))</f>
        <v>331.99999999999977</v>
      </c>
      <c r="GA113" s="17">
        <f>FZ113*VLOOKUP('Données projet'!$B$17,Paramètres!$A$1:$I$89,3,0)*VLOOKUP('Données projet'!$B$17,Paramètres!$A$1:$I$89,5,0)</f>
        <v>321.1103999999998</v>
      </c>
      <c r="GB113" s="13">
        <f t="shared" si="103"/>
        <v>75.584347378293316</v>
      </c>
      <c r="GC113" s="20">
        <f t="shared" si="79"/>
        <v>690.91001835052714</v>
      </c>
      <c r="GD113" s="59">
        <f t="shared" si="80"/>
        <v>984.24335168386051</v>
      </c>
      <c r="GE113" s="59">
        <f ca="1">AVERAGE(OFFSET($GD$3,0,0,'Données projet'!$E$17+1,1))-AVERAGE(OFFSET($H$3,0,0,'Données projet'!$E$17+1,1))</f>
        <v>353.24082990916918</v>
      </c>
      <c r="GF113" s="59">
        <f t="shared" si="104"/>
        <v>219.76562717496353</v>
      </c>
      <c r="GG113" s="15">
        <f>IF(ISNA(VLOOKUP(A113,'Données projet'!$A$243:$I$263,3,0)),0,VLOOKUP(A113,'Données projet'!$A$243:$I$263,3,0))</f>
        <v>19</v>
      </c>
      <c r="GH113" s="15">
        <f>IF(ISNA(VLOOKUP(A113,'Données projet'!$A$243:$I$263,4,0)),0,VLOOKUP(A113,'Données projet'!$A$243:$I$263,4,0))</f>
        <v>25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1.6022124075255093</v>
      </c>
      <c r="GM113" s="21">
        <f>EXP(-LN(2)/25)*GM112+(1-EXP(-LN(2)/25))/(LN(2)/25)*Calculateur!GH113*Calculateur!GJ113*VLOOKUP('Données projet'!$B$17,Paramètres!$A$1:$I$89,3,0)*0.475*44/12</f>
        <v>1.0893429967698567</v>
      </c>
      <c r="GN113" s="21">
        <f>EXP(-LN(2)/2)*GN112+(1-EXP(-LN(2)/2))/(LN(2)/2)*GH113*GK113*VLOOKUP('Données projet'!$B$17,Paramètres!$A$1:$I$89,3,0)*0.475*44/12</f>
        <v>8.2977219184885722E-12</v>
      </c>
      <c r="GO113" s="21">
        <f t="shared" si="81"/>
        <v>2.691555404303664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378.17323480030268</v>
      </c>
      <c r="T114" s="59">
        <f t="shared" si="88"/>
        <v>471.89239871617241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0.88563993374640093</v>
      </c>
      <c r="AA114" s="21">
        <f>EXP(-LN(2)/25)*AA113+(1-EXP(-LN(2)/25))/(LN(2)/25)*Calculateur!V114*Calculateur!X114*VLOOKUP('Données projet'!$B$9,Paramètres!$A$1:$I$89,3,0)*0.475*44/12</f>
        <v>2.201685509146698</v>
      </c>
      <c r="AB114" s="21">
        <f>EXP(-LN(2)/2)*AB113+(1-EXP(-LN(2)/2))/(LN(2)/2)*V114*Y114*VLOOKUP('Données projet'!$B$9,Paramètres!$A$1:$I$89,3,0)*0.475*44/12</f>
        <v>6.7273092850705022E-12</v>
      </c>
      <c r="AC114" s="22">
        <f t="shared" si="57"/>
        <v>3.0873254428998265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141.22849894256314</v>
      </c>
      <c r="AO114" s="59">
        <f t="shared" si="90"/>
        <v>156.12101479343704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1.4788796333447844</v>
      </c>
      <c r="AV114" s="21">
        <f>EXP(-LN(2)/25)*AV113+(1-EXP(-LN(2)/25))/(LN(2)/25)*Calculateur!AQ114*Calculateur!AS114*VLOOKUP('Données projet'!$B$10,Paramètres!$A$1:$I$89,3,0)*0.475*44/12</f>
        <v>0.6374444490356006</v>
      </c>
      <c r="AW114" s="21">
        <f>EXP(-LN(2)/2)*AW113+(1-EXP(-LN(2)/2))/(LN(2)/2)*AQ114*AT114*VLOOKUP('Données projet'!$B$10,Paramètres!$A$1:$I$89,3,0)*0.475*44/12</f>
        <v>1.9023003678756577E-12</v>
      </c>
      <c r="AX114" s="21">
        <f t="shared" si="60"/>
        <v>2.1163240823822873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114.25511901730295</v>
      </c>
      <c r="BJ114" s="59">
        <f t="shared" si="92"/>
        <v>180.96261947642182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0.68730540939320173</v>
      </c>
      <c r="BQ114" s="21">
        <f>EXP(-LN(2)/25)*BQ113+(1-EXP(-LN(2)/25))/(LN(2)/25)*Calculateur!BL114*Calculateur!BN114*VLOOKUP('Données projet'!$B$11,Paramètres!$A$1:$I$89,3,0)*0.475*44/12</f>
        <v>1.8856167570234672</v>
      </c>
      <c r="BR114" s="21">
        <f>EXP(-LN(2)/2)*BR113+(1-EXP(-LN(2)/2))/(LN(2)/2)*BL114*BO114*VLOOKUP('Données projet'!$B$11,Paramètres!$A$1:$I$89,3,0)*0.475*44/12</f>
        <v>4.3937668581192466E-12</v>
      </c>
      <c r="BS114" s="22">
        <f t="shared" si="63"/>
        <v>2.5729221664210629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4.4337866711430253E-14</v>
      </c>
      <c r="CA114" s="13">
        <f t="shared" si="93"/>
        <v>7.3222115536967035E-13</v>
      </c>
      <c r="CB114" s="20">
        <f t="shared" si="64"/>
        <v>1.3525069634579169E-12</v>
      </c>
      <c r="CC114" s="59">
        <f t="shared" si="65"/>
        <v>293.33333333333468</v>
      </c>
      <c r="CD114" s="59">
        <f ca="1">AVERAGE(OFFSET($CC$3,0,0,'Données projet'!$E$12+1,1))-AVERAGE(OFFSET($H$3,0,0,'Données projet'!$E$12+1,1))</f>
        <v>216.95993967070063</v>
      </c>
      <c r="CE114" s="59">
        <f t="shared" si="94"/>
        <v>208.79744153433245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1.0388135324417409</v>
      </c>
      <c r="CL114" s="21">
        <f>EXP(-LN(2)/25)*CL113+(1-EXP(-LN(2)/25))/(LN(2)/25)*Calculateur!CG114*Calculateur!CI114*VLOOKUP('Données projet'!$B$12,Paramètres!$A$1:$I$89,3,0)*0.475*44/12</f>
        <v>0.67923328884520917</v>
      </c>
      <c r="CM114" s="21">
        <f>EXP(-LN(2)/2)*CM113+(1-EXP(-LN(2)/2))/(LN(2)/2)*CG114*CJ114*VLOOKUP('Données projet'!$B$12,Paramètres!$A$1:$I$89,3,0)*0.475*44/12</f>
        <v>7.9334571111033798E-13</v>
      </c>
      <c r="CN114" s="22">
        <f t="shared" si="66"/>
        <v>1.7180468212877436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3.813056537183002E-14</v>
      </c>
      <c r="CV114" s="13">
        <f t="shared" si="95"/>
        <v>6.4086286045526829E-13</v>
      </c>
      <c r="CW114" s="20">
        <f t="shared" si="67"/>
        <v>1.1825802166488628E-12</v>
      </c>
      <c r="CX114" s="59">
        <f t="shared" si="68"/>
        <v>293.33333333333451</v>
      </c>
      <c r="CY114" s="59">
        <f ca="1">AVERAGE(OFFSET($CX$3,0,0,'Données projet'!$E$13+1,1))-AVERAGE(OFFSET($H$3,0,0,'Données projet'!$E$13+1,1))</f>
        <v>181.32837315090507</v>
      </c>
      <c r="CZ114" s="59">
        <f t="shared" si="96"/>
        <v>175.03267817980338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1.1011423443882447</v>
      </c>
      <c r="DG114" s="21">
        <f>EXP(-LN(2)/25)*DG113+(1-EXP(-LN(2)/25))/(LN(2)/25)*Calculateur!DB114*Calculateur!DD114*VLOOKUP('Données projet'!$B$13,Paramètres!$A$1:$I$89,3,0)*0.475*44/12</f>
        <v>0.719987286175922</v>
      </c>
      <c r="DH114" s="21">
        <f>EXP(-LN(2)/2)*DH113+(1-EXP(-LN(2)/2))/(LN(2)/2)*DB114*DE114*VLOOKUP('Données projet'!$B$13,Paramètres!$A$1:$I$89,3,0)*0.475*44/12</f>
        <v>6.8227731155489037E-13</v>
      </c>
      <c r="DI114" s="22">
        <f t="shared" si="69"/>
        <v>1.821129630564849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-2.8421709430404007E-13</v>
      </c>
      <c r="DP114" s="17">
        <f>DO114*VLOOKUP('Données projet'!$B$14,Paramètres!$A$1:$I$89,3,0)*VLOOKUP('Données projet'!$B$14,Paramètres!$A$1:$I$89,5,0)</f>
        <v>-2.2612312022829427E-13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325.72928944930294</v>
      </c>
      <c r="DU114" s="59">
        <f t="shared" si="98"/>
        <v>318.38876834819752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3.4812748005519114</v>
      </c>
      <c r="EB114" s="21">
        <f>EXP(-LN(2)/25)*EB113+(1-EXP(-LN(2)/25))/(LN(2)/25)*Calculateur!DW114*Calculateur!DY114*VLOOKUP('Données projet'!$B$14,Paramètres!$A$1:$I$89,3,0)*0.475*44/12</f>
        <v>2.1888240229665463</v>
      </c>
      <c r="EC114" s="21">
        <f>EXP(-LN(2)/2)*EC113+(1-EXP(-LN(2)/2))/(LN(2)/2)*DW114*DZ114*VLOOKUP('Données projet'!$B$14,Paramètres!$A$1:$I$89,3,0)*0.475*44/12</f>
        <v>7.6078103691051914E-12</v>
      </c>
      <c r="ED114" s="22">
        <f t="shared" si="72"/>
        <v>5.6700988235260663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4.8</v>
      </c>
      <c r="EJ114" s="12">
        <f>IF('Données projet'!$A$192&gt;35,EJ113+EI114-ER113,IF(A114&lt;'Données projet'!$A$192,$EG$205^A114,IF(A114='Données projet'!$A$192,'Données projet'!$B$192,EJ113+EI114-ER113)))</f>
        <v>311.7999999999999</v>
      </c>
      <c r="EK114" s="17">
        <f>EJ114*VLOOKUP('Données projet'!$B$15,Paramètres!$A$1:$I$89,3,0)*VLOOKUP('Données projet'!$B$15,Paramètres!$A$1:$I$89,5,0)</f>
        <v>316.16519999999991</v>
      </c>
      <c r="EL114" s="13">
        <f t="shared" si="99"/>
        <v>74.554889944758472</v>
      </c>
      <c r="EM114" s="20">
        <f t="shared" si="73"/>
        <v>680.50415665378762</v>
      </c>
      <c r="EN114" s="59">
        <f t="shared" si="74"/>
        <v>973.83748998712099</v>
      </c>
      <c r="EO114" s="59">
        <f ca="1">AVERAGE(OFFSET($EN$3,0,0,'Données projet'!$E$15+1,1))-AVERAGE(OFFSET($H$3,0,0,'Données projet'!$E$15+1,1))</f>
        <v>384.50065773787549</v>
      </c>
      <c r="EP114" s="59">
        <f t="shared" si="100"/>
        <v>231.92898690465887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1.6468001607315401</v>
      </c>
      <c r="EW114" s="21">
        <f>EXP(-LN(2)/25)*EW113+(1-EXP(-LN(2)/25))/(LN(2)/25)*Calculateur!ER114*Calculateur!ET114*VLOOKUP('Données projet'!$B$15,Paramètres!$A$1:$I$89,3,0)*0.475*44/12</f>
        <v>1.1108236385550521</v>
      </c>
      <c r="EX114" s="21">
        <f>EXP(-LN(2)/2)*EX113+(1-EXP(-LN(2)/2))/(LN(2)/2)*ER114*EU114*VLOOKUP('Données projet'!$B$15,Paramètres!$A$1:$I$89,3,0)*0.475*44/12</f>
        <v>6.1512807000423967E-12</v>
      </c>
      <c r="EY114" s="22">
        <f t="shared" si="75"/>
        <v>2.7576237992927433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4.8</v>
      </c>
      <c r="FE114" s="12">
        <f>IF('Données projet'!$A$218&gt;35,FE113+FD114-FM113,IF(A114&lt;'Données projet'!$A$218,$FB$205^A114,IF(A114='Données projet'!$A$218,'Données projet'!$B$218,FE113+FD114-FM113)))</f>
        <v>311.79999999999978</v>
      </c>
      <c r="FF114" s="17">
        <f>FE114*VLOOKUP('Données projet'!$B$16,Paramètres!$A$1:$I$89,3,0)*VLOOKUP('Données projet'!$B$16,Paramètres!$A$1:$I$89,5,0)</f>
        <v>282.11663999999979</v>
      </c>
      <c r="FG114" s="13">
        <f t="shared" si="101"/>
        <v>67.414119514142186</v>
      </c>
      <c r="FH114" s="20">
        <f t="shared" si="76"/>
        <v>608.76607282046393</v>
      </c>
      <c r="FI114" s="59">
        <f t="shared" si="77"/>
        <v>902.09940615379719</v>
      </c>
      <c r="FJ114" s="59">
        <f ca="1">AVERAGE(OFFSET($FI$3,0,0,'Données projet'!$E$16+1,1))-AVERAGE(OFFSET($H$3,0,0,'Données projet'!$E$16+1,1))</f>
        <v>326.46362829268969</v>
      </c>
      <c r="FK114" s="59">
        <f t="shared" si="102"/>
        <v>203.5274665601915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1.4694524511142957</v>
      </c>
      <c r="FR114" s="21">
        <f>EXP(-LN(2)/25)*FR113+(1-EXP(-LN(2)/25))/(LN(2)/25)*Calculateur!FM114*Calculateur!FO114*VLOOKUP('Données projet'!$B$16,Paramètres!$A$1:$I$89,3,0)*0.475*44/12</f>
        <v>0.99119647747989137</v>
      </c>
      <c r="FS114" s="21">
        <f>EXP(-LN(2)/2)*FS113+(1-EXP(-LN(2)/2))/(LN(2)/2)*FM114*FP114*VLOOKUP('Données projet'!$B$16,Paramètres!$A$1:$I$89,3,0)*0.475*44/12</f>
        <v>5.4888350861916768E-12</v>
      </c>
      <c r="FT114" s="22">
        <f t="shared" si="78"/>
        <v>2.4606489285996762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4.8</v>
      </c>
      <c r="FZ114" s="12">
        <f>IF('Données projet'!$A$244&gt;35,FZ113+FY114-GH113,IF(A114&lt;'Données projet'!$A$244,$FW$205^A114,IF(A114='Données projet'!$A$244,'Données projet'!$B$244,FZ113+FY114-GH113)))</f>
        <v>311.79999999999978</v>
      </c>
      <c r="GA114" s="17">
        <f>FZ114*VLOOKUP('Données projet'!$B$17,Paramètres!$A$1:$I$89,3,0)*VLOOKUP('Données projet'!$B$17,Paramètres!$A$1:$I$89,5,0)</f>
        <v>301.5729599999998</v>
      </c>
      <c r="GB114" s="13">
        <f t="shared" si="103"/>
        <v>71.506115880067313</v>
      </c>
      <c r="GC114" s="20">
        <f t="shared" si="79"/>
        <v>649.77939049111683</v>
      </c>
      <c r="GD114" s="59">
        <f t="shared" si="80"/>
        <v>943.11272382445009</v>
      </c>
      <c r="GE114" s="59">
        <f ca="1">AVERAGE(OFFSET($GD$3,0,0,'Données projet'!$E$17+1,1))-AVERAGE(OFFSET($H$3,0,0,'Données projet'!$E$17+1,1))</f>
        <v>353.24082990916918</v>
      </c>
      <c r="GF114" s="59">
        <f t="shared" si="104"/>
        <v>219.76562717496353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1.570793999467007</v>
      </c>
      <c r="GM114" s="21">
        <f>EXP(-LN(2)/25)*GM113+(1-EXP(-LN(2)/25))/(LN(2)/25)*Calculateur!GH114*Calculateur!GJ114*VLOOKUP('Données projet'!$B$17,Paramètres!$A$1:$I$89,3,0)*0.475*44/12</f>
        <v>1.0595548552371266</v>
      </c>
      <c r="GN114" s="21">
        <f>EXP(-LN(2)/2)*GN113+(1-EXP(-LN(2)/2))/(LN(2)/2)*GH114*GK114*VLOOKUP('Données projet'!$B$17,Paramètres!$A$1:$I$89,3,0)*0.475*44/12</f>
        <v>5.8673754369635182E-12</v>
      </c>
      <c r="GO114" s="21">
        <f t="shared" si="81"/>
        <v>2.6303488547100011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378.17323480030268</v>
      </c>
      <c r="T115" s="59">
        <f t="shared" si="88"/>
        <v>471.89239871617241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0.86827307483265459</v>
      </c>
      <c r="AA115" s="21">
        <f>EXP(-LN(2)/25)*AA114+(1-EXP(-LN(2)/25))/(LN(2)/25)*Calculateur!V115*Calculateur!X115*VLOOKUP('Données projet'!$B$9,Paramètres!$A$1:$I$89,3,0)*0.475*44/12</f>
        <v>2.1414803031174725</v>
      </c>
      <c r="AB115" s="21">
        <f>EXP(-LN(2)/2)*AB114+(1-EXP(-LN(2)/2))/(LN(2)/2)*V115*Y115*VLOOKUP('Données projet'!$B$9,Paramètres!$A$1:$I$89,3,0)*0.475*44/12</f>
        <v>4.756926014612577E-12</v>
      </c>
      <c r="AC115" s="22">
        <f t="shared" si="57"/>
        <v>3.0097533779548842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141.22849894256314</v>
      </c>
      <c r="AO115" s="59">
        <f t="shared" si="90"/>
        <v>156.12101479343704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1.4498797057624018</v>
      </c>
      <c r="AV115" s="21">
        <f>EXP(-LN(2)/25)*AV114+(1-EXP(-LN(2)/25))/(LN(2)/25)*Calculateur!AQ115*Calculateur!AS115*VLOOKUP('Données projet'!$B$10,Paramètres!$A$1:$I$89,3,0)*0.475*44/12</f>
        <v>0.62001349705497544</v>
      </c>
      <c r="AW115" s="21">
        <f>EXP(-LN(2)/2)*AW114+(1-EXP(-LN(2)/2))/(LN(2)/2)*AQ115*AT115*VLOOKUP('Données projet'!$B$10,Paramètres!$A$1:$I$89,3,0)*0.475*44/12</f>
        <v>1.3451294899785415E-12</v>
      </c>
      <c r="AX115" s="21">
        <f t="shared" si="60"/>
        <v>2.0698932028187222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114.25511901730295</v>
      </c>
      <c r="BJ115" s="59">
        <f t="shared" si="92"/>
        <v>180.96261947642182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0.67382776952990675</v>
      </c>
      <c r="BQ115" s="21">
        <f>EXP(-LN(2)/25)*BQ114+(1-EXP(-LN(2)/25))/(LN(2)/25)*Calculateur!BL115*Calculateur!BN115*VLOOKUP('Données projet'!$B$11,Paramètres!$A$1:$I$89,3,0)*0.475*44/12</f>
        <v>1.8340544676423849</v>
      </c>
      <c r="BR115" s="21">
        <f>EXP(-LN(2)/2)*BR114+(1-EXP(-LN(2)/2))/(LN(2)/2)*BL115*BO115*VLOOKUP('Données projet'!$B$11,Paramètres!$A$1:$I$89,3,0)*0.475*44/12</f>
        <v>3.1068623403288306E-12</v>
      </c>
      <c r="BS115" s="22">
        <f t="shared" si="63"/>
        <v>2.5078822371753984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4.4337866711430253E-14</v>
      </c>
      <c r="CA115" s="13">
        <f t="shared" si="93"/>
        <v>7.3222115536967035E-13</v>
      </c>
      <c r="CB115" s="20">
        <f t="shared" si="64"/>
        <v>1.3525069634579169E-12</v>
      </c>
      <c r="CC115" s="59">
        <f t="shared" si="65"/>
        <v>293.33333333333468</v>
      </c>
      <c r="CD115" s="59">
        <f ca="1">AVERAGE(OFFSET($CC$3,0,0,'Données projet'!$E$12+1,1))-AVERAGE(OFFSET($H$3,0,0,'Données projet'!$E$12+1,1))</f>
        <v>216.95993967070063</v>
      </c>
      <c r="CE115" s="59">
        <f t="shared" si="94"/>
        <v>208.79744153433245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1.0184430326842491</v>
      </c>
      <c r="CL115" s="21">
        <f>EXP(-LN(2)/25)*CL114+(1-EXP(-LN(2)/25))/(LN(2)/25)*Calculateur!CG115*Calculateur!CI115*VLOOKUP('Données projet'!$B$12,Paramètres!$A$1:$I$89,3,0)*0.475*44/12</f>
        <v>0.66065961884241065</v>
      </c>
      <c r="CM115" s="21">
        <f>EXP(-LN(2)/2)*CM114+(1-EXP(-LN(2)/2))/(LN(2)/2)*CG115*CJ115*VLOOKUP('Données projet'!$B$12,Paramètres!$A$1:$I$89,3,0)*0.475*44/12</f>
        <v>5.609801321513837E-13</v>
      </c>
      <c r="CN115" s="22">
        <f t="shared" si="66"/>
        <v>1.6791026515272205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3.813056537183002E-14</v>
      </c>
      <c r="CV115" s="13">
        <f t="shared" si="95"/>
        <v>6.4086286045526829E-13</v>
      </c>
      <c r="CW115" s="20">
        <f t="shared" si="67"/>
        <v>1.1825802166488628E-12</v>
      </c>
      <c r="CX115" s="59">
        <f t="shared" si="68"/>
        <v>293.33333333333451</v>
      </c>
      <c r="CY115" s="59">
        <f ca="1">AVERAGE(OFFSET($CX$3,0,0,'Données projet'!$E$13+1,1))-AVERAGE(OFFSET($H$3,0,0,'Données projet'!$E$13+1,1))</f>
        <v>181.32837315090507</v>
      </c>
      <c r="CZ115" s="59">
        <f t="shared" si="96"/>
        <v>175.03267817980338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1.0795496146453032</v>
      </c>
      <c r="DG115" s="21">
        <f>EXP(-LN(2)/25)*DG114+(1-EXP(-LN(2)/25))/(LN(2)/25)*Calculateur!DB115*Calculateur!DD115*VLOOKUP('Données projet'!$B$13,Paramètres!$A$1:$I$89,3,0)*0.475*44/12</f>
        <v>0.70029919597295553</v>
      </c>
      <c r="DH115" s="21">
        <f>EXP(-LN(2)/2)*DH114+(1-EXP(-LN(2)/2))/(LN(2)/2)*DB115*DE115*VLOOKUP('Données projet'!$B$13,Paramètres!$A$1:$I$89,3,0)*0.475*44/12</f>
        <v>4.8244291365018977E-13</v>
      </c>
      <c r="DI115" s="22">
        <f t="shared" si="69"/>
        <v>1.7798488106187411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-2.8421709430404007E-13</v>
      </c>
      <c r="DP115" s="17">
        <f>DO115*VLOOKUP('Données projet'!$B$14,Paramètres!$A$1:$I$89,3,0)*VLOOKUP('Données projet'!$B$14,Paramètres!$A$1:$I$89,5,0)</f>
        <v>-2.2612312022829427E-13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325.72928944930294</v>
      </c>
      <c r="DU115" s="59">
        <f t="shared" si="98"/>
        <v>318.38876834819752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3.4130091250810515</v>
      </c>
      <c r="EB115" s="21">
        <f>EXP(-LN(2)/25)*EB114+(1-EXP(-LN(2)/25))/(LN(2)/25)*Calculateur!DW115*Calculateur!DY115*VLOOKUP('Données projet'!$B$14,Paramètres!$A$1:$I$89,3,0)*0.475*44/12</f>
        <v>2.1289705149532732</v>
      </c>
      <c r="EC115" s="21">
        <f>EXP(-LN(2)/2)*EC114+(1-EXP(-LN(2)/2))/(LN(2)/2)*DW115*DZ115*VLOOKUP('Données projet'!$B$14,Paramètres!$A$1:$I$89,3,0)*0.475*44/12</f>
        <v>5.3795343019756121E-12</v>
      </c>
      <c r="ED115" s="22">
        <f t="shared" si="72"/>
        <v>5.5419796400397043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4.8</v>
      </c>
      <c r="EJ115" s="12">
        <f>IF('Données projet'!$A$192&gt;35,EJ114+EI115-ER114,IF(A115&lt;'Données projet'!$A$192,$EG$205^A115,IF(A115='Données projet'!$A$192,'Données projet'!$B$192,EJ114+EI115-ER114)))</f>
        <v>316.59999999999991</v>
      </c>
      <c r="EK115" s="17">
        <f>EJ115*VLOOKUP('Données projet'!$B$15,Paramètres!$A$1:$I$89,3,0)*VLOOKUP('Données projet'!$B$15,Paramètres!$A$1:$I$89,5,0)</f>
        <v>321.03239999999988</v>
      </c>
      <c r="EL115" s="13">
        <f t="shared" si="99"/>
        <v>75.568124274523356</v>
      </c>
      <c r="EM115" s="20">
        <f t="shared" si="73"/>
        <v>690.74591311146139</v>
      </c>
      <c r="EN115" s="59">
        <f t="shared" si="74"/>
        <v>984.07924644479476</v>
      </c>
      <c r="EO115" s="59">
        <f ca="1">AVERAGE(OFFSET($EN$3,0,0,'Données projet'!$E$15+1,1))-AVERAGE(OFFSET($H$3,0,0,'Données projet'!$E$15+1,1))</f>
        <v>384.50065773787549</v>
      </c>
      <c r="EP115" s="59">
        <f t="shared" si="100"/>
        <v>231.92898690465887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1.6145074140285116</v>
      </c>
      <c r="EW115" s="21">
        <f>EXP(-LN(2)/25)*EW114+(1-EXP(-LN(2)/25))/(LN(2)/25)*Calculateur!ER115*Calculateur!ET115*VLOOKUP('Données projet'!$B$15,Paramètres!$A$1:$I$89,3,0)*0.475*44/12</f>
        <v>1.0804481077430879</v>
      </c>
      <c r="EX115" s="21">
        <f>EXP(-LN(2)/2)*EX114+(1-EXP(-LN(2)/2))/(LN(2)/2)*ER115*EU115*VLOOKUP('Données projet'!$B$15,Paramètres!$A$1:$I$89,3,0)*0.475*44/12</f>
        <v>4.3496122959819118E-12</v>
      </c>
      <c r="EY115" s="22">
        <f t="shared" si="75"/>
        <v>2.6949555217759489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4.8</v>
      </c>
      <c r="FE115" s="12">
        <f>IF('Données projet'!$A$218&gt;35,FE114+FD115-FM114,IF(A115&lt;'Données projet'!$A$218,$FB$205^A115,IF(A115='Données projet'!$A$218,'Données projet'!$B$218,FE114+FD115-FM114)))</f>
        <v>316.5999999999998</v>
      </c>
      <c r="FF115" s="17">
        <f>FE115*VLOOKUP('Données projet'!$B$16,Paramètres!$A$1:$I$89,3,0)*VLOOKUP('Données projet'!$B$16,Paramètres!$A$1:$I$89,5,0)</f>
        <v>286.45967999999982</v>
      </c>
      <c r="FG115" s="13">
        <f t="shared" si="101"/>
        <v>68.330307577101138</v>
      </c>
      <c r="FH115" s="20">
        <f t="shared" si="76"/>
        <v>617.92589503011754</v>
      </c>
      <c r="FI115" s="59">
        <f t="shared" si="77"/>
        <v>911.2592283634508</v>
      </c>
      <c r="FJ115" s="59">
        <f ca="1">AVERAGE(OFFSET($FI$3,0,0,'Données projet'!$E$16+1,1))-AVERAGE(OFFSET($H$3,0,0,'Données projet'!$E$16+1,1))</f>
        <v>326.46362829268969</v>
      </c>
      <c r="FK115" s="59">
        <f t="shared" si="102"/>
        <v>203.5274665601915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1.4406373848254395</v>
      </c>
      <c r="FR115" s="21">
        <f>EXP(-LN(2)/25)*FR114+(1-EXP(-LN(2)/25))/(LN(2)/25)*Calculateur!FM115*Calculateur!FO115*VLOOKUP('Données projet'!$B$16,Paramètres!$A$1:$I$89,3,0)*0.475*44/12</f>
        <v>0.96409215767844636</v>
      </c>
      <c r="FS115" s="21">
        <f>EXP(-LN(2)/2)*FS114+(1-EXP(-LN(2)/2))/(LN(2)/2)*FM115*FP115*VLOOKUP('Données projet'!$B$16,Paramètres!$A$1:$I$89,3,0)*0.475*44/12</f>
        <v>3.8811925102607827E-12</v>
      </c>
      <c r="FT115" s="22">
        <f t="shared" si="78"/>
        <v>2.4047295425077673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4.8</v>
      </c>
      <c r="FZ115" s="12">
        <f>IF('Données projet'!$A$244&gt;35,FZ114+FY115-GH114,IF(A115&lt;'Données projet'!$A$244,$FW$205^A115,IF(A115='Données projet'!$A$244,'Données projet'!$B$244,FZ114+FY115-GH114)))</f>
        <v>316.5999999999998</v>
      </c>
      <c r="GA115" s="17">
        <f>FZ115*VLOOKUP('Données projet'!$B$17,Paramètres!$A$1:$I$89,3,0)*VLOOKUP('Données projet'!$B$17,Paramètres!$A$1:$I$89,5,0)</f>
        <v>306.2155199999998</v>
      </c>
      <c r="GB115" s="13">
        <f t="shared" si="103"/>
        <v>72.477916005471812</v>
      </c>
      <c r="GC115" s="20">
        <f t="shared" si="79"/>
        <v>659.55773437619644</v>
      </c>
      <c r="GD115" s="59">
        <f t="shared" si="80"/>
        <v>952.89106770952981</v>
      </c>
      <c r="GE115" s="59">
        <f ca="1">AVERAGE(OFFSET($GD$3,0,0,'Données projet'!$E$17+1,1))-AVERAGE(OFFSET($H$3,0,0,'Données projet'!$E$17+1,1))</f>
        <v>353.24082990916918</v>
      </c>
      <c r="GF115" s="59">
        <f t="shared" si="104"/>
        <v>219.76562717496353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1.5399916872271953</v>
      </c>
      <c r="GM115" s="21">
        <f>EXP(-LN(2)/25)*GM114+(1-EXP(-LN(2)/25))/(LN(2)/25)*Calculateur!GH115*Calculateur!GJ115*VLOOKUP('Données projet'!$B$17,Paramètres!$A$1:$I$89,3,0)*0.475*44/12</f>
        <v>1.0305812720010992</v>
      </c>
      <c r="GN115" s="21">
        <f>EXP(-LN(2)/2)*GN114+(1-EXP(-LN(2)/2))/(LN(2)/2)*GH115*GK115*VLOOKUP('Données projet'!$B$17,Paramètres!$A$1:$I$89,3,0)*0.475*44/12</f>
        <v>4.1488609592442861E-12</v>
      </c>
      <c r="GO115" s="21">
        <f t="shared" si="81"/>
        <v>2.5705729592324431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378.17323480030268</v>
      </c>
      <c r="T116" s="59">
        <f t="shared" si="88"/>
        <v>471.89239871617241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0.85124676942946875</v>
      </c>
      <c r="AA116" s="21">
        <f>EXP(-LN(2)/25)*AA115+(1-EXP(-LN(2)/25))/(LN(2)/25)*Calculateur!V116*Calculateur!X116*VLOOKUP('Données projet'!$B$9,Paramètres!$A$1:$I$89,3,0)*0.475*44/12</f>
        <v>2.0829214116131705</v>
      </c>
      <c r="AB116" s="21">
        <f>EXP(-LN(2)/2)*AB115+(1-EXP(-LN(2)/2))/(LN(2)/2)*V116*Y116*VLOOKUP('Données projet'!$B$9,Paramètres!$A$1:$I$89,3,0)*0.475*44/12</f>
        <v>3.3636546425352511E-12</v>
      </c>
      <c r="AC116" s="22">
        <f t="shared" si="57"/>
        <v>2.9341681810460027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141.22849894256314</v>
      </c>
      <c r="AO116" s="59">
        <f t="shared" si="90"/>
        <v>156.12101479343704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1.4214484490717003</v>
      </c>
      <c r="AV116" s="21">
        <f>EXP(-LN(2)/25)*AV115+(1-EXP(-LN(2)/25))/(LN(2)/25)*Calculateur!AQ116*Calculateur!AS116*VLOOKUP('Données projet'!$B$10,Paramètres!$A$1:$I$89,3,0)*0.475*44/12</f>
        <v>0.60305919537291441</v>
      </c>
      <c r="AW116" s="21">
        <f>EXP(-LN(2)/2)*AW115+(1-EXP(-LN(2)/2))/(LN(2)/2)*AQ116*AT116*VLOOKUP('Données projet'!$B$10,Paramètres!$A$1:$I$89,3,0)*0.475*44/12</f>
        <v>9.5115018393782883E-13</v>
      </c>
      <c r="AX116" s="21">
        <f t="shared" si="60"/>
        <v>2.0245076444455661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114.25511901730295</v>
      </c>
      <c r="BJ116" s="59">
        <f t="shared" si="92"/>
        <v>180.96261947642182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0.6606144179637824</v>
      </c>
      <c r="BQ116" s="21">
        <f>EXP(-LN(2)/25)*BQ115+(1-EXP(-LN(2)/25))/(LN(2)/25)*Calculateur!BL116*Calculateur!BN116*VLOOKUP('Données projet'!$B$11,Paramètres!$A$1:$I$89,3,0)*0.475*44/12</f>
        <v>1.7839021517759712</v>
      </c>
      <c r="BR116" s="21">
        <f>EXP(-LN(2)/2)*BR115+(1-EXP(-LN(2)/2))/(LN(2)/2)*BL116*BO116*VLOOKUP('Données projet'!$B$11,Paramètres!$A$1:$I$89,3,0)*0.475*44/12</f>
        <v>2.1968834290596233E-12</v>
      </c>
      <c r="BS116" s="22">
        <f t="shared" si="63"/>
        <v>2.4445165697419506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4.4337866711430253E-14</v>
      </c>
      <c r="CA116" s="13">
        <f t="shared" si="93"/>
        <v>7.3222115536967035E-13</v>
      </c>
      <c r="CB116" s="20">
        <f t="shared" si="64"/>
        <v>1.3525069634579169E-12</v>
      </c>
      <c r="CC116" s="59">
        <f t="shared" si="65"/>
        <v>293.33333333333468</v>
      </c>
      <c r="CD116" s="59">
        <f ca="1">AVERAGE(OFFSET($CC$3,0,0,'Données projet'!$E$12+1,1))-AVERAGE(OFFSET($H$3,0,0,'Données projet'!$E$12+1,1))</f>
        <v>216.95993967070063</v>
      </c>
      <c r="CE116" s="59">
        <f t="shared" si="94"/>
        <v>208.79744153433245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0.99847198600222353</v>
      </c>
      <c r="CL116" s="21">
        <f>EXP(-LN(2)/25)*CL115+(1-EXP(-LN(2)/25))/(LN(2)/25)*Calculateur!CG116*Calculateur!CI116*VLOOKUP('Données projet'!$B$12,Paramètres!$A$1:$I$89,3,0)*0.475*44/12</f>
        <v>0.64259384682258558</v>
      </c>
      <c r="CM116" s="21">
        <f>EXP(-LN(2)/2)*CM115+(1-EXP(-LN(2)/2))/(LN(2)/2)*CG116*CJ116*VLOOKUP('Données projet'!$B$12,Paramètres!$A$1:$I$89,3,0)*0.475*44/12</f>
        <v>3.9667285555516899E-13</v>
      </c>
      <c r="CN116" s="22">
        <f t="shared" si="66"/>
        <v>1.6410658328252057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3.813056537183002E-14</v>
      </c>
      <c r="CV116" s="13">
        <f t="shared" si="95"/>
        <v>6.4086286045526829E-13</v>
      </c>
      <c r="CW116" s="20">
        <f t="shared" si="67"/>
        <v>1.1825802166488628E-12</v>
      </c>
      <c r="CX116" s="59">
        <f t="shared" si="68"/>
        <v>293.33333333333451</v>
      </c>
      <c r="CY116" s="59">
        <f ca="1">AVERAGE(OFFSET($CX$3,0,0,'Données projet'!$E$13+1,1))-AVERAGE(OFFSET($H$3,0,0,'Données projet'!$E$13+1,1))</f>
        <v>181.32837315090507</v>
      </c>
      <c r="CZ116" s="59">
        <f t="shared" si="96"/>
        <v>175.03267817980338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1.0583803051623561</v>
      </c>
      <c r="DG116" s="21">
        <f>EXP(-LN(2)/25)*DG115+(1-EXP(-LN(2)/25))/(LN(2)/25)*Calculateur!DB116*Calculateur!DD116*VLOOKUP('Données projet'!$B$13,Paramètres!$A$1:$I$89,3,0)*0.475*44/12</f>
        <v>0.68114947763194089</v>
      </c>
      <c r="DH116" s="21">
        <f>EXP(-LN(2)/2)*DH115+(1-EXP(-LN(2)/2))/(LN(2)/2)*DB116*DE116*VLOOKUP('Données projet'!$B$13,Paramètres!$A$1:$I$89,3,0)*0.475*44/12</f>
        <v>3.4113865577744519E-13</v>
      </c>
      <c r="DI116" s="22">
        <f t="shared" si="69"/>
        <v>1.7395297827946381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-2.8421709430404007E-13</v>
      </c>
      <c r="DP116" s="17">
        <f>DO116*VLOOKUP('Données projet'!$B$14,Paramètres!$A$1:$I$89,3,0)*VLOOKUP('Données projet'!$B$14,Paramètres!$A$1:$I$89,5,0)</f>
        <v>-2.2612312022829427E-13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325.72928944930294</v>
      </c>
      <c r="DU116" s="59">
        <f t="shared" si="98"/>
        <v>318.38876834819752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3.3460820978682246</v>
      </c>
      <c r="EB116" s="21">
        <f>EXP(-LN(2)/25)*EB115+(1-EXP(-LN(2)/25))/(LN(2)/25)*Calculateur!DW116*Calculateur!DY116*VLOOKUP('Données projet'!$B$14,Paramètres!$A$1:$I$89,3,0)*0.475*44/12</f>
        <v>2.0707537042641824</v>
      </c>
      <c r="EC116" s="21">
        <f>EXP(-LN(2)/2)*EC115+(1-EXP(-LN(2)/2))/(LN(2)/2)*DW116*DZ116*VLOOKUP('Données projet'!$B$14,Paramètres!$A$1:$I$89,3,0)*0.475*44/12</f>
        <v>3.8039051845525957E-12</v>
      </c>
      <c r="ED116" s="22">
        <f t="shared" si="72"/>
        <v>5.4168358021362115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4.8</v>
      </c>
      <c r="EJ116" s="12">
        <f>IF('Données projet'!$A$192&gt;35,EJ115+EI116-ER115,IF(A116&lt;'Données projet'!$A$192,$EG$205^A116,IF(A116='Données projet'!$A$192,'Données projet'!$B$192,EJ115+EI116-ER115)))</f>
        <v>321.39999999999992</v>
      </c>
      <c r="EK116" s="17">
        <f>EJ116*VLOOKUP('Données projet'!$B$15,Paramètres!$A$1:$I$89,3,0)*VLOOKUP('Données projet'!$B$15,Paramètres!$A$1:$I$89,5,0)</f>
        <v>325.89959999999996</v>
      </c>
      <c r="EL116" s="13">
        <f t="shared" si="99"/>
        <v>76.579572003009503</v>
      </c>
      <c r="EM116" s="20">
        <f t="shared" si="73"/>
        <v>700.98455790524133</v>
      </c>
      <c r="EN116" s="59">
        <f t="shared" si="74"/>
        <v>994.3178912385747</v>
      </c>
      <c r="EO116" s="59">
        <f ca="1">AVERAGE(OFFSET($EN$3,0,0,'Données projet'!$E$15+1,1))-AVERAGE(OFFSET($H$3,0,0,'Données projet'!$E$15+1,1))</f>
        <v>384.50065773787549</v>
      </c>
      <c r="EP116" s="59">
        <f t="shared" si="100"/>
        <v>231.92898690465887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1.5828479083916989</v>
      </c>
      <c r="EW116" s="21">
        <f>EXP(-LN(2)/25)*EW115+(1-EXP(-LN(2)/25))/(LN(2)/25)*Calculateur!ER116*Calculateur!ET116*VLOOKUP('Données projet'!$B$15,Paramètres!$A$1:$I$89,3,0)*0.475*44/12</f>
        <v>1.0509031974185565</v>
      </c>
      <c r="EX116" s="21">
        <f>EXP(-LN(2)/2)*EX115+(1-EXP(-LN(2)/2))/(LN(2)/2)*ER116*EU116*VLOOKUP('Données projet'!$B$15,Paramètres!$A$1:$I$89,3,0)*0.475*44/12</f>
        <v>3.0756403500211983E-12</v>
      </c>
      <c r="EY116" s="22">
        <f t="shared" si="75"/>
        <v>2.6337511058133312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4.8</v>
      </c>
      <c r="FE116" s="12">
        <f>IF('Données projet'!$A$218&gt;35,FE115+FD116-FM115,IF(A116&lt;'Données projet'!$A$218,$FB$205^A116,IF(A116='Données projet'!$A$218,'Données projet'!$B$218,FE115+FD116-FM115)))</f>
        <v>321.39999999999981</v>
      </c>
      <c r="FF116" s="17">
        <f>FE116*VLOOKUP('Données projet'!$B$16,Paramètres!$A$1:$I$89,3,0)*VLOOKUP('Données projet'!$B$16,Paramètres!$A$1:$I$89,5,0)</f>
        <v>290.80271999999979</v>
      </c>
      <c r="FG116" s="13">
        <f t="shared" si="101"/>
        <v>69.244880157128961</v>
      </c>
      <c r="FH116" s="20">
        <f t="shared" si="76"/>
        <v>627.08290360699914</v>
      </c>
      <c r="FI116" s="59">
        <f t="shared" si="77"/>
        <v>920.41623694033251</v>
      </c>
      <c r="FJ116" s="59">
        <f ca="1">AVERAGE(OFFSET($FI$3,0,0,'Données projet'!$E$16+1,1))-AVERAGE(OFFSET($H$3,0,0,'Données projet'!$E$16+1,1))</f>
        <v>326.46362829268969</v>
      </c>
      <c r="FK116" s="59">
        <f t="shared" si="102"/>
        <v>203.5274665601915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1.4123873644110527</v>
      </c>
      <c r="FR116" s="21">
        <f>EXP(-LN(2)/25)*FR115+(1-EXP(-LN(2)/25))/(LN(2)/25)*Calculateur!FM116*Calculateur!FO116*VLOOKUP('Données projet'!$B$16,Paramètres!$A$1:$I$89,3,0)*0.475*44/12</f>
        <v>0.93772900692732608</v>
      </c>
      <c r="FS116" s="21">
        <f>EXP(-LN(2)/2)*FS115+(1-EXP(-LN(2)/2))/(LN(2)/2)*FM116*FP116*VLOOKUP('Données projet'!$B$16,Paramètres!$A$1:$I$89,3,0)*0.475*44/12</f>
        <v>2.7444175430958384E-12</v>
      </c>
      <c r="FT116" s="22">
        <f t="shared" si="78"/>
        <v>2.3501163713411231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4.8</v>
      </c>
      <c r="FZ116" s="12">
        <f>IF('Données projet'!$A$244&gt;35,FZ115+FY116-GH115,IF(A116&lt;'Données projet'!$A$244,$FW$205^A116,IF(A116='Données projet'!$A$244,'Données projet'!$B$244,FZ115+FY116-GH115)))</f>
        <v>321.39999999999981</v>
      </c>
      <c r="GA116" s="17">
        <f>FZ116*VLOOKUP('Données projet'!$B$17,Paramètres!$A$1:$I$89,3,0)*VLOOKUP('Données projet'!$B$17,Paramètres!$A$1:$I$89,5,0)</f>
        <v>310.85807999999986</v>
      </c>
      <c r="GB116" s="13">
        <f t="shared" si="103"/>
        <v>73.448002589106309</v>
      </c>
      <c r="GC116" s="20">
        <f t="shared" si="79"/>
        <v>669.33309384269319</v>
      </c>
      <c r="GD116" s="59">
        <f t="shared" si="80"/>
        <v>962.66642717602645</v>
      </c>
      <c r="GE116" s="59">
        <f ca="1">AVERAGE(OFFSET($GD$3,0,0,'Données projet'!$E$17+1,1))-AVERAGE(OFFSET($H$3,0,0,'Données projet'!$E$17+1,1))</f>
        <v>353.24082990916918</v>
      </c>
      <c r="GF116" s="59">
        <f t="shared" si="104"/>
        <v>219.76562717496353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1.5097933895428508</v>
      </c>
      <c r="GM116" s="21">
        <f>EXP(-LN(2)/25)*GM115+(1-EXP(-LN(2)/25))/(LN(2)/25)*Calculateur!GH116*Calculateur!GJ116*VLOOKUP('Données projet'!$B$17,Paramètres!$A$1:$I$89,3,0)*0.475*44/12</f>
        <v>1.0023999729223154</v>
      </c>
      <c r="GN116" s="21">
        <f>EXP(-LN(2)/2)*GN115+(1-EXP(-LN(2)/2))/(LN(2)/2)*GH116*GK116*VLOOKUP('Données projet'!$B$17,Paramètres!$A$1:$I$89,3,0)*0.475*44/12</f>
        <v>2.9336877184817591E-12</v>
      </c>
      <c r="GO116" s="21">
        <f t="shared" si="81"/>
        <v>2.5121933624680999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378.17323480030268</v>
      </c>
      <c r="T117" s="59">
        <f t="shared" si="88"/>
        <v>471.89239871617241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0.83455433949021851</v>
      </c>
      <c r="AA117" s="21">
        <f>EXP(-LN(2)/25)*AA116+(1-EXP(-LN(2)/25))/(LN(2)/25)*Calculateur!V117*Calculateur!X117*VLOOKUP('Données projet'!$B$9,Paramètres!$A$1:$I$89,3,0)*0.475*44/12</f>
        <v>2.0259638160765316</v>
      </c>
      <c r="AB117" s="21">
        <f>EXP(-LN(2)/2)*AB116+(1-EXP(-LN(2)/2))/(LN(2)/2)*V117*Y117*VLOOKUP('Données projet'!$B$9,Paramètres!$A$1:$I$89,3,0)*0.475*44/12</f>
        <v>2.3784630073062885E-12</v>
      </c>
      <c r="AC117" s="22">
        <f t="shared" si="57"/>
        <v>2.8605181555691286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141.22849894256314</v>
      </c>
      <c r="AO117" s="59">
        <f t="shared" si="90"/>
        <v>156.12101479343704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1.3935747119833493</v>
      </c>
      <c r="AV117" s="21">
        <f>EXP(-LN(2)/25)*AV116+(1-EXP(-LN(2)/25))/(LN(2)/25)*Calculateur!AQ117*Calculateur!AS117*VLOOKUP('Données projet'!$B$10,Paramètres!$A$1:$I$89,3,0)*0.475*44/12</f>
        <v>0.58656850996193732</v>
      </c>
      <c r="AW117" s="21">
        <f>EXP(-LN(2)/2)*AW116+(1-EXP(-LN(2)/2))/(LN(2)/2)*AQ117*AT117*VLOOKUP('Données projet'!$B$10,Paramètres!$A$1:$I$89,3,0)*0.475*44/12</f>
        <v>6.7256474498927077E-13</v>
      </c>
      <c r="AX117" s="21">
        <f t="shared" si="60"/>
        <v>1.9801432219459592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114.25511901730295</v>
      </c>
      <c r="BJ117" s="59">
        <f t="shared" si="92"/>
        <v>180.96261947642182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0.64766017216252103</v>
      </c>
      <c r="BQ117" s="21">
        <f>EXP(-LN(2)/25)*BQ116+(1-EXP(-LN(2)/25))/(LN(2)/25)*Calculateur!BL117*Calculateur!BN117*VLOOKUP('Données projet'!$B$11,Paramètres!$A$1:$I$89,3,0)*0.475*44/12</f>
        <v>1.7351212536243203</v>
      </c>
      <c r="BR117" s="21">
        <f>EXP(-LN(2)/2)*BR116+(1-EXP(-LN(2)/2))/(LN(2)/2)*BL117*BO117*VLOOKUP('Données projet'!$B$11,Paramètres!$A$1:$I$89,3,0)*0.475*44/12</f>
        <v>1.5534311701644153E-12</v>
      </c>
      <c r="BS117" s="22">
        <f t="shared" si="63"/>
        <v>2.3827814257883948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4.4337866711430253E-14</v>
      </c>
      <c r="CA117" s="13">
        <f t="shared" si="93"/>
        <v>7.3222115536967035E-13</v>
      </c>
      <c r="CB117" s="20">
        <f t="shared" si="64"/>
        <v>1.3525069634579169E-12</v>
      </c>
      <c r="CC117" s="59">
        <f t="shared" si="65"/>
        <v>293.33333333333468</v>
      </c>
      <c r="CD117" s="59">
        <f ca="1">AVERAGE(OFFSET($CC$3,0,0,'Données projet'!$E$12+1,1))-AVERAGE(OFFSET($H$3,0,0,'Données projet'!$E$12+1,1))</f>
        <v>216.95993967070063</v>
      </c>
      <c r="CE117" s="59">
        <f t="shared" si="94"/>
        <v>208.79744153433245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0.97889255936449682</v>
      </c>
      <c r="CL117" s="21">
        <f>EXP(-LN(2)/25)*CL116+(1-EXP(-LN(2)/25))/(LN(2)/25)*Calculateur!CG117*Calculateur!CI117*VLOOKUP('Données projet'!$B$12,Paramètres!$A$1:$I$89,3,0)*0.475*44/12</f>
        <v>0.62502208428868022</v>
      </c>
      <c r="CM117" s="21">
        <f>EXP(-LN(2)/2)*CM116+(1-EXP(-LN(2)/2))/(LN(2)/2)*CG117*CJ117*VLOOKUP('Données projet'!$B$12,Paramètres!$A$1:$I$89,3,0)*0.475*44/12</f>
        <v>2.8049006607569185E-13</v>
      </c>
      <c r="CN117" s="22">
        <f t="shared" si="66"/>
        <v>1.6039146436534575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3.813056537183002E-14</v>
      </c>
      <c r="CV117" s="13">
        <f t="shared" si="95"/>
        <v>6.4086286045526829E-13</v>
      </c>
      <c r="CW117" s="20">
        <f t="shared" si="67"/>
        <v>1.1825802166488628E-12</v>
      </c>
      <c r="CX117" s="59">
        <f t="shared" si="68"/>
        <v>293.33333333333451</v>
      </c>
      <c r="CY117" s="59">
        <f ca="1">AVERAGE(OFFSET($CX$3,0,0,'Données projet'!$E$13+1,1))-AVERAGE(OFFSET($H$3,0,0,'Données projet'!$E$13+1,1))</f>
        <v>181.32837315090507</v>
      </c>
      <c r="CZ117" s="59">
        <f t="shared" si="96"/>
        <v>175.03267817980338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1.037626112926366</v>
      </c>
      <c r="DG117" s="21">
        <f>EXP(-LN(2)/25)*DG116+(1-EXP(-LN(2)/25))/(LN(2)/25)*Calculateur!DB117*Calculateur!DD117*VLOOKUP('Données projet'!$B$13,Paramètres!$A$1:$I$89,3,0)*0.475*44/12</f>
        <v>0.66252340934600118</v>
      </c>
      <c r="DH117" s="21">
        <f>EXP(-LN(2)/2)*DH116+(1-EXP(-LN(2)/2))/(LN(2)/2)*DB117*DE117*VLOOKUP('Données projet'!$B$13,Paramètres!$A$1:$I$89,3,0)*0.475*44/12</f>
        <v>2.4122145682509489E-13</v>
      </c>
      <c r="DI117" s="22">
        <f t="shared" si="69"/>
        <v>1.7001495222726084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-2.8421709430404007E-13</v>
      </c>
      <c r="DP117" s="17">
        <f>DO117*VLOOKUP('Données projet'!$B$14,Paramètres!$A$1:$I$89,3,0)*VLOOKUP('Données projet'!$B$14,Paramètres!$A$1:$I$89,5,0)</f>
        <v>-2.2612312022829427E-13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325.72928944930294</v>
      </c>
      <c r="DU117" s="59">
        <f t="shared" si="98"/>
        <v>318.38876834819752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3.2804674688375854</v>
      </c>
      <c r="EB117" s="21">
        <f>EXP(-LN(2)/25)*EB116+(1-EXP(-LN(2)/25))/(LN(2)/25)*Calculateur!DW117*Calculateur!DY117*VLOOKUP('Données projet'!$B$14,Paramètres!$A$1:$I$89,3,0)*0.475*44/12</f>
        <v>2.0141288353248736</v>
      </c>
      <c r="EC117" s="21">
        <f>EXP(-LN(2)/2)*EC116+(1-EXP(-LN(2)/2))/(LN(2)/2)*DW117*DZ117*VLOOKUP('Données projet'!$B$14,Paramètres!$A$1:$I$89,3,0)*0.475*44/12</f>
        <v>2.6897671509878061E-12</v>
      </c>
      <c r="ED117" s="22">
        <f t="shared" si="72"/>
        <v>5.2945963041651485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4.8</v>
      </c>
      <c r="EJ117" s="12">
        <f>IF('Données projet'!$A$192&gt;35,EJ116+EI117-ER116,IF(A117&lt;'Données projet'!$A$192,$EG$205^A117,IF(A117='Données projet'!$A$192,'Données projet'!$B$192,EJ116+EI117-ER116)))</f>
        <v>326.19999999999993</v>
      </c>
      <c r="EK117" s="17">
        <f>EJ117*VLOOKUP('Données projet'!$B$15,Paramètres!$A$1:$I$89,3,0)*VLOOKUP('Données projet'!$B$15,Paramètres!$A$1:$I$89,5,0)</f>
        <v>330.76679999999999</v>
      </c>
      <c r="EL117" s="13">
        <f t="shared" si="99"/>
        <v>77.589262894669872</v>
      </c>
      <c r="EM117" s="20">
        <f t="shared" si="73"/>
        <v>711.22014287488344</v>
      </c>
      <c r="EN117" s="59">
        <f t="shared" si="74"/>
        <v>1004.5534762082168</v>
      </c>
      <c r="EO117" s="59">
        <f ca="1">AVERAGE(OFFSET($EN$3,0,0,'Données projet'!$E$15+1,1))-AVERAGE(OFFSET($H$3,0,0,'Données projet'!$E$15+1,1))</f>
        <v>384.50065773787549</v>
      </c>
      <c r="EP117" s="59">
        <f t="shared" si="100"/>
        <v>231.92898690465887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1.5518092263500323</v>
      </c>
      <c r="EW117" s="21">
        <f>EXP(-LN(2)/25)*EW116+(1-EXP(-LN(2)/25))/(LN(2)/25)*Calculateur!ER117*Calculateur!ET117*VLOOKUP('Données projet'!$B$15,Paramètres!$A$1:$I$89,3,0)*0.475*44/12</f>
        <v>1.0221661942205489</v>
      </c>
      <c r="EX117" s="21">
        <f>EXP(-LN(2)/2)*EX116+(1-EXP(-LN(2)/2))/(LN(2)/2)*ER117*EU117*VLOOKUP('Données projet'!$B$15,Paramètres!$A$1:$I$89,3,0)*0.475*44/12</f>
        <v>2.1748061479909559E-12</v>
      </c>
      <c r="EY117" s="22">
        <f t="shared" si="75"/>
        <v>2.5739754205727556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4.8</v>
      </c>
      <c r="FE117" s="12">
        <f>IF('Données projet'!$A$218&gt;35,FE116+FD117-FM116,IF(A117&lt;'Données projet'!$A$218,$FB$205^A117,IF(A117='Données projet'!$A$218,'Données projet'!$B$218,FE116+FD117-FM116)))</f>
        <v>326.19999999999982</v>
      </c>
      <c r="FF117" s="17">
        <f>FE117*VLOOKUP('Données projet'!$B$16,Paramètres!$A$1:$I$89,3,0)*VLOOKUP('Données projet'!$B$16,Paramètres!$A$1:$I$89,5,0)</f>
        <v>295.14575999999983</v>
      </c>
      <c r="FG117" s="13">
        <f t="shared" si="101"/>
        <v>70.157864167878188</v>
      </c>
      <c r="FH117" s="20">
        <f t="shared" si="76"/>
        <v>636.23714542572077</v>
      </c>
      <c r="FI117" s="59">
        <f t="shared" si="77"/>
        <v>929.57047875905414</v>
      </c>
      <c r="FJ117" s="59">
        <f ca="1">AVERAGE(OFFSET($FI$3,0,0,'Données projet'!$E$16+1,1))-AVERAGE(OFFSET($H$3,0,0,'Données projet'!$E$16+1,1))</f>
        <v>326.46362829268969</v>
      </c>
      <c r="FK117" s="59">
        <f t="shared" si="102"/>
        <v>203.5274665601915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1.384691309666181</v>
      </c>
      <c r="FR117" s="21">
        <f>EXP(-LN(2)/25)*FR116+(1-EXP(-LN(2)/25))/(LN(2)/25)*Calculateur!FM117*Calculateur!FO117*VLOOKUP('Données projet'!$B$16,Paramètres!$A$1:$I$89,3,0)*0.475*44/12</f>
        <v>0.91208675791987304</v>
      </c>
      <c r="FS117" s="21">
        <f>EXP(-LN(2)/2)*FS116+(1-EXP(-LN(2)/2))/(LN(2)/2)*FM117*FP117*VLOOKUP('Données projet'!$B$16,Paramètres!$A$1:$I$89,3,0)*0.475*44/12</f>
        <v>1.9405962551303913E-12</v>
      </c>
      <c r="FT117" s="22">
        <f t="shared" si="78"/>
        <v>2.2967780675879945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4.8</v>
      </c>
      <c r="FZ117" s="12">
        <f>IF('Données projet'!$A$244&gt;35,FZ116+FY117-GH116,IF(A117&lt;'Données projet'!$A$244,$FW$205^A117,IF(A117='Données projet'!$A$244,'Données projet'!$B$244,FZ116+FY117-GH116)))</f>
        <v>326.19999999999982</v>
      </c>
      <c r="GA117" s="17">
        <f>FZ117*VLOOKUP('Données projet'!$B$17,Paramètres!$A$1:$I$89,3,0)*VLOOKUP('Données projet'!$B$17,Paramètres!$A$1:$I$89,5,0)</f>
        <v>315.50063999999981</v>
      </c>
      <c r="GB117" s="13">
        <f t="shared" si="103"/>
        <v>74.416404178265864</v>
      </c>
      <c r="GC117" s="20">
        <f t="shared" si="79"/>
        <v>679.10551861047941</v>
      </c>
      <c r="GD117" s="59">
        <f t="shared" si="80"/>
        <v>972.43885194381278</v>
      </c>
      <c r="GE117" s="59">
        <f ca="1">AVERAGE(OFFSET($GD$3,0,0,'Données projet'!$E$17+1,1))-AVERAGE(OFFSET($H$3,0,0,'Données projet'!$E$17+1,1))</f>
        <v>353.24082990916918</v>
      </c>
      <c r="GF117" s="59">
        <f t="shared" si="104"/>
        <v>219.76562717496353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1.4801872620569534</v>
      </c>
      <c r="GM117" s="21">
        <f>EXP(-LN(2)/25)*GM116+(1-EXP(-LN(2)/25))/(LN(2)/25)*Calculateur!GH117*Calculateur!GJ117*VLOOKUP('Données projet'!$B$17,Paramètres!$A$1:$I$89,3,0)*0.475*44/12</f>
        <v>0.97498929294883119</v>
      </c>
      <c r="GN117" s="21">
        <f>EXP(-LN(2)/2)*GN116+(1-EXP(-LN(2)/2))/(LN(2)/2)*GH117*GK117*VLOOKUP('Données projet'!$B$17,Paramètres!$A$1:$I$89,3,0)*0.475*44/12</f>
        <v>2.074430479622143E-12</v>
      </c>
      <c r="GO117" s="21">
        <f t="shared" si="81"/>
        <v>2.455176555007859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378.17323480030268</v>
      </c>
      <c r="T118" s="59">
        <f t="shared" si="88"/>
        <v>471.89239871617241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0.81818923792070009</v>
      </c>
      <c r="AA118" s="21">
        <f>EXP(-LN(2)/25)*AA117+(1-EXP(-LN(2)/25))/(LN(2)/25)*Calculateur!V118*Calculateur!X118*VLOOKUP('Données projet'!$B$9,Paramètres!$A$1:$I$89,3,0)*0.475*44/12</f>
        <v>1.9705637289851121</v>
      </c>
      <c r="AB118" s="21">
        <f>EXP(-LN(2)/2)*AB117+(1-EXP(-LN(2)/2))/(LN(2)/2)*V118*Y118*VLOOKUP('Données projet'!$B$9,Paramètres!$A$1:$I$89,3,0)*0.475*44/12</f>
        <v>1.6818273212676256E-12</v>
      </c>
      <c r="AC118" s="22">
        <f t="shared" si="57"/>
        <v>2.7887529669074937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141.22849894256314</v>
      </c>
      <c r="AO118" s="59">
        <f t="shared" si="90"/>
        <v>156.12101479343704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1.3662475618779999</v>
      </c>
      <c r="AV118" s="21">
        <f>EXP(-LN(2)/25)*AV117+(1-EXP(-LN(2)/25))/(LN(2)/25)*Calculateur!AQ118*Calculateur!AS118*VLOOKUP('Données projet'!$B$10,Paramètres!$A$1:$I$89,3,0)*0.475*44/12</f>
        <v>0.57052876321073087</v>
      </c>
      <c r="AW118" s="21">
        <f>EXP(-LN(2)/2)*AW117+(1-EXP(-LN(2)/2))/(LN(2)/2)*AQ118*AT118*VLOOKUP('Données projet'!$B$10,Paramètres!$A$1:$I$89,3,0)*0.475*44/12</f>
        <v>4.7557509196891442E-13</v>
      </c>
      <c r="AX118" s="21">
        <f t="shared" si="60"/>
        <v>1.9367763250892063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114.25511901730295</v>
      </c>
      <c r="BJ118" s="59">
        <f t="shared" si="92"/>
        <v>180.96261947642182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0.63495995122011273</v>
      </c>
      <c r="BQ118" s="21">
        <f>EXP(-LN(2)/25)*BQ117+(1-EXP(-LN(2)/25))/(LN(2)/25)*Calculateur!BL118*Calculateur!BN118*VLOOKUP('Données projet'!$B$11,Paramètres!$A$1:$I$89,3,0)*0.475*44/12</f>
        <v>1.6876742716979023</v>
      </c>
      <c r="BR118" s="21">
        <f>EXP(-LN(2)/2)*BR117+(1-EXP(-LN(2)/2))/(LN(2)/2)*BL118*BO118*VLOOKUP('Données projet'!$B$11,Paramètres!$A$1:$I$89,3,0)*0.475*44/12</f>
        <v>1.0984417145298117E-12</v>
      </c>
      <c r="BS118" s="22">
        <f t="shared" si="63"/>
        <v>2.3226342229191133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4.4337866711430253E-14</v>
      </c>
      <c r="CA118" s="13">
        <f t="shared" si="93"/>
        <v>7.3222115536967035E-13</v>
      </c>
      <c r="CB118" s="20">
        <f t="shared" si="64"/>
        <v>1.3525069634579169E-12</v>
      </c>
      <c r="CC118" s="59">
        <f t="shared" si="65"/>
        <v>293.33333333333468</v>
      </c>
      <c r="CD118" s="59">
        <f ca="1">AVERAGE(OFFSET($CC$3,0,0,'Données projet'!$E$12+1,1))-AVERAGE(OFFSET($H$3,0,0,'Données projet'!$E$12+1,1))</f>
        <v>216.95993967070063</v>
      </c>
      <c r="CE118" s="59">
        <f t="shared" si="94"/>
        <v>208.79744153433245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0.95969707334086496</v>
      </c>
      <c r="CL118" s="21">
        <f>EXP(-LN(2)/25)*CL117+(1-EXP(-LN(2)/25))/(LN(2)/25)*Calculateur!CG118*Calculateur!CI118*VLOOKUP('Données projet'!$B$12,Paramètres!$A$1:$I$89,3,0)*0.475*44/12</f>
        <v>0.60793082252532338</v>
      </c>
      <c r="CM118" s="21">
        <f>EXP(-LN(2)/2)*CM117+(1-EXP(-LN(2)/2))/(LN(2)/2)*CG118*CJ118*VLOOKUP('Données projet'!$B$12,Paramètres!$A$1:$I$89,3,0)*0.475*44/12</f>
        <v>1.983364277775845E-13</v>
      </c>
      <c r="CN118" s="22">
        <f t="shared" si="66"/>
        <v>1.5676278958663865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3.813056537183002E-14</v>
      </c>
      <c r="CV118" s="13">
        <f t="shared" si="95"/>
        <v>6.4086286045526829E-13</v>
      </c>
      <c r="CW118" s="20">
        <f t="shared" si="67"/>
        <v>1.1825802166488628E-12</v>
      </c>
      <c r="CX118" s="59">
        <f t="shared" si="68"/>
        <v>293.33333333333451</v>
      </c>
      <c r="CY118" s="59">
        <f ca="1">AVERAGE(OFFSET($CX$3,0,0,'Données projet'!$E$13+1,1))-AVERAGE(OFFSET($H$3,0,0,'Données projet'!$E$13+1,1))</f>
        <v>181.32837315090507</v>
      </c>
      <c r="CZ118" s="59">
        <f t="shared" si="96"/>
        <v>175.03267817980338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1.0172788977413161</v>
      </c>
      <c r="DG118" s="21">
        <f>EXP(-LN(2)/25)*DG117+(1-EXP(-LN(2)/25))/(LN(2)/25)*Calculateur!DB118*Calculateur!DD118*VLOOKUP('Données projet'!$B$13,Paramètres!$A$1:$I$89,3,0)*0.475*44/12</f>
        <v>0.64440667187684286</v>
      </c>
      <c r="DH118" s="21">
        <f>EXP(-LN(2)/2)*DH117+(1-EXP(-LN(2)/2))/(LN(2)/2)*DB118*DE118*VLOOKUP('Données projet'!$B$13,Paramètres!$A$1:$I$89,3,0)*0.475*44/12</f>
        <v>1.7056932788872259E-13</v>
      </c>
      <c r="DI118" s="22">
        <f t="shared" si="69"/>
        <v>1.6616855696183295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-2.8421709430404007E-13</v>
      </c>
      <c r="DP118" s="17">
        <f>DO118*VLOOKUP('Données projet'!$B$14,Paramètres!$A$1:$I$89,3,0)*VLOOKUP('Données projet'!$B$14,Paramètres!$A$1:$I$89,5,0)</f>
        <v>-2.2612312022829427E-13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325.72928944930294</v>
      </c>
      <c r="DU118" s="59">
        <f t="shared" si="98"/>
        <v>318.38876834819752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3.2161395026612651</v>
      </c>
      <c r="EB118" s="21">
        <f>EXP(-LN(2)/25)*EB117+(1-EXP(-LN(2)/25))/(LN(2)/25)*Calculateur!DW118*Calculateur!DY118*VLOOKUP('Données projet'!$B$14,Paramètres!$A$1:$I$89,3,0)*0.475*44/12</f>
        <v>1.9590523764044829</v>
      </c>
      <c r="EC118" s="21">
        <f>EXP(-LN(2)/2)*EC117+(1-EXP(-LN(2)/2))/(LN(2)/2)*DW118*DZ118*VLOOKUP('Données projet'!$B$14,Paramètres!$A$1:$I$89,3,0)*0.475*44/12</f>
        <v>1.9019525922762978E-12</v>
      </c>
      <c r="ED118" s="22">
        <f t="shared" si="72"/>
        <v>5.1751918790676497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331</v>
      </c>
      <c r="EH118" s="12">
        <f>VLOOKUP(A118,'Données projet'!$A$191:$I$211,9,0)</f>
        <v>4.8</v>
      </c>
      <c r="EI118" s="12">
        <f t="array" ref="EI118">INDEX(EH:EH,MIN(IF(ISNUMBER(EH118:EH314),ROW(EH118:EH314),"")))</f>
        <v>4.8</v>
      </c>
      <c r="EJ118" s="12">
        <f>IF('Données projet'!$A$192&gt;35,EJ117+EI118-ER117,IF(A118&lt;'Données projet'!$A$192,$EG$205^A118,IF(A118='Données projet'!$A$192,'Données projet'!$B$192,EJ117+EI118-ER117)))</f>
        <v>330.99999999999994</v>
      </c>
      <c r="EK118" s="17">
        <f>EJ118*VLOOKUP('Données projet'!$B$15,Paramètres!$A$1:$I$89,3,0)*VLOOKUP('Données projet'!$B$15,Paramètres!$A$1:$I$89,5,0)</f>
        <v>335.63399999999996</v>
      </c>
      <c r="EL118" s="13">
        <f t="shared" si="99"/>
        <v>78.597225787708638</v>
      </c>
      <c r="EM118" s="20">
        <f t="shared" si="73"/>
        <v>721.45271824692588</v>
      </c>
      <c r="EN118" s="59">
        <f t="shared" si="74"/>
        <v>1014.7860515802593</v>
      </c>
      <c r="EO118" s="59">
        <f ca="1">AVERAGE(OFFSET($EN$3,0,0,'Données projet'!$E$15+1,1))-AVERAGE(OFFSET($H$3,0,0,'Données projet'!$E$15+1,1))</f>
        <v>384.50065773787549</v>
      </c>
      <c r="EP118" s="59">
        <f t="shared" si="100"/>
        <v>231.92898690465887</v>
      </c>
      <c r="EQ118" s="15">
        <f>IF(ISNA(VLOOKUP(A118,'Données projet'!$A$191:$I$211,3,0)),0,VLOOKUP(A118,'Données projet'!$A$191:$I$211,3,0))</f>
        <v>20</v>
      </c>
      <c r="ER118" s="15">
        <f>IF(ISNA(VLOOKUP(A118,'Données projet'!$A$191:$I$211,4,0)),0,VLOOKUP(A118,'Données projet'!$A$191:$I$211,4,0))</f>
        <v>331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1.521379193931476</v>
      </c>
      <c r="EW118" s="21">
        <f>EXP(-LN(2)/25)*EW117+(1-EXP(-LN(2)/25))/(LN(2)/25)*Calculateur!ER118*Calculateur!ET118*VLOOKUP('Données projet'!$B$15,Paramètres!$A$1:$I$89,3,0)*0.475*44/12</f>
        <v>0.99421500588620404</v>
      </c>
      <c r="EX118" s="21">
        <f>EXP(-LN(2)/2)*EX117+(1-EXP(-LN(2)/2))/(LN(2)/2)*ER118*EU118*VLOOKUP('Données projet'!$B$15,Paramètres!$A$1:$I$89,3,0)*0.475*44/12</f>
        <v>1.5378201750105992E-12</v>
      </c>
      <c r="EY118" s="22">
        <f t="shared" si="75"/>
        <v>2.5155941998192177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>
        <f>VLOOKUP(A118,'Données projet'!$A$217:$I$237,2,0)</f>
        <v>331</v>
      </c>
      <c r="FC118" s="12">
        <f>VLOOKUP(A118,'Données projet'!$A$217:$I$237,9,0)</f>
        <v>4.8</v>
      </c>
      <c r="FD118" s="12">
        <f t="array" ref="FD118">INDEX(FC:FC,MIN(IF(ISNUMBER(FC118:FC314),ROW(FC118:FC314),"")))</f>
        <v>4.8</v>
      </c>
      <c r="FE118" s="12">
        <f>IF('Données projet'!$A$218&gt;35,FE117+FD118-FM117,IF(A118&lt;'Données projet'!$A$218,$FB$205^A118,IF(A118='Données projet'!$A$218,'Données projet'!$B$218,FE117+FD118-FM117)))</f>
        <v>330.99999999999983</v>
      </c>
      <c r="FF118" s="17">
        <f>FE118*VLOOKUP('Données projet'!$B$16,Paramètres!$A$1:$I$89,3,0)*VLOOKUP('Données projet'!$B$16,Paramètres!$A$1:$I$89,5,0)</f>
        <v>299.4887999999998</v>
      </c>
      <c r="FG118" s="13">
        <f t="shared" si="101"/>
        <v>71.069285685467236</v>
      </c>
      <c r="FH118" s="20">
        <f t="shared" si="76"/>
        <v>645.38866590218845</v>
      </c>
      <c r="FI118" s="59">
        <f t="shared" si="77"/>
        <v>938.72199923552171</v>
      </c>
      <c r="FJ118" s="59">
        <f ca="1">AVERAGE(OFFSET($FI$3,0,0,'Données projet'!$E$16+1,1))-AVERAGE(OFFSET($H$3,0,0,'Données projet'!$E$16+1,1))</f>
        <v>326.46362829268969</v>
      </c>
      <c r="FK118" s="59">
        <f t="shared" si="102"/>
        <v>203.5274665601915</v>
      </c>
      <c r="FL118" s="15">
        <f>IF(ISNA(VLOOKUP(A118,'Données projet'!$A$217:$I$237,3,0)),0,VLOOKUP(A118,'Données projet'!$A$217:$I$237,3,0))</f>
        <v>20</v>
      </c>
      <c r="FM118" s="15">
        <f>IF(ISNA(VLOOKUP(A118,'Données projet'!$A$217:$I$237,4,0)),0,VLOOKUP(A118,'Données projet'!$A$217:$I$237,4,0))</f>
        <v>331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1.3575383576619309</v>
      </c>
      <c r="FR118" s="21">
        <f>EXP(-LN(2)/25)*FR117+(1-EXP(-LN(2)/25))/(LN(2)/25)*Calculateur!FM118*Calculateur!FO118*VLOOKUP('Données projet'!$B$16,Paramètres!$A$1:$I$89,3,0)*0.475*44/12</f>
        <v>0.88714569755999606</v>
      </c>
      <c r="FS118" s="21">
        <f>EXP(-LN(2)/2)*FS117+(1-EXP(-LN(2)/2))/(LN(2)/2)*FM118*FP118*VLOOKUP('Données projet'!$B$16,Paramètres!$A$1:$I$89,3,0)*0.475*44/12</f>
        <v>1.3722087715479192E-12</v>
      </c>
      <c r="FT118" s="22">
        <f t="shared" si="78"/>
        <v>2.2446840552232992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>
        <f>VLOOKUP(A118,'Données projet'!$A$243:$I$263,2,0)</f>
        <v>331</v>
      </c>
      <c r="FX118" s="12">
        <f>VLOOKUP(A118,'Données projet'!$A$243:$I$263,9,0)</f>
        <v>4.8</v>
      </c>
      <c r="FY118" s="12">
        <f t="array" ref="FY118">INDEX(FX:FX,MIN(IF(ISNUMBER(FX118:FX314),ROW(FX118:FX314),"")))</f>
        <v>4.8</v>
      </c>
      <c r="FZ118" s="12">
        <f>IF('Données projet'!$A$244&gt;35,FZ117+FY118-GH117,IF(A118&lt;'Données projet'!$A$244,$FW$205^A118,IF(A118='Données projet'!$A$244,'Données projet'!$B$244,FZ117+FY118-GH117)))</f>
        <v>330.99999999999983</v>
      </c>
      <c r="GA118" s="17">
        <f>FZ118*VLOOKUP('Données projet'!$B$17,Paramètres!$A$1:$I$89,3,0)*VLOOKUP('Données projet'!$B$17,Paramètres!$A$1:$I$89,5,0)</f>
        <v>320.14319999999981</v>
      </c>
      <c r="GB118" s="13">
        <f t="shared" si="103"/>
        <v>75.383148431873408</v>
      </c>
      <c r="GC118" s="20">
        <f t="shared" si="79"/>
        <v>688.87505685217911</v>
      </c>
      <c r="GD118" s="59">
        <f t="shared" si="80"/>
        <v>982.20839018551237</v>
      </c>
      <c r="GE118" s="59">
        <f ca="1">AVERAGE(OFFSET($GD$3,0,0,'Données projet'!$E$17+1,1))-AVERAGE(OFFSET($H$3,0,0,'Données projet'!$E$17+1,1))</f>
        <v>353.24082990916918</v>
      </c>
      <c r="GF118" s="59">
        <f t="shared" si="104"/>
        <v>219.76562717496353</v>
      </c>
      <c r="GG118" s="15">
        <f>IF(ISNA(VLOOKUP(A118,'Données projet'!$A$243:$I$263,3,0)),0,VLOOKUP(A118,'Données projet'!$A$243:$I$263,3,0))</f>
        <v>20</v>
      </c>
      <c r="GH118" s="15">
        <f>IF(ISNA(VLOOKUP(A118,'Données projet'!$A$243:$I$263,4,0)),0,VLOOKUP(A118,'Données projet'!$A$243:$I$263,4,0))</f>
        <v>331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1.4511616926730999</v>
      </c>
      <c r="GM118" s="21">
        <f>EXP(-LN(2)/25)*GM117+(1-EXP(-LN(2)/25))/(LN(2)/25)*Calculateur!GH118*Calculateur!GJ118*VLOOKUP('Données projet'!$B$17,Paramètres!$A$1:$I$89,3,0)*0.475*44/12</f>
        <v>0.94832815946068683</v>
      </c>
      <c r="GN118" s="21">
        <f>EXP(-LN(2)/2)*GN117+(1-EXP(-LN(2)/2))/(LN(2)/2)*GH118*GK118*VLOOKUP('Données projet'!$B$17,Paramètres!$A$1:$I$89,3,0)*0.475*44/12</f>
        <v>1.4668438592408796E-12</v>
      </c>
      <c r="GO118" s="21">
        <f t="shared" si="81"/>
        <v>2.3994898521352535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378.17323480030268</v>
      </c>
      <c r="T119" s="59">
        <f t="shared" si="88"/>
        <v>471.89239871617241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0.8021450460112336</v>
      </c>
      <c r="AA119" s="21">
        <f>EXP(-LN(2)/25)*AA118+(1-EXP(-LN(2)/25))/(LN(2)/25)*Calculateur!V119*Calculateur!X119*VLOOKUP('Données projet'!$B$9,Paramètres!$A$1:$I$89,3,0)*0.475*44/12</f>
        <v>1.9166785601885714</v>
      </c>
      <c r="AB119" s="21">
        <f>EXP(-LN(2)/2)*AB118+(1-EXP(-LN(2)/2))/(LN(2)/2)*V119*Y119*VLOOKUP('Données projet'!$B$9,Paramètres!$A$1:$I$89,3,0)*0.475*44/12</f>
        <v>1.1892315036531443E-12</v>
      </c>
      <c r="AC119" s="22">
        <f t="shared" si="57"/>
        <v>2.7188236062009943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141.22849894256314</v>
      </c>
      <c r="AO119" s="59">
        <f t="shared" si="90"/>
        <v>156.12101479343704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1.3394562805183008</v>
      </c>
      <c r="AV119" s="21">
        <f>EXP(-LN(2)/25)*AV118+(1-EXP(-LN(2)/25))/(LN(2)/25)*Calculateur!AQ119*Calculateur!AS119*VLOOKUP('Données projet'!$B$10,Paramètres!$A$1:$I$89,3,0)*0.475*44/12</f>
        <v>0.55492762417792973</v>
      </c>
      <c r="AW119" s="21">
        <f>EXP(-LN(2)/2)*AW118+(1-EXP(-LN(2)/2))/(LN(2)/2)*AQ119*AT119*VLOOKUP('Données projet'!$B$10,Paramètres!$A$1:$I$89,3,0)*0.475*44/12</f>
        <v>3.3628237249463539E-13</v>
      </c>
      <c r="AX119" s="21">
        <f t="shared" si="60"/>
        <v>1.8943839046965667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114.25511901730295</v>
      </c>
      <c r="BJ119" s="59">
        <f t="shared" si="92"/>
        <v>180.96261947642182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0.62250877386401515</v>
      </c>
      <c r="BQ119" s="21">
        <f>EXP(-LN(2)/25)*BQ118+(1-EXP(-LN(2)/25))/(LN(2)/25)*Calculateur!BL119*Calculateur!BN119*VLOOKUP('Données projet'!$B$11,Paramètres!$A$1:$I$89,3,0)*0.475*44/12</f>
        <v>1.6415247299873905</v>
      </c>
      <c r="BR119" s="21">
        <f>EXP(-LN(2)/2)*BR118+(1-EXP(-LN(2)/2))/(LN(2)/2)*BL119*BO119*VLOOKUP('Données projet'!$B$11,Paramètres!$A$1:$I$89,3,0)*0.475*44/12</f>
        <v>7.7671558508220764E-13</v>
      </c>
      <c r="BS119" s="22">
        <f t="shared" si="63"/>
        <v>2.2640335038521822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4.4337866711430253E-14</v>
      </c>
      <c r="CA119" s="13">
        <f t="shared" si="93"/>
        <v>7.3222115536967035E-13</v>
      </c>
      <c r="CB119" s="20">
        <f t="shared" si="64"/>
        <v>1.3525069634579169E-12</v>
      </c>
      <c r="CC119" s="59">
        <f t="shared" si="65"/>
        <v>293.33333333333468</v>
      </c>
      <c r="CD119" s="59">
        <f ca="1">AVERAGE(OFFSET($CC$3,0,0,'Données projet'!$E$12+1,1))-AVERAGE(OFFSET($H$3,0,0,'Données projet'!$E$12+1,1))</f>
        <v>216.95993967070063</v>
      </c>
      <c r="CE119" s="59">
        <f t="shared" si="94"/>
        <v>208.79744153433245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0.94087799909006609</v>
      </c>
      <c r="CL119" s="21">
        <f>EXP(-LN(2)/25)*CL118+(1-EXP(-LN(2)/25))/(LN(2)/25)*Calculateur!CG119*Calculateur!CI119*VLOOKUP('Données projet'!$B$12,Paramètres!$A$1:$I$89,3,0)*0.475*44/12</f>
        <v>0.59130692221367587</v>
      </c>
      <c r="CM119" s="21">
        <f>EXP(-LN(2)/2)*CM118+(1-EXP(-LN(2)/2))/(LN(2)/2)*CG119*CJ119*VLOOKUP('Données projet'!$B$12,Paramètres!$A$1:$I$89,3,0)*0.475*44/12</f>
        <v>1.4024503303784592E-13</v>
      </c>
      <c r="CN119" s="22">
        <f t="shared" si="66"/>
        <v>1.5321849213038823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3.813056537183002E-14</v>
      </c>
      <c r="CV119" s="13">
        <f t="shared" si="95"/>
        <v>6.4086286045526829E-13</v>
      </c>
      <c r="CW119" s="20">
        <f t="shared" si="67"/>
        <v>1.1825802166488628E-12</v>
      </c>
      <c r="CX119" s="59">
        <f t="shared" si="68"/>
        <v>293.33333333333451</v>
      </c>
      <c r="CY119" s="59">
        <f ca="1">AVERAGE(OFFSET($CX$3,0,0,'Données projet'!$E$13+1,1))-AVERAGE(OFFSET($H$3,0,0,'Données projet'!$E$13+1,1))</f>
        <v>181.32837315090507</v>
      </c>
      <c r="CZ119" s="59">
        <f t="shared" si="96"/>
        <v>175.03267817980338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0.99733067903546935</v>
      </c>
      <c r="DG119" s="21">
        <f>EXP(-LN(2)/25)*DG118+(1-EXP(-LN(2)/25))/(LN(2)/25)*Calculateur!DB119*Calculateur!DD119*VLOOKUP('Données projet'!$B$13,Paramètres!$A$1:$I$89,3,0)*0.475*44/12</f>
        <v>0.62678533754649657</v>
      </c>
      <c r="DH119" s="21">
        <f>EXP(-LN(2)/2)*DH118+(1-EXP(-LN(2)/2))/(LN(2)/2)*DB119*DE119*VLOOKUP('Données projet'!$B$13,Paramètres!$A$1:$I$89,3,0)*0.475*44/12</f>
        <v>1.2061072841254744E-13</v>
      </c>
      <c r="DI119" s="22">
        <f t="shared" si="69"/>
        <v>1.6241160165820865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-2.8421709430404007E-13</v>
      </c>
      <c r="DP119" s="17">
        <f>DO119*VLOOKUP('Données projet'!$B$14,Paramètres!$A$1:$I$89,3,0)*VLOOKUP('Données projet'!$B$14,Paramètres!$A$1:$I$89,5,0)</f>
        <v>-2.2612312022829427E-13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325.72928944930294</v>
      </c>
      <c r="DU119" s="59">
        <f t="shared" si="98"/>
        <v>318.38876834819752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3.1530729686654775</v>
      </c>
      <c r="EB119" s="21">
        <f>EXP(-LN(2)/25)*EB118+(1-EXP(-LN(2)/25))/(LN(2)/25)*Calculateur!DW119*Calculateur!DY119*VLOOKUP('Données projet'!$B$14,Paramètres!$A$1:$I$89,3,0)*0.475*44/12</f>
        <v>1.9054819861496153</v>
      </c>
      <c r="EC119" s="21">
        <f>EXP(-LN(2)/2)*EC118+(1-EXP(-LN(2)/2))/(LN(2)/2)*DW119*DZ119*VLOOKUP('Données projet'!$B$14,Paramètres!$A$1:$I$89,3,0)*0.475*44/12</f>
        <v>1.344883575493903E-12</v>
      </c>
      <c r="ED119" s="22">
        <f t="shared" si="72"/>
        <v>5.0585549548164375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-5.6843418860808015E-14</v>
      </c>
      <c r="EK119" s="17">
        <f>EJ119*VLOOKUP('Données projet'!$B$15,Paramètres!$A$1:$I$89,3,0)*VLOOKUP('Données projet'!$B$15,Paramètres!$A$1:$I$89,5,0)</f>
        <v>-5.7639226724859328E-14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384.50065773787549</v>
      </c>
      <c r="EP119" s="59">
        <f t="shared" si="100"/>
        <v>231.92898690465887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1.4915458758881606</v>
      </c>
      <c r="EW119" s="21">
        <f>EXP(-LN(2)/25)*EW118+(1-EXP(-LN(2)/25))/(LN(2)/25)*Calculateur!ER119*Calculateur!ET119*VLOOKUP('Données projet'!$B$15,Paramètres!$A$1:$I$89,3,0)*0.475*44/12</f>
        <v>0.96702814426675099</v>
      </c>
      <c r="EX119" s="21">
        <f>EXP(-LN(2)/2)*EX118+(1-EXP(-LN(2)/2))/(LN(2)/2)*ER119*EU119*VLOOKUP('Données projet'!$B$15,Paramètres!$A$1:$I$89,3,0)*0.475*44/12</f>
        <v>1.087403073995478E-12</v>
      </c>
      <c r="EY119" s="22">
        <f t="shared" si="75"/>
        <v>2.4585740201559991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-1.5429577615577727E-13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326.46362829268969</v>
      </c>
      <c r="FK119" s="59">
        <f t="shared" si="102"/>
        <v>203.5274665601915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1.3309178584848187</v>
      </c>
      <c r="FR119" s="21">
        <f>EXP(-LN(2)/25)*FR118+(1-EXP(-LN(2)/25))/(LN(2)/25)*Calculateur!FM119*Calculateur!FO119*VLOOKUP('Données projet'!$B$16,Paramètres!$A$1:$I$89,3,0)*0.475*44/12</f>
        <v>0.86288665180725332</v>
      </c>
      <c r="FS119" s="21">
        <f>EXP(-LN(2)/2)*FS118+(1-EXP(-LN(2)/2))/(LN(2)/2)*FM119*FP119*VLOOKUP('Données projet'!$B$16,Paramètres!$A$1:$I$89,3,0)*0.475*44/12</f>
        <v>9.7029812756519567E-13</v>
      </c>
      <c r="FT119" s="22">
        <f t="shared" si="78"/>
        <v>2.1938045102930421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-1.7053025658242404E-13</v>
      </c>
      <c r="GA119" s="17">
        <f>FZ119*VLOOKUP('Données projet'!$B$17,Paramètres!$A$1:$I$89,3,0)*VLOOKUP('Données projet'!$B$17,Paramètres!$A$1:$I$89,5,0)</f>
        <v>-1.6493686416652052E-13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353.24082990916918</v>
      </c>
      <c r="GF119" s="59">
        <f t="shared" si="104"/>
        <v>219.76562717496353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1.4227052970010146</v>
      </c>
      <c r="GM119" s="21">
        <f>EXP(-LN(2)/25)*GM118+(1-EXP(-LN(2)/25))/(LN(2)/25)*Calculateur!GH119*Calculateur!GJ119*VLOOKUP('Données projet'!$B$17,Paramètres!$A$1:$I$89,3,0)*0.475*44/12</f>
        <v>0.92239607606982388</v>
      </c>
      <c r="GN119" s="21">
        <f>EXP(-LN(2)/2)*GN118+(1-EXP(-LN(2)/2))/(LN(2)/2)*GH119*GK119*VLOOKUP('Données projet'!$B$17,Paramètres!$A$1:$I$89,3,0)*0.475*44/12</f>
        <v>1.0372152398110715E-12</v>
      </c>
      <c r="GO119" s="21">
        <f t="shared" si="81"/>
        <v>2.3451013730718757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378.17323480030268</v>
      </c>
      <c r="T120" s="59">
        <f t="shared" si="88"/>
        <v>471.89239871617241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0.7864154709191209</v>
      </c>
      <c r="AA120" s="21">
        <f>EXP(-LN(2)/25)*AA119+(1-EXP(-LN(2)/25))/(LN(2)/25)*Calculateur!V120*Calculateur!X120*VLOOKUP('Données projet'!$B$9,Paramètres!$A$1:$I$89,3,0)*0.475*44/12</f>
        <v>1.86426688416647</v>
      </c>
      <c r="AB120" s="21">
        <f>EXP(-LN(2)/2)*AB119+(1-EXP(-LN(2)/2))/(LN(2)/2)*V120*Y120*VLOOKUP('Données projet'!$B$9,Paramètres!$A$1:$I$89,3,0)*0.475*44/12</f>
        <v>8.4091366063381278E-13</v>
      </c>
      <c r="AC120" s="22">
        <f t="shared" si="57"/>
        <v>2.650682355086432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141.22849894256314</v>
      </c>
      <c r="AO120" s="59">
        <f t="shared" si="90"/>
        <v>156.12101479343704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1.3131903598449972</v>
      </c>
      <c r="AV120" s="21">
        <f>EXP(-LN(2)/25)*AV119+(1-EXP(-LN(2)/25))/(LN(2)/25)*Calculateur!AQ120*Calculateur!AS120*VLOOKUP('Données projet'!$B$10,Paramètres!$A$1:$I$89,3,0)*0.475*44/12</f>
        <v>0.53975309911240876</v>
      </c>
      <c r="AW120" s="21">
        <f>EXP(-LN(2)/2)*AW119+(1-EXP(-LN(2)/2))/(LN(2)/2)*AQ120*AT120*VLOOKUP('Données projet'!$B$10,Paramètres!$A$1:$I$89,3,0)*0.475*44/12</f>
        <v>2.3778754598445721E-13</v>
      </c>
      <c r="AX120" s="21">
        <f t="shared" si="60"/>
        <v>1.8529434589576439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114.25511901730295</v>
      </c>
      <c r="BJ120" s="59">
        <f t="shared" si="92"/>
        <v>180.96261947642182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0.61030175650140228</v>
      </c>
      <c r="BQ120" s="21">
        <f>EXP(-LN(2)/25)*BQ119+(1-EXP(-LN(2)/25))/(LN(2)/25)*Calculateur!BL120*Calculateur!BN120*VLOOKUP('Données projet'!$B$11,Paramètres!$A$1:$I$89,3,0)*0.475*44/12</f>
        <v>1.5966371499218515</v>
      </c>
      <c r="BR120" s="21">
        <f>EXP(-LN(2)/2)*BR119+(1-EXP(-LN(2)/2))/(LN(2)/2)*BL120*BO120*VLOOKUP('Données projet'!$B$11,Paramètres!$A$1:$I$89,3,0)*0.475*44/12</f>
        <v>5.4922085726490583E-13</v>
      </c>
      <c r="BS120" s="22">
        <f t="shared" si="63"/>
        <v>2.2069389064238032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4.4337866711430253E-14</v>
      </c>
      <c r="CA120" s="13">
        <f t="shared" si="93"/>
        <v>7.3222115536967035E-13</v>
      </c>
      <c r="CB120" s="20">
        <f t="shared" si="64"/>
        <v>1.3525069634579169E-12</v>
      </c>
      <c r="CC120" s="59">
        <f t="shared" si="65"/>
        <v>293.33333333333468</v>
      </c>
      <c r="CD120" s="59">
        <f ca="1">AVERAGE(OFFSET($CC$3,0,0,'Données projet'!$E$12+1,1))-AVERAGE(OFFSET($H$3,0,0,'Données projet'!$E$12+1,1))</f>
        <v>216.95993967070063</v>
      </c>
      <c r="CE120" s="59">
        <f t="shared" si="94"/>
        <v>208.79744153433245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0.92242795540682354</v>
      </c>
      <c r="CL120" s="21">
        <f>EXP(-LN(2)/25)*CL119+(1-EXP(-LN(2)/25))/(LN(2)/25)*Calculateur!CG120*Calculateur!CI120*VLOOKUP('Données projet'!$B$12,Paramètres!$A$1:$I$89,3,0)*0.475*44/12</f>
        <v>0.57513760333026331</v>
      </c>
      <c r="CM120" s="21">
        <f>EXP(-LN(2)/2)*CM119+(1-EXP(-LN(2)/2))/(LN(2)/2)*CG120*CJ120*VLOOKUP('Données projet'!$B$12,Paramètres!$A$1:$I$89,3,0)*0.475*44/12</f>
        <v>9.9168213888792248E-14</v>
      </c>
      <c r="CN120" s="22">
        <f t="shared" si="66"/>
        <v>1.4975655587371861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3.813056537183002E-14</v>
      </c>
      <c r="CV120" s="13">
        <f t="shared" si="95"/>
        <v>6.4086286045526829E-13</v>
      </c>
      <c r="CW120" s="20">
        <f t="shared" si="67"/>
        <v>1.1825802166488628E-12</v>
      </c>
      <c r="CX120" s="59">
        <f t="shared" si="68"/>
        <v>293.33333333333451</v>
      </c>
      <c r="CY120" s="59">
        <f ca="1">AVERAGE(OFFSET($CX$3,0,0,'Données projet'!$E$13+1,1))-AVERAGE(OFFSET($H$3,0,0,'Données projet'!$E$13+1,1))</f>
        <v>181.32837315090507</v>
      </c>
      <c r="CZ120" s="59">
        <f t="shared" si="96"/>
        <v>175.03267817980338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0.97777363273123219</v>
      </c>
      <c r="DG120" s="21">
        <f>EXP(-LN(2)/25)*DG119+(1-EXP(-LN(2)/25))/(LN(2)/25)*Calculateur!DB120*Calculateur!DD120*VLOOKUP('Données projet'!$B$13,Paramètres!$A$1:$I$89,3,0)*0.475*44/12</f>
        <v>0.60964585953007921</v>
      </c>
      <c r="DH120" s="21">
        <f>EXP(-LN(2)/2)*DH119+(1-EXP(-LN(2)/2))/(LN(2)/2)*DB120*DE120*VLOOKUP('Données projet'!$B$13,Paramètres!$A$1:$I$89,3,0)*0.475*44/12</f>
        <v>8.5284663944361297E-14</v>
      </c>
      <c r="DI120" s="22">
        <f t="shared" si="69"/>
        <v>1.5874194922613967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-2.8421709430404007E-13</v>
      </c>
      <c r="DP120" s="17">
        <f>DO120*VLOOKUP('Données projet'!$B$14,Paramètres!$A$1:$I$89,3,0)*VLOOKUP('Données projet'!$B$14,Paramètres!$A$1:$I$89,5,0)</f>
        <v>-2.2612312022829427E-13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325.72928944930294</v>
      </c>
      <c r="DU120" s="59">
        <f t="shared" si="98"/>
        <v>318.38876834819752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3.0912431309345596</v>
      </c>
      <c r="EB120" s="21">
        <f>EXP(-LN(2)/25)*EB119+(1-EXP(-LN(2)/25))/(LN(2)/25)*Calculateur!DW120*Calculateur!DY120*VLOOKUP('Données projet'!$B$14,Paramètres!$A$1:$I$89,3,0)*0.475*44/12</f>
        <v>1.8533764810334115</v>
      </c>
      <c r="EC120" s="21">
        <f>EXP(-LN(2)/2)*EC119+(1-EXP(-LN(2)/2))/(LN(2)/2)*DW120*DZ120*VLOOKUP('Données projet'!$B$14,Paramètres!$A$1:$I$89,3,0)*0.475*44/12</f>
        <v>9.5097629613814892E-13</v>
      </c>
      <c r="ED120" s="22">
        <f t="shared" si="72"/>
        <v>4.9446196119689221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-5.6843418860808015E-14</v>
      </c>
      <c r="EK120" s="17">
        <f>EJ120*VLOOKUP('Données projet'!$B$15,Paramètres!$A$1:$I$89,3,0)*VLOOKUP('Données projet'!$B$15,Paramètres!$A$1:$I$89,5,0)</f>
        <v>-5.7639226724859328E-14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384.50065773787549</v>
      </c>
      <c r="EP120" s="59">
        <f t="shared" si="100"/>
        <v>231.92898690465887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1.4622975710151473</v>
      </c>
      <c r="EW120" s="21">
        <f>EXP(-LN(2)/25)*EW119+(1-EXP(-LN(2)/25))/(LN(2)/25)*Calculateur!ER120*Calculateur!ET120*VLOOKUP('Données projet'!$B$15,Paramètres!$A$1:$I$89,3,0)*0.475*44/12</f>
        <v>0.94058470880797673</v>
      </c>
      <c r="EX120" s="21">
        <f>EXP(-LN(2)/2)*EX119+(1-EXP(-LN(2)/2))/(LN(2)/2)*ER120*EU120*VLOOKUP('Données projet'!$B$15,Paramètres!$A$1:$I$89,3,0)*0.475*44/12</f>
        <v>7.6891008750529958E-13</v>
      </c>
      <c r="EY120" s="22">
        <f t="shared" si="75"/>
        <v>2.4028822798238929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-1.5429577615577727E-13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326.46362829268969</v>
      </c>
      <c r="FK120" s="59">
        <f t="shared" si="102"/>
        <v>203.5274665601915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1.3048193710596685</v>
      </c>
      <c r="FR120" s="21">
        <f>EXP(-LN(2)/25)*FR119+(1-EXP(-LN(2)/25))/(LN(2)/25)*Calculateur!FM120*Calculateur!FO120*VLOOKUP('Données projet'!$B$16,Paramètres!$A$1:$I$89,3,0)*0.475*44/12</f>
        <v>0.83929097093634708</v>
      </c>
      <c r="FS120" s="21">
        <f>EXP(-LN(2)/2)*FS119+(1-EXP(-LN(2)/2))/(LN(2)/2)*FM120*FP120*VLOOKUP('Données projet'!$B$16,Paramètres!$A$1:$I$89,3,0)*0.475*44/12</f>
        <v>6.861043857739596E-13</v>
      </c>
      <c r="FT120" s="22">
        <f t="shared" si="78"/>
        <v>2.1441103419967016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-1.7053025658242404E-13</v>
      </c>
      <c r="GA120" s="17">
        <f>FZ120*VLOOKUP('Données projet'!$B$17,Paramètres!$A$1:$I$89,3,0)*VLOOKUP('Données projet'!$B$17,Paramètres!$A$1:$I$89,5,0)</f>
        <v>-1.6493686416652052E-13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353.24082990916918</v>
      </c>
      <c r="GF120" s="59">
        <f t="shared" si="104"/>
        <v>219.76562717496353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1.3948069138913712</v>
      </c>
      <c r="GM120" s="21">
        <f>EXP(-LN(2)/25)*GM119+(1-EXP(-LN(2)/25))/(LN(2)/25)*Calculateur!GH120*Calculateur!GJ120*VLOOKUP('Données projet'!$B$17,Paramètres!$A$1:$I$89,3,0)*0.475*44/12</f>
        <v>0.89717310686299312</v>
      </c>
      <c r="GN120" s="21">
        <f>EXP(-LN(2)/2)*GN119+(1-EXP(-LN(2)/2))/(LN(2)/2)*GH120*GK120*VLOOKUP('Données projet'!$B$17,Paramètres!$A$1:$I$89,3,0)*0.475*44/12</f>
        <v>7.3342192962043978E-13</v>
      </c>
      <c r="GO120" s="21">
        <f t="shared" si="81"/>
        <v>2.2919800207550978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378.17323480030268</v>
      </c>
      <c r="T121" s="59">
        <f t="shared" si="88"/>
        <v>471.89239871617241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0.77099434320047111</v>
      </c>
      <c r="AA121" s="21">
        <f>EXP(-LN(2)/25)*AA120+(1-EXP(-LN(2)/25))/(LN(2)/25)*Calculateur!V121*Calculateur!X121*VLOOKUP('Données projet'!$B$9,Paramètres!$A$1:$I$89,3,0)*0.475*44/12</f>
        <v>1.8132884081814034</v>
      </c>
      <c r="AB121" s="21">
        <f>EXP(-LN(2)/2)*AB120+(1-EXP(-LN(2)/2))/(LN(2)/2)*V121*Y121*VLOOKUP('Données projet'!$B$9,Paramètres!$A$1:$I$89,3,0)*0.475*44/12</f>
        <v>5.9461575182657213E-13</v>
      </c>
      <c r="AC121" s="22">
        <f t="shared" si="57"/>
        <v>2.5842827513824691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141.22849894256314</v>
      </c>
      <c r="AO121" s="59">
        <f t="shared" si="90"/>
        <v>156.12101479343704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1.2874394978554673</v>
      </c>
      <c r="AV121" s="21">
        <f>EXP(-LN(2)/25)*AV120+(1-EXP(-LN(2)/25))/(LN(2)/25)*Calculateur!AQ121*Calculateur!AS121*VLOOKUP('Données projet'!$B$10,Paramètres!$A$1:$I$89,3,0)*0.475*44/12</f>
        <v>0.52499352223279805</v>
      </c>
      <c r="AW121" s="21">
        <f>EXP(-LN(2)/2)*AW120+(1-EXP(-LN(2)/2))/(LN(2)/2)*AQ121*AT121*VLOOKUP('Données projet'!$B$10,Paramètres!$A$1:$I$89,3,0)*0.475*44/12</f>
        <v>1.6814118624731769E-13</v>
      </c>
      <c r="AX121" s="21">
        <f t="shared" si="60"/>
        <v>1.8124330200884333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114.25511901730295</v>
      </c>
      <c r="BJ121" s="59">
        <f t="shared" si="92"/>
        <v>180.96261947642182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0.59833411130372482</v>
      </c>
      <c r="BQ121" s="21">
        <f>EXP(-LN(2)/25)*BQ120+(1-EXP(-LN(2)/25))/(LN(2)/25)*Calculateur!BL121*Calculateur!BN121*VLOOKUP('Données projet'!$B$11,Paramètres!$A$1:$I$89,3,0)*0.475*44/12</f>
        <v>1.5529770230937399</v>
      </c>
      <c r="BR121" s="21">
        <f>EXP(-LN(2)/2)*BR120+(1-EXP(-LN(2)/2))/(LN(2)/2)*BL121*BO121*VLOOKUP('Données projet'!$B$11,Paramètres!$A$1:$I$89,3,0)*0.475*44/12</f>
        <v>3.8835779254110382E-13</v>
      </c>
      <c r="BS121" s="22">
        <f t="shared" si="63"/>
        <v>2.151311134397853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4.4337866711430253E-14</v>
      </c>
      <c r="CA121" s="13">
        <f t="shared" si="93"/>
        <v>7.3222115536967035E-13</v>
      </c>
      <c r="CB121" s="20">
        <f t="shared" si="64"/>
        <v>1.3525069634579169E-12</v>
      </c>
      <c r="CC121" s="59">
        <f t="shared" si="65"/>
        <v>293.33333333333468</v>
      </c>
      <c r="CD121" s="59">
        <f ca="1">AVERAGE(OFFSET($CC$3,0,0,'Données projet'!$E$12+1,1))-AVERAGE(OFFSET($H$3,0,0,'Données projet'!$E$12+1,1))</f>
        <v>216.95993967070063</v>
      </c>
      <c r="CE121" s="59">
        <f t="shared" si="94"/>
        <v>208.79744153433245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0.9043397058267939</v>
      </c>
      <c r="CL121" s="21">
        <f>EXP(-LN(2)/25)*CL120+(1-EXP(-LN(2)/25))/(LN(2)/25)*Calculateur!CG121*Calculateur!CI121*VLOOKUP('Données projet'!$B$12,Paramètres!$A$1:$I$89,3,0)*0.475*44/12</f>
        <v>0.55941043532202517</v>
      </c>
      <c r="CM121" s="21">
        <f>EXP(-LN(2)/2)*CM120+(1-EXP(-LN(2)/2))/(LN(2)/2)*CG121*CJ121*VLOOKUP('Données projet'!$B$12,Paramètres!$A$1:$I$89,3,0)*0.475*44/12</f>
        <v>7.0122516518922962E-14</v>
      </c>
      <c r="CN121" s="22">
        <f t="shared" si="66"/>
        <v>1.4637501411488891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3.813056537183002E-14</v>
      </c>
      <c r="CV121" s="13">
        <f t="shared" si="95"/>
        <v>6.4086286045526829E-13</v>
      </c>
      <c r="CW121" s="20">
        <f t="shared" si="67"/>
        <v>1.1825802166488628E-12</v>
      </c>
      <c r="CX121" s="59">
        <f t="shared" si="68"/>
        <v>293.33333333333451</v>
      </c>
      <c r="CY121" s="59">
        <f ca="1">AVERAGE(OFFSET($CX$3,0,0,'Données projet'!$E$13+1,1))-AVERAGE(OFFSET($H$3,0,0,'Données projet'!$E$13+1,1))</f>
        <v>181.32837315090507</v>
      </c>
      <c r="CZ121" s="59">
        <f t="shared" si="96"/>
        <v>175.03267817980338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0.95860008817640074</v>
      </c>
      <c r="DG121" s="21">
        <f>EXP(-LN(2)/25)*DG120+(1-EXP(-LN(2)/25))/(LN(2)/25)*Calculateur!DB121*Calculateur!DD121*VLOOKUP('Données projet'!$B$13,Paramètres!$A$1:$I$89,3,0)*0.475*44/12</f>
        <v>0.59297506144134682</v>
      </c>
      <c r="DH121" s="21">
        <f>EXP(-LN(2)/2)*DH120+(1-EXP(-LN(2)/2))/(LN(2)/2)*DB121*DE121*VLOOKUP('Données projet'!$B$13,Paramètres!$A$1:$I$89,3,0)*0.475*44/12</f>
        <v>6.0305364206273721E-14</v>
      </c>
      <c r="DI121" s="22">
        <f t="shared" si="69"/>
        <v>1.5515751496178081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-2.8421709430404007E-13</v>
      </c>
      <c r="DP121" s="17">
        <f>DO121*VLOOKUP('Données projet'!$B$14,Paramètres!$A$1:$I$89,3,0)*VLOOKUP('Données projet'!$B$14,Paramètres!$A$1:$I$89,5,0)</f>
        <v>-2.2612312022829427E-13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325.72928944930294</v>
      </c>
      <c r="DU121" s="59">
        <f t="shared" si="98"/>
        <v>318.38876834819752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3.0306257386090678</v>
      </c>
      <c r="EB121" s="21">
        <f>EXP(-LN(2)/25)*EB120+(1-EXP(-LN(2)/25))/(LN(2)/25)*Calculateur!DW121*Calculateur!DY121*VLOOKUP('Données projet'!$B$14,Paramètres!$A$1:$I$89,3,0)*0.475*44/12</f>
        <v>1.8026958036947196</v>
      </c>
      <c r="EC121" s="21">
        <f>EXP(-LN(2)/2)*EC120+(1-EXP(-LN(2)/2))/(LN(2)/2)*DW121*DZ121*VLOOKUP('Données projet'!$B$14,Paramètres!$A$1:$I$89,3,0)*0.475*44/12</f>
        <v>6.7244178774695151E-13</v>
      </c>
      <c r="ED121" s="22">
        <f t="shared" si="72"/>
        <v>4.8333215423044598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-5.6843418860808015E-14</v>
      </c>
      <c r="EK121" s="17">
        <f>EJ121*VLOOKUP('Données projet'!$B$15,Paramètres!$A$1:$I$89,3,0)*VLOOKUP('Données projet'!$B$15,Paramètres!$A$1:$I$89,5,0)</f>
        <v>-5.7639226724859328E-14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384.50065773787549</v>
      </c>
      <c r="EP121" s="59">
        <f t="shared" si="100"/>
        <v>231.92898690465887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1.4336228075609896</v>
      </c>
      <c r="EW121" s="21">
        <f>EXP(-LN(2)/25)*EW120+(1-EXP(-LN(2)/25))/(LN(2)/25)*Calculateur!ER121*Calculateur!ET121*VLOOKUP('Données projet'!$B$15,Paramètres!$A$1:$I$89,3,0)*0.475*44/12</f>
        <v>0.91486437048242253</v>
      </c>
      <c r="EX121" s="21">
        <f>EXP(-LN(2)/2)*EX120+(1-EXP(-LN(2)/2))/(LN(2)/2)*ER121*EU121*VLOOKUP('Données projet'!$B$15,Paramètres!$A$1:$I$89,3,0)*0.475*44/12</f>
        <v>5.4370153699773898E-13</v>
      </c>
      <c r="EY121" s="22">
        <f t="shared" si="75"/>
        <v>2.3484871780439556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-1.5429577615577727E-13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326.46362829268969</v>
      </c>
      <c r="FK121" s="59">
        <f t="shared" si="102"/>
        <v>203.5274665601915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1.2792326590544201</v>
      </c>
      <c r="FR121" s="21">
        <f>EXP(-LN(2)/25)*FR120+(1-EXP(-LN(2)/25))/(LN(2)/25)*Calculateur!FM121*Calculateur!FO121*VLOOKUP('Données projet'!$B$16,Paramètres!$A$1:$I$89,3,0)*0.475*44/12</f>
        <v>0.81634051519969875</v>
      </c>
      <c r="FS121" s="21">
        <f>EXP(-LN(2)/2)*FS120+(1-EXP(-LN(2)/2))/(LN(2)/2)*FM121*FP121*VLOOKUP('Données projet'!$B$16,Paramètres!$A$1:$I$89,3,0)*0.475*44/12</f>
        <v>4.8514906378259784E-13</v>
      </c>
      <c r="FT121" s="22">
        <f t="shared" si="78"/>
        <v>2.0955731742546035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-1.7053025658242404E-13</v>
      </c>
      <c r="GA121" s="17">
        <f>FZ121*VLOOKUP('Données projet'!$B$17,Paramètres!$A$1:$I$89,3,0)*VLOOKUP('Données projet'!$B$17,Paramètres!$A$1:$I$89,5,0)</f>
        <v>-1.6493686416652052E-13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353.24082990916918</v>
      </c>
      <c r="GF121" s="59">
        <f t="shared" si="104"/>
        <v>219.76562717496353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1.3674556010581744</v>
      </c>
      <c r="GM121" s="21">
        <f>EXP(-LN(2)/25)*GM120+(1-EXP(-LN(2)/25))/(LN(2)/25)*Calculateur!GH121*Calculateur!GJ121*VLOOKUP('Données projet'!$B$17,Paramètres!$A$1:$I$89,3,0)*0.475*44/12</f>
        <v>0.87263986107554137</v>
      </c>
      <c r="GN121" s="21">
        <f>EXP(-LN(2)/2)*GN120+(1-EXP(-LN(2)/2))/(LN(2)/2)*GH121*GK121*VLOOKUP('Données projet'!$B$17,Paramètres!$A$1:$I$89,3,0)*0.475*44/12</f>
        <v>5.1860761990553576E-13</v>
      </c>
      <c r="GO121" s="21">
        <f t="shared" si="81"/>
        <v>2.2400954621342346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378.17323480030268</v>
      </c>
      <c r="T122" s="59">
        <f t="shared" si="88"/>
        <v>471.89239871617241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0.75587561439042494</v>
      </c>
      <c r="AA122" s="21">
        <f>EXP(-LN(2)/25)*AA121+(1-EXP(-LN(2)/25))/(LN(2)/25)*Calculateur!V122*Calculateur!X122*VLOOKUP('Données projet'!$B$9,Paramètres!$A$1:$I$89,3,0)*0.475*44/12</f>
        <v>1.7637039413029898</v>
      </c>
      <c r="AB122" s="21">
        <f>EXP(-LN(2)/2)*AB121+(1-EXP(-LN(2)/2))/(LN(2)/2)*V122*Y122*VLOOKUP('Données projet'!$B$9,Paramètres!$A$1:$I$89,3,0)*0.475*44/12</f>
        <v>4.2045683031690639E-13</v>
      </c>
      <c r="AC122" s="22">
        <f t="shared" si="57"/>
        <v>2.5195795556938352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141.22849894256314</v>
      </c>
      <c r="AO122" s="59">
        <f t="shared" si="90"/>
        <v>156.12101479343704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1.2621935945630773</v>
      </c>
      <c r="AV122" s="21">
        <f>EXP(-LN(2)/25)*AV121+(1-EXP(-LN(2)/25))/(LN(2)/25)*Calculateur!AQ122*Calculateur!AS122*VLOOKUP('Données projet'!$B$10,Paramètres!$A$1:$I$89,3,0)*0.475*44/12</f>
        <v>0.51063754675913275</v>
      </c>
      <c r="AW122" s="21">
        <f>EXP(-LN(2)/2)*AW121+(1-EXP(-LN(2)/2))/(LN(2)/2)*AQ122*AT122*VLOOKUP('Données projet'!$B$10,Paramètres!$A$1:$I$89,3,0)*0.475*44/12</f>
        <v>1.188937729922286E-13</v>
      </c>
      <c r="AX122" s="21">
        <f t="shared" si="60"/>
        <v>1.7728311413223288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114.25511901730295</v>
      </c>
      <c r="BJ122" s="59">
        <f t="shared" si="92"/>
        <v>180.96261947642182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0.58660114432883104</v>
      </c>
      <c r="BQ122" s="21">
        <f>EXP(-LN(2)/25)*BQ121+(1-EXP(-LN(2)/25))/(LN(2)/25)*Calculateur!BL122*Calculateur!BN122*VLOOKUP('Données projet'!$B$11,Paramètres!$A$1:$I$89,3,0)*0.475*44/12</f>
        <v>1.5105107847297292</v>
      </c>
      <c r="BR122" s="21">
        <f>EXP(-LN(2)/2)*BR121+(1-EXP(-LN(2)/2))/(LN(2)/2)*BL122*BO122*VLOOKUP('Données projet'!$B$11,Paramètres!$A$1:$I$89,3,0)*0.475*44/12</f>
        <v>2.7461042863245291E-13</v>
      </c>
      <c r="BS122" s="22">
        <f t="shared" si="63"/>
        <v>2.0971119290588347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4.4337866711430253E-14</v>
      </c>
      <c r="CA122" s="13">
        <f t="shared" si="93"/>
        <v>7.3222115536967035E-13</v>
      </c>
      <c r="CB122" s="20">
        <f t="shared" si="64"/>
        <v>1.3525069634579169E-12</v>
      </c>
      <c r="CC122" s="59">
        <f t="shared" si="65"/>
        <v>293.33333333333468</v>
      </c>
      <c r="CD122" s="59">
        <f ca="1">AVERAGE(OFFSET($CC$3,0,0,'Données projet'!$E$12+1,1))-AVERAGE(OFFSET($H$3,0,0,'Données projet'!$E$12+1,1))</f>
        <v>216.95993967070063</v>
      </c>
      <c r="CE122" s="59">
        <f t="shared" si="94"/>
        <v>208.79744153433245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0.88660615578828572</v>
      </c>
      <c r="CL122" s="21">
        <f>EXP(-LN(2)/25)*CL121+(1-EXP(-LN(2)/25))/(LN(2)/25)*Calculateur!CG122*Calculateur!CI122*VLOOKUP('Données projet'!$B$12,Paramètres!$A$1:$I$89,3,0)*0.475*44/12</f>
        <v>0.54411332755002817</v>
      </c>
      <c r="CM122" s="21">
        <f>EXP(-LN(2)/2)*CM121+(1-EXP(-LN(2)/2))/(LN(2)/2)*CG122*CJ122*VLOOKUP('Données projet'!$B$12,Paramètres!$A$1:$I$89,3,0)*0.475*44/12</f>
        <v>4.9584106944396124E-14</v>
      </c>
      <c r="CN122" s="22">
        <f t="shared" si="66"/>
        <v>1.4307194833383634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3.813056537183002E-14</v>
      </c>
      <c r="CV122" s="13">
        <f t="shared" si="95"/>
        <v>6.4086286045526829E-13</v>
      </c>
      <c r="CW122" s="20">
        <f t="shared" si="67"/>
        <v>1.1825802166488628E-12</v>
      </c>
      <c r="CX122" s="59">
        <f t="shared" si="68"/>
        <v>293.33333333333451</v>
      </c>
      <c r="CY122" s="59">
        <f ca="1">AVERAGE(OFFSET($CX$3,0,0,'Données projet'!$E$13+1,1))-AVERAGE(OFFSET($H$3,0,0,'Données projet'!$E$13+1,1))</f>
        <v>181.32837315090507</v>
      </c>
      <c r="CZ122" s="59">
        <f t="shared" si="96"/>
        <v>175.03267817980338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0.93980252513558216</v>
      </c>
      <c r="DG122" s="21">
        <f>EXP(-LN(2)/25)*DG121+(1-EXP(-LN(2)/25))/(LN(2)/25)*Calculateur!DB122*Calculateur!DD122*VLOOKUP('Données projet'!$B$13,Paramètres!$A$1:$I$89,3,0)*0.475*44/12</f>
        <v>0.57676012720302994</v>
      </c>
      <c r="DH122" s="21">
        <f>EXP(-LN(2)/2)*DH121+(1-EXP(-LN(2)/2))/(LN(2)/2)*DB122*DE122*VLOOKUP('Données projet'!$B$13,Paramètres!$A$1:$I$89,3,0)*0.475*44/12</f>
        <v>4.2642331972180648E-14</v>
      </c>
      <c r="DI122" s="22">
        <f t="shared" si="69"/>
        <v>1.5165626523386546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-2.8421709430404007E-13</v>
      </c>
      <c r="DP122" s="17">
        <f>DO122*VLOOKUP('Données projet'!$B$14,Paramètres!$A$1:$I$89,3,0)*VLOOKUP('Données projet'!$B$14,Paramètres!$A$1:$I$89,5,0)</f>
        <v>-2.2612312022829427E-13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325.72928944930294</v>
      </c>
      <c r="DU122" s="59">
        <f t="shared" si="98"/>
        <v>318.38876834819752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2.9711970163741204</v>
      </c>
      <c r="EB122" s="21">
        <f>EXP(-LN(2)/25)*EB121+(1-EXP(-LN(2)/25))/(LN(2)/25)*Calculateur!DW122*Calculateur!DY122*VLOOKUP('Données projet'!$B$14,Paramètres!$A$1:$I$89,3,0)*0.475*44/12</f>
        <v>1.7534009921430354</v>
      </c>
      <c r="EC122" s="21">
        <f>EXP(-LN(2)/2)*EC121+(1-EXP(-LN(2)/2))/(LN(2)/2)*DW122*DZ122*VLOOKUP('Données projet'!$B$14,Paramètres!$A$1:$I$89,3,0)*0.475*44/12</f>
        <v>4.7548814806907446E-13</v>
      </c>
      <c r="ED122" s="22">
        <f t="shared" si="72"/>
        <v>4.7245980085176305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-5.6843418860808015E-14</v>
      </c>
      <c r="EK122" s="17">
        <f>EJ122*VLOOKUP('Données projet'!$B$15,Paramètres!$A$1:$I$89,3,0)*VLOOKUP('Données projet'!$B$15,Paramètres!$A$1:$I$89,5,0)</f>
        <v>-5.7639226724859328E-14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384.50065773787549</v>
      </c>
      <c r="EP122" s="59">
        <f t="shared" si="100"/>
        <v>231.92898690465887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1.405510338728289</v>
      </c>
      <c r="EW122" s="21">
        <f>EXP(-LN(2)/25)*EW121+(1-EXP(-LN(2)/25))/(LN(2)/25)*Calculateur!ER122*Calculateur!ET122*VLOOKUP('Données projet'!$B$15,Paramètres!$A$1:$I$89,3,0)*0.475*44/12</f>
        <v>0.88984735616095434</v>
      </c>
      <c r="EX122" s="21">
        <f>EXP(-LN(2)/2)*EX121+(1-EXP(-LN(2)/2))/(LN(2)/2)*ER122*EU122*VLOOKUP('Données projet'!$B$15,Paramètres!$A$1:$I$89,3,0)*0.475*44/12</f>
        <v>3.8445504375264979E-13</v>
      </c>
      <c r="EY122" s="22">
        <f t="shared" si="75"/>
        <v>2.2953576948896277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-1.5429577615577727E-13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326.46362829268969</v>
      </c>
      <c r="FK122" s="59">
        <f t="shared" si="102"/>
        <v>203.5274665601915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1.2541476868652413</v>
      </c>
      <c r="FR122" s="21">
        <f>EXP(-LN(2)/25)*FR121+(1-EXP(-LN(2)/25))/(LN(2)/25)*Calculateur!FM122*Calculateur!FO122*VLOOKUP('Données projet'!$B$16,Paramètres!$A$1:$I$89,3,0)*0.475*44/12</f>
        <v>0.79401764088208104</v>
      </c>
      <c r="FS122" s="21">
        <f>EXP(-LN(2)/2)*FS121+(1-EXP(-LN(2)/2))/(LN(2)/2)*FM122*FP122*VLOOKUP('Données projet'!$B$16,Paramètres!$A$1:$I$89,3,0)*0.475*44/12</f>
        <v>3.430521928869798E-13</v>
      </c>
      <c r="FT122" s="22">
        <f t="shared" si="78"/>
        <v>2.048165327747665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-1.7053025658242404E-13</v>
      </c>
      <c r="GA122" s="17">
        <f>FZ122*VLOOKUP('Données projet'!$B$17,Paramètres!$A$1:$I$89,3,0)*VLOOKUP('Données projet'!$B$17,Paramètres!$A$1:$I$89,5,0)</f>
        <v>-1.6493686416652052E-13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353.24082990916918</v>
      </c>
      <c r="GF122" s="59">
        <f t="shared" si="104"/>
        <v>219.76562717496353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1.3406406307869831</v>
      </c>
      <c r="GM122" s="21">
        <f>EXP(-LN(2)/25)*GM121+(1-EXP(-LN(2)/25))/(LN(2)/25)*Calculateur!GH122*Calculateur!GJ122*VLOOKUP('Données projet'!$B$17,Paramètres!$A$1:$I$89,3,0)*0.475*44/12</f>
        <v>0.84877747818429483</v>
      </c>
      <c r="GN122" s="21">
        <f>EXP(-LN(2)/2)*GN121+(1-EXP(-LN(2)/2))/(LN(2)/2)*GH122*GK122*VLOOKUP('Données projet'!$B$17,Paramètres!$A$1:$I$89,3,0)*0.475*44/12</f>
        <v>3.6671096481021989E-13</v>
      </c>
      <c r="GO122" s="21">
        <f t="shared" si="81"/>
        <v>2.1894181089716449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378.17323480030268</v>
      </c>
      <c r="T123" s="59">
        <f t="shared" si="88"/>
        <v>471.89239871617241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0.74105335463082966</v>
      </c>
      <c r="AA123" s="21">
        <f>EXP(-LN(2)/25)*AA122+(1-EXP(-LN(2)/25))/(LN(2)/25)*Calculateur!V123*Calculateur!X123*VLOOKUP('Données projet'!$B$9,Paramètres!$A$1:$I$89,3,0)*0.475*44/12</f>
        <v>1.7154753642789002</v>
      </c>
      <c r="AB123" s="21">
        <f>EXP(-LN(2)/2)*AB122+(1-EXP(-LN(2)/2))/(LN(2)/2)*V123*Y123*VLOOKUP('Données projet'!$B$9,Paramètres!$A$1:$I$89,3,0)*0.475*44/12</f>
        <v>2.9730787591328606E-13</v>
      </c>
      <c r="AC123" s="22">
        <f t="shared" si="57"/>
        <v>2.4565287189100271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141.22849894256314</v>
      </c>
      <c r="AO123" s="59">
        <f t="shared" si="90"/>
        <v>156.12101479343704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1.2374427480357706</v>
      </c>
      <c r="AV123" s="21">
        <f>EXP(-LN(2)/25)*AV122+(1-EXP(-LN(2)/25))/(LN(2)/25)*Calculateur!AQ123*Calculateur!AS123*VLOOKUP('Données projet'!$B$10,Paramètres!$A$1:$I$89,3,0)*0.475*44/12</f>
        <v>0.49667413618974277</v>
      </c>
      <c r="AW123" s="21">
        <f>EXP(-LN(2)/2)*AW122+(1-EXP(-LN(2)/2))/(LN(2)/2)*AQ123*AT123*VLOOKUP('Données projet'!$B$10,Paramètres!$A$1:$I$89,3,0)*0.475*44/12</f>
        <v>8.4070593123658846E-14</v>
      </c>
      <c r="AX123" s="21">
        <f t="shared" si="60"/>
        <v>1.7341168842255976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114.25511901730295</v>
      </c>
      <c r="BJ123" s="59">
        <f t="shared" si="92"/>
        <v>180.96261947642182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0.57509825367991174</v>
      </c>
      <c r="BQ123" s="21">
        <f>EXP(-LN(2)/25)*BQ122+(1-EXP(-LN(2)/25))/(LN(2)/25)*Calculateur!BL123*Calculateur!BN123*VLOOKUP('Données projet'!$B$11,Paramètres!$A$1:$I$89,3,0)*0.475*44/12</f>
        <v>1.4692057878869849</v>
      </c>
      <c r="BR123" s="21">
        <f>EXP(-LN(2)/2)*BR122+(1-EXP(-LN(2)/2))/(LN(2)/2)*BL123*BO123*VLOOKUP('Données projet'!$B$11,Paramètres!$A$1:$I$89,3,0)*0.475*44/12</f>
        <v>1.9417889627055191E-13</v>
      </c>
      <c r="BS123" s="22">
        <f t="shared" si="63"/>
        <v>2.0443040415670906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4.4337866711430253E-14</v>
      </c>
      <c r="CA123" s="13">
        <f t="shared" si="93"/>
        <v>7.3222115536967035E-13</v>
      </c>
      <c r="CB123" s="20">
        <f t="shared" si="64"/>
        <v>1.3525069634579169E-12</v>
      </c>
      <c r="CC123" s="59">
        <f t="shared" si="65"/>
        <v>293.33333333333468</v>
      </c>
      <c r="CD123" s="59">
        <f ca="1">AVERAGE(OFFSET($CC$3,0,0,'Données projet'!$E$12+1,1))-AVERAGE(OFFSET($H$3,0,0,'Données projet'!$E$12+1,1))</f>
        <v>216.95993967070063</v>
      </c>
      <c r="CE123" s="59">
        <f t="shared" si="94"/>
        <v>208.79744153433245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0.86922034984963525</v>
      </c>
      <c r="CL123" s="21">
        <f>EXP(-LN(2)/25)*CL122+(1-EXP(-LN(2)/25))/(LN(2)/25)*Calculateur!CG123*Calculateur!CI123*VLOOKUP('Données projet'!$B$12,Paramètres!$A$1:$I$89,3,0)*0.475*44/12</f>
        <v>0.52923451999449633</v>
      </c>
      <c r="CM123" s="21">
        <f>EXP(-LN(2)/2)*CM122+(1-EXP(-LN(2)/2))/(LN(2)/2)*CG123*CJ123*VLOOKUP('Données projet'!$B$12,Paramètres!$A$1:$I$89,3,0)*0.475*44/12</f>
        <v>3.5061258259461481E-14</v>
      </c>
      <c r="CN123" s="22">
        <f t="shared" si="66"/>
        <v>1.3984548698441666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3.813056537183002E-14</v>
      </c>
      <c r="CV123" s="13">
        <f t="shared" si="95"/>
        <v>6.4086286045526829E-13</v>
      </c>
      <c r="CW123" s="20">
        <f t="shared" si="67"/>
        <v>1.1825802166488628E-12</v>
      </c>
      <c r="CX123" s="59">
        <f t="shared" si="68"/>
        <v>293.33333333333451</v>
      </c>
      <c r="CY123" s="59">
        <f ca="1">AVERAGE(OFFSET($CX$3,0,0,'Données projet'!$E$13+1,1))-AVERAGE(OFFSET($H$3,0,0,'Données projet'!$E$13+1,1))</f>
        <v>181.32837315090507</v>
      </c>
      <c r="CZ123" s="59">
        <f t="shared" si="96"/>
        <v>175.03267817980338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0.92137357084061267</v>
      </c>
      <c r="DG123" s="21">
        <f>EXP(-LN(2)/25)*DG122+(1-EXP(-LN(2)/25))/(LN(2)/25)*Calculateur!DB123*Calculateur!DD123*VLOOKUP('Données projet'!$B$13,Paramètres!$A$1:$I$89,3,0)*0.475*44/12</f>
        <v>0.56098859119416622</v>
      </c>
      <c r="DH123" s="21">
        <f>EXP(-LN(2)/2)*DH122+(1-EXP(-LN(2)/2))/(LN(2)/2)*DB123*DE123*VLOOKUP('Données projet'!$B$13,Paramètres!$A$1:$I$89,3,0)*0.475*44/12</f>
        <v>3.0152682103136861E-14</v>
      </c>
      <c r="DI123" s="22">
        <f t="shared" si="69"/>
        <v>1.4823621620348091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-2.8421709430404007E-13</v>
      </c>
      <c r="DP123" s="17">
        <f>DO123*VLOOKUP('Données projet'!$B$14,Paramètres!$A$1:$I$89,3,0)*VLOOKUP('Données projet'!$B$14,Paramètres!$A$1:$I$89,5,0)</f>
        <v>-2.2612312022829427E-13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325.72928944930294</v>
      </c>
      <c r="DU123" s="59">
        <f t="shared" si="98"/>
        <v>318.38876834819752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2.9129336551342591</v>
      </c>
      <c r="EB123" s="21">
        <f>EXP(-LN(2)/25)*EB122+(1-EXP(-LN(2)/25))/(LN(2)/25)*Calculateur!DW123*Calculateur!DY123*VLOOKUP('Données projet'!$B$14,Paramètres!$A$1:$I$89,3,0)*0.475*44/12</f>
        <v>1.7054541498055333</v>
      </c>
      <c r="EC123" s="21">
        <f>EXP(-LN(2)/2)*EC122+(1-EXP(-LN(2)/2))/(LN(2)/2)*DW123*DZ123*VLOOKUP('Données projet'!$B$14,Paramètres!$A$1:$I$89,3,0)*0.475*44/12</f>
        <v>3.3622089387347576E-13</v>
      </c>
      <c r="ED123" s="22">
        <f t="shared" si="72"/>
        <v>4.618387804940129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-5.6843418860808015E-14</v>
      </c>
      <c r="EK123" s="17">
        <f>EJ123*VLOOKUP('Données projet'!$B$15,Paramètres!$A$1:$I$89,3,0)*VLOOKUP('Données projet'!$B$15,Paramètres!$A$1:$I$89,5,0)</f>
        <v>-5.7639226724859328E-14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384.50065773787549</v>
      </c>
      <c r="EP123" s="59">
        <f t="shared" si="100"/>
        <v>231.92898690465887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1.3779491382624849</v>
      </c>
      <c r="EW123" s="21">
        <f>EXP(-LN(2)/25)*EW122+(1-EXP(-LN(2)/25))/(LN(2)/25)*Calculateur!ER123*Calculateur!ET123*VLOOKUP('Données projet'!$B$15,Paramètres!$A$1:$I$89,3,0)*0.475*44/12</f>
        <v>0.86551443341169432</v>
      </c>
      <c r="EX123" s="21">
        <f>EXP(-LN(2)/2)*EX122+(1-EXP(-LN(2)/2))/(LN(2)/2)*ER123*EU123*VLOOKUP('Données projet'!$B$15,Paramètres!$A$1:$I$89,3,0)*0.475*44/12</f>
        <v>2.7185076849886949E-13</v>
      </c>
      <c r="EY123" s="22">
        <f t="shared" si="75"/>
        <v>2.2434635716744511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-1.5429577615577727E-13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326.46362829268969</v>
      </c>
      <c r="FK123" s="59">
        <f t="shared" si="102"/>
        <v>203.5274665601915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1.2295546156803698</v>
      </c>
      <c r="FR123" s="21">
        <f>EXP(-LN(2)/25)*FR122+(1-EXP(-LN(2)/25))/(LN(2)/25)*Calculateur!FM123*Calculateur!FO123*VLOOKUP('Données projet'!$B$16,Paramètres!$A$1:$I$89,3,0)*0.475*44/12</f>
        <v>0.77230518673658755</v>
      </c>
      <c r="FS123" s="21">
        <f>EXP(-LN(2)/2)*FS122+(1-EXP(-LN(2)/2))/(LN(2)/2)*FM123*FP123*VLOOKUP('Données projet'!$B$16,Paramètres!$A$1:$I$89,3,0)*0.475*44/12</f>
        <v>2.4257453189129892E-13</v>
      </c>
      <c r="FT123" s="22">
        <f t="shared" si="78"/>
        <v>2.0018598024171999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-1.7053025658242404E-13</v>
      </c>
      <c r="GA123" s="17">
        <f>FZ123*VLOOKUP('Données projet'!$B$17,Paramètres!$A$1:$I$89,3,0)*VLOOKUP('Données projet'!$B$17,Paramètres!$A$1:$I$89,5,0)</f>
        <v>-1.6493686416652052E-13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353.24082990916918</v>
      </c>
      <c r="GF123" s="59">
        <f t="shared" si="104"/>
        <v>219.76562717496353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1.3143514857272931</v>
      </c>
      <c r="GM123" s="21">
        <f>EXP(-LN(2)/25)*GM122+(1-EXP(-LN(2)/25))/(LN(2)/25)*Calculateur!GH123*Calculateur!GJ123*VLOOKUP('Données projet'!$B$17,Paramètres!$A$1:$I$89,3,0)*0.475*44/12</f>
        <v>0.82556761340807761</v>
      </c>
      <c r="GN123" s="21">
        <f>EXP(-LN(2)/2)*GN122+(1-EXP(-LN(2)/2))/(LN(2)/2)*GH123*GK123*VLOOKUP('Données projet'!$B$17,Paramètres!$A$1:$I$89,3,0)*0.475*44/12</f>
        <v>2.5930380995276788E-13</v>
      </c>
      <c r="GO123" s="21">
        <f t="shared" si="81"/>
        <v>2.1399190991356303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378.17323480030268</v>
      </c>
      <c r="T124" s="59">
        <f t="shared" si="88"/>
        <v>471.89239871617241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0.72652175034443434</v>
      </c>
      <c r="AA124" s="21">
        <f>EXP(-LN(2)/25)*AA123+(1-EXP(-LN(2)/25))/(LN(2)/25)*Calculateur!V124*Calculateur!X124*VLOOKUP('Données projet'!$B$9,Paramètres!$A$1:$I$89,3,0)*0.475*44/12</f>
        <v>1.6685656002297651</v>
      </c>
      <c r="AB124" s="21">
        <f>EXP(-LN(2)/2)*AB123+(1-EXP(-LN(2)/2))/(LN(2)/2)*V124*Y124*VLOOKUP('Données projet'!$B$9,Paramètres!$A$1:$I$89,3,0)*0.475*44/12</f>
        <v>2.1022841515845319E-13</v>
      </c>
      <c r="AC124" s="22">
        <f t="shared" si="57"/>
        <v>2.3950873505744092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141.22849894256314</v>
      </c>
      <c r="AO124" s="59">
        <f t="shared" si="90"/>
        <v>156.12101479343704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1.2131772505123386</v>
      </c>
      <c r="AV124" s="21">
        <f>EXP(-LN(2)/25)*AV123+(1-EXP(-LN(2)/25))/(LN(2)/25)*Calculateur!AQ124*Calculateur!AS124*VLOOKUP('Données projet'!$B$10,Paramètres!$A$1:$I$89,3,0)*0.475*44/12</f>
        <v>0.48309255581667659</v>
      </c>
      <c r="AW124" s="21">
        <f>EXP(-LN(2)/2)*AW123+(1-EXP(-LN(2)/2))/(LN(2)/2)*AQ124*AT124*VLOOKUP('Données projet'!$B$10,Paramètres!$A$1:$I$89,3,0)*0.475*44/12</f>
        <v>5.9446886496114302E-14</v>
      </c>
      <c r="AX124" s="21">
        <f t="shared" si="60"/>
        <v>1.6962698063290746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114.25511901730295</v>
      </c>
      <c r="BJ124" s="59">
        <f t="shared" si="92"/>
        <v>180.96261947642182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0.56382092770054726</v>
      </c>
      <c r="BQ124" s="21">
        <f>EXP(-LN(2)/25)*BQ123+(1-EXP(-LN(2)/25))/(LN(2)/25)*Calculateur!BL124*Calculateur!BN124*VLOOKUP('Données projet'!$B$11,Paramètres!$A$1:$I$89,3,0)*0.475*44/12</f>
        <v>1.4290302783550408</v>
      </c>
      <c r="BR124" s="21">
        <f>EXP(-LN(2)/2)*BR123+(1-EXP(-LN(2)/2))/(LN(2)/2)*BL124*BO124*VLOOKUP('Données projet'!$B$11,Paramètres!$A$1:$I$89,3,0)*0.475*44/12</f>
        <v>1.3730521431622646E-13</v>
      </c>
      <c r="BS124" s="22">
        <f t="shared" si="63"/>
        <v>1.9928512060557253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4.4337866711430253E-14</v>
      </c>
      <c r="CA124" s="13">
        <f t="shared" si="93"/>
        <v>7.3222115536967035E-13</v>
      </c>
      <c r="CB124" s="20">
        <f t="shared" si="64"/>
        <v>1.3525069634579169E-12</v>
      </c>
      <c r="CC124" s="59">
        <f t="shared" si="65"/>
        <v>293.33333333333468</v>
      </c>
      <c r="CD124" s="59">
        <f ca="1">AVERAGE(OFFSET($CC$3,0,0,'Données projet'!$E$12+1,1))-AVERAGE(OFFSET($H$3,0,0,'Données projet'!$E$12+1,1))</f>
        <v>216.95993967070063</v>
      </c>
      <c r="CE124" s="59">
        <f t="shared" si="94"/>
        <v>208.79744153433245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0.85217546896114715</v>
      </c>
      <c r="CL124" s="21">
        <f>EXP(-LN(2)/25)*CL123+(1-EXP(-LN(2)/25))/(LN(2)/25)*Calculateur!CG124*Calculateur!CI124*VLOOKUP('Données projet'!$B$12,Paramètres!$A$1:$I$89,3,0)*0.475*44/12</f>
        <v>0.51476257421401306</v>
      </c>
      <c r="CM124" s="21">
        <f>EXP(-LN(2)/2)*CM123+(1-EXP(-LN(2)/2))/(LN(2)/2)*CG124*CJ124*VLOOKUP('Données projet'!$B$12,Paramètres!$A$1:$I$89,3,0)*0.475*44/12</f>
        <v>2.4792053472198062E-14</v>
      </c>
      <c r="CN124" s="22">
        <f t="shared" si="66"/>
        <v>1.366938043175185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3.813056537183002E-14</v>
      </c>
      <c r="CV124" s="13">
        <f t="shared" si="95"/>
        <v>6.4086286045526829E-13</v>
      </c>
      <c r="CW124" s="20">
        <f t="shared" si="67"/>
        <v>1.1825802166488628E-12</v>
      </c>
      <c r="CX124" s="59">
        <f t="shared" si="68"/>
        <v>293.33333333333451</v>
      </c>
      <c r="CY124" s="59">
        <f ca="1">AVERAGE(OFFSET($CX$3,0,0,'Données projet'!$E$13+1,1))-AVERAGE(OFFSET($H$3,0,0,'Données projet'!$E$13+1,1))</f>
        <v>181.32837315090507</v>
      </c>
      <c r="CZ124" s="59">
        <f t="shared" si="96"/>
        <v>175.03267817980338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0.90330599709881532</v>
      </c>
      <c r="DG124" s="21">
        <f>EXP(-LN(2)/25)*DG123+(1-EXP(-LN(2)/25))/(LN(2)/25)*Calculateur!DB124*Calculateur!DD124*VLOOKUP('Données projet'!$B$13,Paramètres!$A$1:$I$89,3,0)*0.475*44/12</f>
        <v>0.54564832866685387</v>
      </c>
      <c r="DH124" s="21">
        <f>EXP(-LN(2)/2)*DH123+(1-EXP(-LN(2)/2))/(LN(2)/2)*DB124*DE124*VLOOKUP('Données projet'!$B$13,Paramètres!$A$1:$I$89,3,0)*0.475*44/12</f>
        <v>2.1321165986090324E-14</v>
      </c>
      <c r="DI124" s="22">
        <f t="shared" si="69"/>
        <v>1.4489543257656905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-2.8421709430404007E-13</v>
      </c>
      <c r="DP124" s="17">
        <f>DO124*VLOOKUP('Données projet'!$B$14,Paramètres!$A$1:$I$89,3,0)*VLOOKUP('Données projet'!$B$14,Paramètres!$A$1:$I$89,5,0)</f>
        <v>-2.2612312022829427E-13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325.72928944930294</v>
      </c>
      <c r="DU124" s="59">
        <f t="shared" si="98"/>
        <v>318.38876834819752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2.8558128028711698</v>
      </c>
      <c r="EB124" s="21">
        <f>EXP(-LN(2)/25)*EB123+(1-EXP(-LN(2)/25))/(LN(2)/25)*Calculateur!DW124*Calculateur!DY124*VLOOKUP('Données projet'!$B$14,Paramètres!$A$1:$I$89,3,0)*0.475*44/12</f>
        <v>1.6588184163931652</v>
      </c>
      <c r="EC124" s="21">
        <f>EXP(-LN(2)/2)*EC123+(1-EXP(-LN(2)/2))/(LN(2)/2)*DW124*DZ124*VLOOKUP('Données projet'!$B$14,Paramètres!$A$1:$I$89,3,0)*0.475*44/12</f>
        <v>2.3774407403453723E-13</v>
      </c>
      <c r="ED124" s="22">
        <f t="shared" si="72"/>
        <v>4.5146312192645732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-5.6843418860808015E-14</v>
      </c>
      <c r="EK124" s="17">
        <f>EJ124*VLOOKUP('Données projet'!$B$15,Paramètres!$A$1:$I$89,3,0)*VLOOKUP('Données projet'!$B$15,Paramètres!$A$1:$I$89,5,0)</f>
        <v>-5.7639226724859328E-14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384.50065773787549</v>
      </c>
      <c r="EP124" s="59">
        <f t="shared" si="100"/>
        <v>231.92898690465887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1.3509283961271428</v>
      </c>
      <c r="EW124" s="21">
        <f>EXP(-LN(2)/25)*EW123+(1-EXP(-LN(2)/25))/(LN(2)/25)*Calculateur!ER124*Calculateur!ET124*VLOOKUP('Données projet'!$B$15,Paramètres!$A$1:$I$89,3,0)*0.475*44/12</f>
        <v>0.84184689571462568</v>
      </c>
      <c r="EX124" s="21">
        <f>EXP(-LN(2)/2)*EX123+(1-EXP(-LN(2)/2))/(LN(2)/2)*ER124*EU124*VLOOKUP('Données projet'!$B$15,Paramètres!$A$1:$I$89,3,0)*0.475*44/12</f>
        <v>1.922275218763249E-13</v>
      </c>
      <c r="EY124" s="22">
        <f t="shared" si="75"/>
        <v>2.192775291841961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-1.5429577615577727E-13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326.46362829268969</v>
      </c>
      <c r="FK124" s="59">
        <f t="shared" si="102"/>
        <v>203.5274665601915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1.2054437996211416</v>
      </c>
      <c r="FR124" s="21">
        <f>EXP(-LN(2)/25)*FR123+(1-EXP(-LN(2)/25))/(LN(2)/25)*Calculateur!FM124*Calculateur!FO124*VLOOKUP('Données projet'!$B$16,Paramètres!$A$1:$I$89,3,0)*0.475*44/12</f>
        <v>0.75118646079151097</v>
      </c>
      <c r="FS124" s="21">
        <f>EXP(-LN(2)/2)*FS123+(1-EXP(-LN(2)/2))/(LN(2)/2)*FM124*FP124*VLOOKUP('Données projet'!$B$16,Paramètres!$A$1:$I$89,3,0)*0.475*44/12</f>
        <v>1.715260964434899E-13</v>
      </c>
      <c r="FT124" s="22">
        <f t="shared" si="78"/>
        <v>1.9566302604128238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-1.7053025658242404E-13</v>
      </c>
      <c r="GA124" s="17">
        <f>FZ124*VLOOKUP('Données projet'!$B$17,Paramètres!$A$1:$I$89,3,0)*VLOOKUP('Données projet'!$B$17,Paramètres!$A$1:$I$89,5,0)</f>
        <v>-1.6493686416652052E-13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353.24082990916918</v>
      </c>
      <c r="GF124" s="59">
        <f t="shared" si="104"/>
        <v>219.76562717496353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1.2885778547674283</v>
      </c>
      <c r="GM124" s="21">
        <f>EXP(-LN(2)/25)*GM123+(1-EXP(-LN(2)/25))/(LN(2)/25)*Calculateur!GH124*Calculateur!GJ124*VLOOKUP('Données projet'!$B$17,Paramètres!$A$1:$I$89,3,0)*0.475*44/12</f>
        <v>0.80299242360471978</v>
      </c>
      <c r="GN124" s="21">
        <f>EXP(-LN(2)/2)*GN123+(1-EXP(-LN(2)/2))/(LN(2)/2)*GH124*GK124*VLOOKUP('Données projet'!$B$17,Paramètres!$A$1:$I$89,3,0)*0.475*44/12</f>
        <v>1.8335548240510994E-13</v>
      </c>
      <c r="GO124" s="21">
        <f t="shared" si="81"/>
        <v>2.0915702783723313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378.17323480030268</v>
      </c>
      <c r="T125" s="59">
        <f t="shared" si="88"/>
        <v>471.89239871617241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0.71227510195469179</v>
      </c>
      <c r="AA125" s="21">
        <f>EXP(-LN(2)/25)*AA124+(1-EXP(-LN(2)/25))/(LN(2)/25)*Calculateur!V125*Calculateur!X125*VLOOKUP('Données projet'!$B$9,Paramètres!$A$1:$I$89,3,0)*0.475*44/12</f>
        <v>1.6229385861454309</v>
      </c>
      <c r="AB125" s="21">
        <f>EXP(-LN(2)/2)*AB124+(1-EXP(-LN(2)/2))/(LN(2)/2)*V125*Y125*VLOOKUP('Données projet'!$B$9,Paramètres!$A$1:$I$89,3,0)*0.475*44/12</f>
        <v>1.4865393795664303E-13</v>
      </c>
      <c r="AC125" s="22">
        <f t="shared" si="57"/>
        <v>2.3352136881002714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141.22849894256314</v>
      </c>
      <c r="AO125" s="59">
        <f t="shared" si="90"/>
        <v>156.12101479343704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1.1893875845948489</v>
      </c>
      <c r="AV125" s="21">
        <f>EXP(-LN(2)/25)*AV124+(1-EXP(-LN(2)/25))/(LN(2)/25)*Calculateur!AQ125*Calculateur!AS125*VLOOKUP('Données projet'!$B$10,Paramètres!$A$1:$I$89,3,0)*0.475*44/12</f>
        <v>0.46988236447313619</v>
      </c>
      <c r="AW125" s="21">
        <f>EXP(-LN(2)/2)*AW124+(1-EXP(-LN(2)/2))/(LN(2)/2)*AQ125*AT125*VLOOKUP('Données projet'!$B$10,Paramètres!$A$1:$I$89,3,0)*0.475*44/12</f>
        <v>4.2035296561829423E-14</v>
      </c>
      <c r="AX125" s="21">
        <f t="shared" si="60"/>
        <v>1.6592699490680272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114.25511901730295</v>
      </c>
      <c r="BJ125" s="59">
        <f t="shared" si="92"/>
        <v>180.96261947642182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0.55276474320514846</v>
      </c>
      <c r="BQ125" s="21">
        <f>EXP(-LN(2)/25)*BQ124+(1-EXP(-LN(2)/25))/(LN(2)/25)*Calculateur!BL125*Calculateur!BN125*VLOOKUP('Données projet'!$B$11,Paramètres!$A$1:$I$89,3,0)*0.475*44/12</f>
        <v>1.3899533702439859</v>
      </c>
      <c r="BR125" s="21">
        <f>EXP(-LN(2)/2)*BR124+(1-EXP(-LN(2)/2))/(LN(2)/2)*BL125*BO125*VLOOKUP('Données projet'!$B$11,Paramètres!$A$1:$I$89,3,0)*0.475*44/12</f>
        <v>9.7089448135275955E-14</v>
      </c>
      <c r="BS125" s="22">
        <f t="shared" si="63"/>
        <v>1.9427181134492313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4.4337866711430253E-14</v>
      </c>
      <c r="CA125" s="13">
        <f t="shared" si="93"/>
        <v>7.3222115536967035E-13</v>
      </c>
      <c r="CB125" s="20">
        <f t="shared" si="64"/>
        <v>1.3525069634579169E-12</v>
      </c>
      <c r="CC125" s="59">
        <f t="shared" si="65"/>
        <v>293.33333333333468</v>
      </c>
      <c r="CD125" s="59">
        <f ca="1">AVERAGE(OFFSET($CC$3,0,0,'Données projet'!$E$12+1,1))-AVERAGE(OFFSET($H$3,0,0,'Données projet'!$E$12+1,1))</f>
        <v>216.95993967070063</v>
      </c>
      <c r="CE125" s="59">
        <f t="shared" si="94"/>
        <v>208.79744153433245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0.83546482779053155</v>
      </c>
      <c r="CL125" s="21">
        <f>EXP(-LN(2)/25)*CL124+(1-EXP(-LN(2)/25))/(LN(2)/25)*Calculateur!CG125*Calculateur!CI125*VLOOKUP('Données projet'!$B$12,Paramètres!$A$1:$I$89,3,0)*0.475*44/12</f>
        <v>0.5006863645519436</v>
      </c>
      <c r="CM125" s="21">
        <f>EXP(-LN(2)/2)*CM124+(1-EXP(-LN(2)/2))/(LN(2)/2)*CG125*CJ125*VLOOKUP('Données projet'!$B$12,Paramètres!$A$1:$I$89,3,0)*0.475*44/12</f>
        <v>1.753062912973074E-14</v>
      </c>
      <c r="CN125" s="22">
        <f t="shared" si="66"/>
        <v>1.3361511923424927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3.813056537183002E-14</v>
      </c>
      <c r="CV125" s="13">
        <f t="shared" si="95"/>
        <v>6.4086286045526829E-13</v>
      </c>
      <c r="CW125" s="20">
        <f t="shared" si="67"/>
        <v>1.1825802166488628E-12</v>
      </c>
      <c r="CX125" s="59">
        <f t="shared" si="68"/>
        <v>293.33333333333451</v>
      </c>
      <c r="CY125" s="59">
        <f ca="1">AVERAGE(OFFSET($CX$3,0,0,'Données projet'!$E$13+1,1))-AVERAGE(OFFSET($H$3,0,0,'Données projet'!$E$13+1,1))</f>
        <v>181.32837315090507</v>
      </c>
      <c r="CZ125" s="59">
        <f t="shared" si="96"/>
        <v>175.03267817980338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0.88559271745796275</v>
      </c>
      <c r="DG125" s="21">
        <f>EXP(-LN(2)/25)*DG124+(1-EXP(-LN(2)/25))/(LN(2)/25)*Calculateur!DB125*Calculateur!DD125*VLOOKUP('Données projet'!$B$13,Paramètres!$A$1:$I$89,3,0)*0.475*44/12</f>
        <v>0.53072754642506026</v>
      </c>
      <c r="DH125" s="21">
        <f>EXP(-LN(2)/2)*DH124+(1-EXP(-LN(2)/2))/(LN(2)/2)*DB125*DE125*VLOOKUP('Données projet'!$B$13,Paramètres!$A$1:$I$89,3,0)*0.475*44/12</f>
        <v>1.507634105156843E-14</v>
      </c>
      <c r="DI125" s="22">
        <f t="shared" si="69"/>
        <v>1.4163202638830381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-2.8421709430404007E-13</v>
      </c>
      <c r="DP125" s="17">
        <f>DO125*VLOOKUP('Données projet'!$B$14,Paramètres!$A$1:$I$89,3,0)*VLOOKUP('Données projet'!$B$14,Paramètres!$A$1:$I$89,5,0)</f>
        <v>-2.2612312022829427E-13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325.72928944930294</v>
      </c>
      <c r="DU125" s="59">
        <f t="shared" si="98"/>
        <v>318.38876834819752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2.7998120556806803</v>
      </c>
      <c r="EB125" s="21">
        <f>EXP(-LN(2)/25)*EB124+(1-EXP(-LN(2)/25))/(LN(2)/25)*Calculateur!DW125*Calculateur!DY125*VLOOKUP('Données projet'!$B$14,Paramètres!$A$1:$I$89,3,0)*0.475*44/12</f>
        <v>1.6134579395634248</v>
      </c>
      <c r="EC125" s="21">
        <f>EXP(-LN(2)/2)*EC124+(1-EXP(-LN(2)/2))/(LN(2)/2)*DW125*DZ125*VLOOKUP('Données projet'!$B$14,Paramètres!$A$1:$I$89,3,0)*0.475*44/12</f>
        <v>1.6811044693673788E-13</v>
      </c>
      <c r="ED125" s="22">
        <f t="shared" si="72"/>
        <v>4.4132699952442733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-5.6843418860808015E-14</v>
      </c>
      <c r="EK125" s="17">
        <f>EJ125*VLOOKUP('Données projet'!$B$15,Paramètres!$A$1:$I$89,3,0)*VLOOKUP('Données projet'!$B$15,Paramètres!$A$1:$I$89,5,0)</f>
        <v>-5.7639226724859328E-14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384.50065773787549</v>
      </c>
      <c r="EP125" s="59">
        <f t="shared" si="100"/>
        <v>231.92898690465887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1.3244375142640494</v>
      </c>
      <c r="EW125" s="21">
        <f>EXP(-LN(2)/25)*EW124+(1-EXP(-LN(2)/25))/(LN(2)/25)*Calculateur!ER125*Calculateur!ET125*VLOOKUP('Données projet'!$B$15,Paramètres!$A$1:$I$89,3,0)*0.475*44/12</f>
        <v>0.81882654808050503</v>
      </c>
      <c r="EX125" s="21">
        <f>EXP(-LN(2)/2)*EX124+(1-EXP(-LN(2)/2))/(LN(2)/2)*ER125*EU125*VLOOKUP('Données projet'!$B$15,Paramètres!$A$1:$I$89,3,0)*0.475*44/12</f>
        <v>1.3592538424943474E-13</v>
      </c>
      <c r="EY125" s="22">
        <f t="shared" si="75"/>
        <v>2.1432640623446906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-1.5429577615577727E-13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326.46362829268969</v>
      </c>
      <c r="FK125" s="59">
        <f t="shared" si="102"/>
        <v>203.5274665601915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1.1818057819586891</v>
      </c>
      <c r="FR125" s="21">
        <f>EXP(-LN(2)/25)*FR124+(1-EXP(-LN(2)/25))/(LN(2)/25)*Calculateur!FM125*Calculateur!FO125*VLOOKUP('Données projet'!$B$16,Paramètres!$A$1:$I$89,3,0)*0.475*44/12</f>
        <v>0.73064522751798799</v>
      </c>
      <c r="FS125" s="21">
        <f>EXP(-LN(2)/2)*FS124+(1-EXP(-LN(2)/2))/(LN(2)/2)*FM125*FP125*VLOOKUP('Données projet'!$B$16,Paramètres!$A$1:$I$89,3,0)*0.475*44/12</f>
        <v>1.2128726594564946E-13</v>
      </c>
      <c r="FT125" s="22">
        <f t="shared" si="78"/>
        <v>1.9124510094767984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-1.7053025658242404E-13</v>
      </c>
      <c r="GA125" s="17">
        <f>FZ125*VLOOKUP('Données projet'!$B$17,Paramètres!$A$1:$I$89,3,0)*VLOOKUP('Données projet'!$B$17,Paramètres!$A$1:$I$89,5,0)</f>
        <v>-1.6493686416652052E-13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353.24082990916918</v>
      </c>
      <c r="GF125" s="59">
        <f t="shared" si="104"/>
        <v>219.76562717496353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1.2633096289903238</v>
      </c>
      <c r="GM125" s="21">
        <f>EXP(-LN(2)/25)*GM124+(1-EXP(-LN(2)/25))/(LN(2)/25)*Calculateur!GH125*Calculateur!GJ125*VLOOKUP('Données projet'!$B$17,Paramètres!$A$1:$I$89,3,0)*0.475*44/12</f>
        <v>0.78103455355371243</v>
      </c>
      <c r="GN125" s="21">
        <f>EXP(-LN(2)/2)*GN124+(1-EXP(-LN(2)/2))/(LN(2)/2)*GH125*GK125*VLOOKUP('Données projet'!$B$17,Paramètres!$A$1:$I$89,3,0)*0.475*44/12</f>
        <v>1.2965190497638394E-13</v>
      </c>
      <c r="GO125" s="21">
        <f t="shared" si="81"/>
        <v>2.0443441825441662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378.17323480030268</v>
      </c>
      <c r="T126" s="59">
        <f t="shared" si="88"/>
        <v>471.89239871617241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0.69830782165027461</v>
      </c>
      <c r="AA126" s="21">
        <f>EXP(-LN(2)/25)*AA125+(1-EXP(-LN(2)/25))/(LN(2)/25)*Calculateur!V126*Calculateur!X126*VLOOKUP('Données projet'!$B$9,Paramètres!$A$1:$I$89,3,0)*0.475*44/12</f>
        <v>1.5785592451606532</v>
      </c>
      <c r="AB126" s="21">
        <f>EXP(-LN(2)/2)*AB125+(1-EXP(-LN(2)/2))/(LN(2)/2)*V126*Y126*VLOOKUP('Données projet'!$B$9,Paramètres!$A$1:$I$89,3,0)*0.475*44/12</f>
        <v>1.051142075792266E-13</v>
      </c>
      <c r="AC126" s="22">
        <f t="shared" si="57"/>
        <v>2.2768670668110329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141.22849894256314</v>
      </c>
      <c r="AO126" s="59">
        <f t="shared" si="90"/>
        <v>156.12101479343704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1.1660644195157379</v>
      </c>
      <c r="AV126" s="21">
        <f>EXP(-LN(2)/25)*AV125+(1-EXP(-LN(2)/25))/(LN(2)/25)*Calculateur!AQ126*Calculateur!AS126*VLOOKUP('Données projet'!$B$10,Paramètres!$A$1:$I$89,3,0)*0.475*44/12</f>
        <v>0.45703340650657864</v>
      </c>
      <c r="AW126" s="21">
        <f>EXP(-LN(2)/2)*AW125+(1-EXP(-LN(2)/2))/(LN(2)/2)*AQ126*AT126*VLOOKUP('Données projet'!$B$10,Paramètres!$A$1:$I$89,3,0)*0.475*44/12</f>
        <v>2.9723443248057151E-14</v>
      </c>
      <c r="AX126" s="21">
        <f t="shared" si="60"/>
        <v>1.6230978260223463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114.25511901730295</v>
      </c>
      <c r="BJ126" s="59">
        <f t="shared" si="92"/>
        <v>180.96261947642182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0.54192536374409772</v>
      </c>
      <c r="BQ126" s="21">
        <f>EXP(-LN(2)/25)*BQ125+(1-EXP(-LN(2)/25))/(LN(2)/25)*Calculateur!BL126*Calculateur!BN126*VLOOKUP('Données projet'!$B$11,Paramètres!$A$1:$I$89,3,0)*0.475*44/12</f>
        <v>1.3519450222401932</v>
      </c>
      <c r="BR126" s="21">
        <f>EXP(-LN(2)/2)*BR125+(1-EXP(-LN(2)/2))/(LN(2)/2)*BL126*BO126*VLOOKUP('Données projet'!$B$11,Paramètres!$A$1:$I$89,3,0)*0.475*44/12</f>
        <v>6.8652607158113228E-14</v>
      </c>
      <c r="BS126" s="22">
        <f t="shared" si="63"/>
        <v>1.8938703859843595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4.4337866711430253E-14</v>
      </c>
      <c r="CA126" s="13">
        <f t="shared" si="93"/>
        <v>7.3222115536967035E-13</v>
      </c>
      <c r="CB126" s="20">
        <f t="shared" si="64"/>
        <v>1.3525069634579169E-12</v>
      </c>
      <c r="CC126" s="59">
        <f t="shared" si="65"/>
        <v>293.33333333333468</v>
      </c>
      <c r="CD126" s="59">
        <f ca="1">AVERAGE(OFFSET($CC$3,0,0,'Données projet'!$E$12+1,1))-AVERAGE(OFFSET($H$3,0,0,'Données projet'!$E$12+1,1))</f>
        <v>216.95993967070063</v>
      </c>
      <c r="CE126" s="59">
        <f t="shared" si="94"/>
        <v>208.79744153433245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0.81908187210078698</v>
      </c>
      <c r="CL126" s="21">
        <f>EXP(-LN(2)/25)*CL125+(1-EXP(-LN(2)/25))/(LN(2)/25)*Calculateur!CG126*Calculateur!CI126*VLOOKUP('Données projet'!$B$12,Paramètres!$A$1:$I$89,3,0)*0.475*44/12</f>
        <v>0.48699506958331912</v>
      </c>
      <c r="CM126" s="21">
        <f>EXP(-LN(2)/2)*CM125+(1-EXP(-LN(2)/2))/(LN(2)/2)*CG126*CJ126*VLOOKUP('Données projet'!$B$12,Paramètres!$A$1:$I$89,3,0)*0.475*44/12</f>
        <v>1.2396026736099031E-14</v>
      </c>
      <c r="CN126" s="22">
        <f t="shared" si="66"/>
        <v>1.3060769416841185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3.813056537183002E-14</v>
      </c>
      <c r="CV126" s="13">
        <f t="shared" si="95"/>
        <v>6.4086286045526829E-13</v>
      </c>
      <c r="CW126" s="20">
        <f t="shared" si="67"/>
        <v>1.1825802166488628E-12</v>
      </c>
      <c r="CX126" s="59">
        <f t="shared" si="68"/>
        <v>293.33333333333451</v>
      </c>
      <c r="CY126" s="59">
        <f ca="1">AVERAGE(OFFSET($CX$3,0,0,'Données projet'!$E$13+1,1))-AVERAGE(OFFSET($H$3,0,0,'Données projet'!$E$13+1,1))</f>
        <v>181.32837315090507</v>
      </c>
      <c r="CZ126" s="59">
        <f t="shared" si="96"/>
        <v>175.03267817980338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0.86822678442683354</v>
      </c>
      <c r="DG126" s="21">
        <f>EXP(-LN(2)/25)*DG125+(1-EXP(-LN(2)/25))/(LN(2)/25)*Calculateur!DB126*Calculateur!DD126*VLOOKUP('Données projet'!$B$13,Paramètres!$A$1:$I$89,3,0)*0.475*44/12</f>
        <v>0.51621477375831837</v>
      </c>
      <c r="DH126" s="21">
        <f>EXP(-LN(2)/2)*DH125+(1-EXP(-LN(2)/2))/(LN(2)/2)*DB126*DE126*VLOOKUP('Données projet'!$B$13,Paramètres!$A$1:$I$89,3,0)*0.475*44/12</f>
        <v>1.0660582993045162E-14</v>
      </c>
      <c r="DI126" s="22">
        <f t="shared" si="69"/>
        <v>1.3844415581851626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-2.8421709430404007E-13</v>
      </c>
      <c r="DP126" s="17">
        <f>DO126*VLOOKUP('Données projet'!$B$14,Paramètres!$A$1:$I$89,3,0)*VLOOKUP('Données projet'!$B$14,Paramètres!$A$1:$I$89,5,0)</f>
        <v>-2.2612312022829427E-13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325.72928944930294</v>
      </c>
      <c r="DU126" s="59">
        <f t="shared" si="98"/>
        <v>318.38876834819752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2.744909448985513</v>
      </c>
      <c r="EB126" s="21">
        <f>EXP(-LN(2)/25)*EB125+(1-EXP(-LN(2)/25))/(LN(2)/25)*Calculateur!DW126*Calculateur!DY126*VLOOKUP('Données projet'!$B$14,Paramètres!$A$1:$I$89,3,0)*0.475*44/12</f>
        <v>1.5693378473579975</v>
      </c>
      <c r="EC126" s="21">
        <f>EXP(-LN(2)/2)*EC125+(1-EXP(-LN(2)/2))/(LN(2)/2)*DW126*DZ126*VLOOKUP('Données projet'!$B$14,Paramètres!$A$1:$I$89,3,0)*0.475*44/12</f>
        <v>1.1887203701726861E-13</v>
      </c>
      <c r="ED126" s="22">
        <f t="shared" si="72"/>
        <v>4.3142472963436296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-5.6843418860808015E-14</v>
      </c>
      <c r="EK126" s="17">
        <f>EJ126*VLOOKUP('Données projet'!$B$15,Paramètres!$A$1:$I$89,3,0)*VLOOKUP('Données projet'!$B$15,Paramètres!$A$1:$I$89,5,0)</f>
        <v>-5.7639226724859328E-14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384.50065773787549</v>
      </c>
      <c r="EP126" s="59">
        <f t="shared" si="100"/>
        <v>231.92898690465887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1.2984661024364488</v>
      </c>
      <c r="EW126" s="21">
        <f>EXP(-LN(2)/25)*EW125+(1-EXP(-LN(2)/25))/(LN(2)/25)*Calculateur!ER126*Calculateur!ET126*VLOOKUP('Données projet'!$B$15,Paramètres!$A$1:$I$89,3,0)*0.475*44/12</f>
        <v>0.79643569306302686</v>
      </c>
      <c r="EX126" s="21">
        <f>EXP(-LN(2)/2)*EX125+(1-EXP(-LN(2)/2))/(LN(2)/2)*ER126*EU126*VLOOKUP('Données projet'!$B$15,Paramètres!$A$1:$I$89,3,0)*0.475*44/12</f>
        <v>9.6113760938162448E-14</v>
      </c>
      <c r="EY126" s="22">
        <f t="shared" si="75"/>
        <v>2.0949017954995717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-1.5429577615577727E-13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326.46362829268969</v>
      </c>
      <c r="FK126" s="59">
        <f t="shared" si="102"/>
        <v>203.5274665601915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1.1586312914048302</v>
      </c>
      <c r="FR126" s="21">
        <f>EXP(-LN(2)/25)*FR125+(1-EXP(-LN(2)/25))/(LN(2)/25)*Calculateur!FM126*Calculateur!FO126*VLOOKUP('Données projet'!$B$16,Paramètres!$A$1:$I$89,3,0)*0.475*44/12</f>
        <v>0.71066569534854596</v>
      </c>
      <c r="FS126" s="21">
        <f>EXP(-LN(2)/2)*FS125+(1-EXP(-LN(2)/2))/(LN(2)/2)*FM126*FP126*VLOOKUP('Données projet'!$B$16,Paramètres!$A$1:$I$89,3,0)*0.475*44/12</f>
        <v>8.576304822174495E-14</v>
      </c>
      <c r="FT126" s="22">
        <f t="shared" si="78"/>
        <v>1.8692969867534619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-1.7053025658242404E-13</v>
      </c>
      <c r="GA126" s="17">
        <f>FZ126*VLOOKUP('Données projet'!$B$17,Paramètres!$A$1:$I$89,3,0)*VLOOKUP('Données projet'!$B$17,Paramètres!$A$1:$I$89,5,0)</f>
        <v>-1.6493686416652052E-13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353.24082990916918</v>
      </c>
      <c r="GF126" s="59">
        <f t="shared" si="104"/>
        <v>219.76562717496353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1.2385368977086124</v>
      </c>
      <c r="GM126" s="21">
        <f>EXP(-LN(2)/25)*GM125+(1-EXP(-LN(2)/25))/(LN(2)/25)*Calculateur!GH126*Calculateur!GJ126*VLOOKUP('Données projet'!$B$17,Paramètres!$A$1:$I$89,3,0)*0.475*44/12</f>
        <v>0.75967712261396403</v>
      </c>
      <c r="GN126" s="21">
        <f>EXP(-LN(2)/2)*GN125+(1-EXP(-LN(2)/2))/(LN(2)/2)*GH126*GK126*VLOOKUP('Données projet'!$B$17,Paramètres!$A$1:$I$89,3,0)*0.475*44/12</f>
        <v>9.1677741202554972E-14</v>
      </c>
      <c r="GO126" s="21">
        <f t="shared" si="81"/>
        <v>1.9982140203226681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378.17323480030268</v>
      </c>
      <c r="T127" s="59">
        <f t="shared" si="88"/>
        <v>471.89239871617241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0.68461443119342724</v>
      </c>
      <c r="AA127" s="21">
        <f>EXP(-LN(2)/25)*AA126+(1-EXP(-LN(2)/25))/(LN(2)/25)*Calculateur!V127*Calculateur!X127*VLOOKUP('Données projet'!$B$9,Paramètres!$A$1:$I$89,3,0)*0.475*44/12</f>
        <v>1.5353934595889123</v>
      </c>
      <c r="AB127" s="21">
        <f>EXP(-LN(2)/2)*AB126+(1-EXP(-LN(2)/2))/(LN(2)/2)*V127*Y127*VLOOKUP('Données projet'!$B$9,Paramètres!$A$1:$I$89,3,0)*0.475*44/12</f>
        <v>7.4326968978321516E-14</v>
      </c>
      <c r="AC127" s="22">
        <f t="shared" si="57"/>
        <v>2.2200078907824135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141.22849894256314</v>
      </c>
      <c r="AO127" s="59">
        <f t="shared" si="90"/>
        <v>156.12101479343704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1.1431986074781022</v>
      </c>
      <c r="AV127" s="21">
        <f>EXP(-LN(2)/25)*AV126+(1-EXP(-LN(2)/25))/(LN(2)/25)*Calculateur!AQ127*Calculateur!AS127*VLOOKUP('Données projet'!$B$10,Paramètres!$A$1:$I$89,3,0)*0.475*44/12</f>
        <v>0.44453580397131398</v>
      </c>
      <c r="AW127" s="21">
        <f>EXP(-LN(2)/2)*AW126+(1-EXP(-LN(2)/2))/(LN(2)/2)*AQ127*AT127*VLOOKUP('Données projet'!$B$10,Paramètres!$A$1:$I$89,3,0)*0.475*44/12</f>
        <v>2.1017648280914712E-14</v>
      </c>
      <c r="AX127" s="21">
        <f t="shared" si="60"/>
        <v>1.5877344114494372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114.25511901730295</v>
      </c>
      <c r="BJ127" s="59">
        <f t="shared" si="92"/>
        <v>180.96261947642182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0.5312985379029096</v>
      </c>
      <c r="BQ127" s="21">
        <f>EXP(-LN(2)/25)*BQ126+(1-EXP(-LN(2)/25))/(LN(2)/25)*Calculateur!BL127*Calculateur!BN127*VLOOKUP('Données projet'!$B$11,Paramètres!$A$1:$I$89,3,0)*0.475*44/12</f>
        <v>1.3149760145113363</v>
      </c>
      <c r="BR127" s="21">
        <f>EXP(-LN(2)/2)*BR126+(1-EXP(-LN(2)/2))/(LN(2)/2)*BL127*BO127*VLOOKUP('Données projet'!$B$11,Paramètres!$A$1:$I$89,3,0)*0.475*44/12</f>
        <v>4.8544724067637977E-14</v>
      </c>
      <c r="BS127" s="22">
        <f t="shared" si="63"/>
        <v>1.8462745524142945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4.4337866711430253E-14</v>
      </c>
      <c r="CA127" s="13">
        <f t="shared" si="93"/>
        <v>7.3222115536967035E-13</v>
      </c>
      <c r="CB127" s="20">
        <f t="shared" si="64"/>
        <v>1.3525069634579169E-12</v>
      </c>
      <c r="CC127" s="59">
        <f t="shared" si="65"/>
        <v>293.33333333333468</v>
      </c>
      <c r="CD127" s="59">
        <f ca="1">AVERAGE(OFFSET($CC$3,0,0,'Données projet'!$E$12+1,1))-AVERAGE(OFFSET($H$3,0,0,'Données projet'!$E$12+1,1))</f>
        <v>216.95993967070063</v>
      </c>
      <c r="CE127" s="59">
        <f t="shared" si="94"/>
        <v>208.79744153433245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0.80302017617950205</v>
      </c>
      <c r="CL127" s="21">
        <f>EXP(-LN(2)/25)*CL126+(1-EXP(-LN(2)/25))/(LN(2)/25)*Calculateur!CG127*Calculateur!CI127*VLOOKUP('Données projet'!$B$12,Paramètres!$A$1:$I$89,3,0)*0.475*44/12</f>
        <v>0.47367816379560557</v>
      </c>
      <c r="CM127" s="21">
        <f>EXP(-LN(2)/2)*CM126+(1-EXP(-LN(2)/2))/(LN(2)/2)*CG127*CJ127*VLOOKUP('Données projet'!$B$12,Paramètres!$A$1:$I$89,3,0)*0.475*44/12</f>
        <v>8.7653145648653702E-15</v>
      </c>
      <c r="CN127" s="22">
        <f t="shared" si="66"/>
        <v>1.2766983399751164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3.813056537183002E-14</v>
      </c>
      <c r="CV127" s="13">
        <f t="shared" si="95"/>
        <v>6.4086286045526829E-13</v>
      </c>
      <c r="CW127" s="20">
        <f t="shared" si="67"/>
        <v>1.1825802166488628E-12</v>
      </c>
      <c r="CX127" s="59">
        <f t="shared" si="68"/>
        <v>293.33333333333451</v>
      </c>
      <c r="CY127" s="59">
        <f ca="1">AVERAGE(OFFSET($CX$3,0,0,'Données projet'!$E$13+1,1))-AVERAGE(OFFSET($H$3,0,0,'Données projet'!$E$13+1,1))</f>
        <v>181.32837315090507</v>
      </c>
      <c r="CZ127" s="59">
        <f t="shared" si="96"/>
        <v>175.03267817980338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0.85120138675027157</v>
      </c>
      <c r="DG127" s="21">
        <f>EXP(-LN(2)/25)*DG126+(1-EXP(-LN(2)/25))/(LN(2)/25)*Calculateur!DB127*Calculateur!DD127*VLOOKUP('Données projet'!$B$13,Paramètres!$A$1:$I$89,3,0)*0.475*44/12</f>
        <v>0.50209885362334206</v>
      </c>
      <c r="DH127" s="21">
        <f>EXP(-LN(2)/2)*DH126+(1-EXP(-LN(2)/2))/(LN(2)/2)*DB127*DE127*VLOOKUP('Données projet'!$B$13,Paramètres!$A$1:$I$89,3,0)*0.475*44/12</f>
        <v>7.5381705257842152E-15</v>
      </c>
      <c r="DI127" s="22">
        <f t="shared" si="69"/>
        <v>1.3533002403736212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-2.8421709430404007E-13</v>
      </c>
      <c r="DP127" s="17">
        <f>DO127*VLOOKUP('Données projet'!$B$14,Paramètres!$A$1:$I$89,3,0)*VLOOKUP('Données projet'!$B$14,Paramètres!$A$1:$I$89,5,0)</f>
        <v>-2.2612312022829427E-13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325.72928944930294</v>
      </c>
      <c r="DU127" s="59">
        <f t="shared" si="98"/>
        <v>318.38876834819752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2.6910834489203546</v>
      </c>
      <c r="EB127" s="21">
        <f>EXP(-LN(2)/25)*EB126+(1-EXP(-LN(2)/25))/(LN(2)/25)*Calculateur!DW127*Calculateur!DY127*VLOOKUP('Données projet'!$B$14,Paramètres!$A$1:$I$89,3,0)*0.475*44/12</f>
        <v>1.5264242213941024</v>
      </c>
      <c r="EC127" s="21">
        <f>EXP(-LN(2)/2)*EC126+(1-EXP(-LN(2)/2))/(LN(2)/2)*DW127*DZ127*VLOOKUP('Données projet'!$B$14,Paramètres!$A$1:$I$89,3,0)*0.475*44/12</f>
        <v>8.4055223468368939E-14</v>
      </c>
      <c r="ED127" s="22">
        <f t="shared" si="72"/>
        <v>4.2175076703145411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-5.6843418860808015E-14</v>
      </c>
      <c r="EK127" s="17">
        <f>EJ127*VLOOKUP('Données projet'!$B$15,Paramètres!$A$1:$I$89,3,0)*VLOOKUP('Données projet'!$B$15,Paramètres!$A$1:$I$89,5,0)</f>
        <v>-5.7639226724859328E-14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384.50065773787549</v>
      </c>
      <c r="EP127" s="59">
        <f t="shared" si="100"/>
        <v>231.92898690465887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1.2730039741537904</v>
      </c>
      <c r="EW127" s="21">
        <f>EXP(-LN(2)/25)*EW126+(1-EXP(-LN(2)/25))/(LN(2)/25)*Calculateur!ER127*Calculateur!ET127*VLOOKUP('Données projet'!$B$15,Paramètres!$A$1:$I$89,3,0)*0.475*44/12</f>
        <v>0.77465711715348562</v>
      </c>
      <c r="EX127" s="21">
        <f>EXP(-LN(2)/2)*EX126+(1-EXP(-LN(2)/2))/(LN(2)/2)*ER127*EU127*VLOOKUP('Données projet'!$B$15,Paramètres!$A$1:$I$89,3,0)*0.475*44/12</f>
        <v>6.7962692124717372E-14</v>
      </c>
      <c r="EY127" s="22">
        <f t="shared" si="75"/>
        <v>2.0476610913073441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-1.5429577615577727E-13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326.46362829268969</v>
      </c>
      <c r="FK127" s="59">
        <f t="shared" si="102"/>
        <v>203.5274665601915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1.1359112384756889</v>
      </c>
      <c r="FR127" s="21">
        <f>EXP(-LN(2)/25)*FR126+(1-EXP(-LN(2)/25))/(LN(2)/25)*Calculateur!FM127*Calculateur!FO127*VLOOKUP('Données projet'!$B$16,Paramètres!$A$1:$I$89,3,0)*0.475*44/12</f>
        <v>0.69123250453695528</v>
      </c>
      <c r="FS127" s="21">
        <f>EXP(-LN(2)/2)*FS126+(1-EXP(-LN(2)/2))/(LN(2)/2)*FM127*FP127*VLOOKUP('Données projet'!$B$16,Paramètres!$A$1:$I$89,3,0)*0.475*44/12</f>
        <v>6.0643632972824729E-14</v>
      </c>
      <c r="FT127" s="22">
        <f t="shared" si="78"/>
        <v>1.8271437430127049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-1.7053025658242404E-13</v>
      </c>
      <c r="GA127" s="17">
        <f>FZ127*VLOOKUP('Données projet'!$B$17,Paramètres!$A$1:$I$89,3,0)*VLOOKUP('Données projet'!$B$17,Paramètres!$A$1:$I$89,5,0)</f>
        <v>-1.6493686416652052E-13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353.24082990916918</v>
      </c>
      <c r="GF127" s="59">
        <f t="shared" si="104"/>
        <v>219.76562717496353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1.2142499445774613</v>
      </c>
      <c r="GM127" s="21">
        <f>EXP(-LN(2)/25)*GM126+(1-EXP(-LN(2)/25))/(LN(2)/25)*Calculateur!GH127*Calculateur!GJ127*VLOOKUP('Données projet'!$B$17,Paramètres!$A$1:$I$89,3,0)*0.475*44/12</f>
        <v>0.73890371174640157</v>
      </c>
      <c r="GN127" s="21">
        <f>EXP(-LN(2)/2)*GN126+(1-EXP(-LN(2)/2))/(LN(2)/2)*GH127*GK127*VLOOKUP('Données projet'!$B$17,Paramètres!$A$1:$I$89,3,0)*0.475*44/12</f>
        <v>6.482595248819197E-14</v>
      </c>
      <c r="GO127" s="21">
        <f t="shared" si="81"/>
        <v>1.9531536563239276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378.17323480030268</v>
      </c>
      <c r="T128" s="59">
        <f t="shared" si="88"/>
        <v>471.89239871617241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0.67118955977129524</v>
      </c>
      <c r="AA128" s="21">
        <f>EXP(-LN(2)/25)*AA127+(1-EXP(-LN(2)/25))/(LN(2)/25)*Calculateur!V128*Calculateur!X128*VLOOKUP('Données projet'!$B$9,Paramètres!$A$1:$I$89,3,0)*0.475*44/12</f>
        <v>1.4934080446936207</v>
      </c>
      <c r="AB128" s="21">
        <f>EXP(-LN(2)/2)*AB127+(1-EXP(-LN(2)/2))/(LN(2)/2)*V128*Y128*VLOOKUP('Données projet'!$B$9,Paramètres!$A$1:$I$89,3,0)*0.475*44/12</f>
        <v>5.2557103789613299E-14</v>
      </c>
      <c r="AC128" s="22">
        <f t="shared" si="57"/>
        <v>2.1645976044649684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141.22849894256314</v>
      </c>
      <c r="AO128" s="59">
        <f t="shared" si="90"/>
        <v>156.12101479343704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1.1207811800677563</v>
      </c>
      <c r="AV128" s="21">
        <f>EXP(-LN(2)/25)*AV127+(1-EXP(-LN(2)/25))/(LN(2)/25)*Calculateur!AQ128*Calculateur!AS128*VLOOKUP('Données projet'!$B$10,Paramètres!$A$1:$I$89,3,0)*0.475*44/12</f>
        <v>0.43237994903459648</v>
      </c>
      <c r="AW128" s="21">
        <f>EXP(-LN(2)/2)*AW127+(1-EXP(-LN(2)/2))/(LN(2)/2)*AQ128*AT128*VLOOKUP('Données projet'!$B$10,Paramètres!$A$1:$I$89,3,0)*0.475*44/12</f>
        <v>1.4861721624028576E-14</v>
      </c>
      <c r="AX128" s="21">
        <f t="shared" si="60"/>
        <v>1.5531611291023677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114.25511901730295</v>
      </c>
      <c r="BJ128" s="59">
        <f t="shared" si="92"/>
        <v>180.96261947642182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0.52088009763474341</v>
      </c>
      <c r="BQ128" s="21">
        <f>EXP(-LN(2)/25)*BQ127+(1-EXP(-LN(2)/25))/(LN(2)/25)*Calculateur!BL128*Calculateur!BN128*VLOOKUP('Données projet'!$B$11,Paramètres!$A$1:$I$89,3,0)*0.475*44/12</f>
        <v>1.2790179262429406</v>
      </c>
      <c r="BR128" s="21">
        <f>EXP(-LN(2)/2)*BR127+(1-EXP(-LN(2)/2))/(LN(2)/2)*BL128*BO128*VLOOKUP('Données projet'!$B$11,Paramètres!$A$1:$I$89,3,0)*0.475*44/12</f>
        <v>3.4326303579056614E-14</v>
      </c>
      <c r="BS128" s="22">
        <f t="shared" si="63"/>
        <v>1.7998980238777185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4.4337866711430253E-14</v>
      </c>
      <c r="CA128" s="13">
        <f t="shared" si="93"/>
        <v>7.3222115536967035E-13</v>
      </c>
      <c r="CB128" s="20">
        <f t="shared" si="64"/>
        <v>1.3525069634579169E-12</v>
      </c>
      <c r="CC128" s="59">
        <f t="shared" si="65"/>
        <v>293.33333333333468</v>
      </c>
      <c r="CD128" s="59">
        <f ca="1">AVERAGE(OFFSET($CC$3,0,0,'Données projet'!$E$12+1,1))-AVERAGE(OFFSET($H$3,0,0,'Données projet'!$E$12+1,1))</f>
        <v>216.95993967070063</v>
      </c>
      <c r="CE128" s="59">
        <f t="shared" si="94"/>
        <v>208.79744153433245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0.78727344031856639</v>
      </c>
      <c r="CL128" s="21">
        <f>EXP(-LN(2)/25)*CL127+(1-EXP(-LN(2)/25))/(LN(2)/25)*Calculateur!CG128*Calculateur!CI128*VLOOKUP('Données projet'!$B$12,Paramètres!$A$1:$I$89,3,0)*0.475*44/12</f>
        <v>0.46072540949696272</v>
      </c>
      <c r="CM128" s="21">
        <f>EXP(-LN(2)/2)*CM127+(1-EXP(-LN(2)/2))/(LN(2)/2)*CG128*CJ128*VLOOKUP('Données projet'!$B$12,Paramètres!$A$1:$I$89,3,0)*0.475*44/12</f>
        <v>6.1980133680495155E-15</v>
      </c>
      <c r="CN128" s="22">
        <f t="shared" si="66"/>
        <v>1.2479988498155352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3.813056537183002E-14</v>
      </c>
      <c r="CV128" s="13">
        <f t="shared" si="95"/>
        <v>6.4086286045526829E-13</v>
      </c>
      <c r="CW128" s="20">
        <f t="shared" si="67"/>
        <v>1.1825802166488628E-12</v>
      </c>
      <c r="CX128" s="59">
        <f t="shared" si="68"/>
        <v>293.33333333333451</v>
      </c>
      <c r="CY128" s="59">
        <f ca="1">AVERAGE(OFFSET($CX$3,0,0,'Données projet'!$E$13+1,1))-AVERAGE(OFFSET($H$3,0,0,'Données projet'!$E$13+1,1))</f>
        <v>181.32837315090507</v>
      </c>
      <c r="CZ128" s="59">
        <f t="shared" si="96"/>
        <v>175.03267817980338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0.83450984673767969</v>
      </c>
      <c r="DG128" s="21">
        <f>EXP(-LN(2)/25)*DG127+(1-EXP(-LN(2)/25))/(LN(2)/25)*Calculateur!DB128*Calculateur!DD128*VLOOKUP('Données projet'!$B$13,Paramètres!$A$1:$I$89,3,0)*0.475*44/12</f>
        <v>0.48836893406678061</v>
      </c>
      <c r="DH128" s="21">
        <f>EXP(-LN(2)/2)*DH127+(1-EXP(-LN(2)/2))/(LN(2)/2)*DB128*DE128*VLOOKUP('Données projet'!$B$13,Paramètres!$A$1:$I$89,3,0)*0.475*44/12</f>
        <v>5.330291496522581E-15</v>
      </c>
      <c r="DI128" s="22">
        <f t="shared" si="69"/>
        <v>1.3228787808044657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-2.8421709430404007E-13</v>
      </c>
      <c r="DP128" s="17">
        <f>DO128*VLOOKUP('Données projet'!$B$14,Paramètres!$A$1:$I$89,3,0)*VLOOKUP('Données projet'!$B$14,Paramètres!$A$1:$I$89,5,0)</f>
        <v>-2.2612312022829427E-13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325.72928944930294</v>
      </c>
      <c r="DU128" s="59">
        <f t="shared" si="98"/>
        <v>318.38876834819752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2.6383129438858557</v>
      </c>
      <c r="EB128" s="21">
        <f>EXP(-LN(2)/25)*EB127+(1-EXP(-LN(2)/25))/(LN(2)/25)*Calculateur!DW128*Calculateur!DY128*VLOOKUP('Données projet'!$B$14,Paramètres!$A$1:$I$89,3,0)*0.475*44/12</f>
        <v>1.4846840707889195</v>
      </c>
      <c r="EC128" s="21">
        <f>EXP(-LN(2)/2)*EC127+(1-EXP(-LN(2)/2))/(LN(2)/2)*DW128*DZ128*VLOOKUP('Données projet'!$B$14,Paramètres!$A$1:$I$89,3,0)*0.475*44/12</f>
        <v>5.9436018508634307E-14</v>
      </c>
      <c r="ED128" s="22">
        <f t="shared" si="72"/>
        <v>4.1229970146748345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-5.6843418860808015E-14</v>
      </c>
      <c r="EK128" s="17">
        <f>EJ128*VLOOKUP('Données projet'!$B$15,Paramètres!$A$1:$I$89,3,0)*VLOOKUP('Données projet'!$B$15,Paramètres!$A$1:$I$89,5,0)</f>
        <v>-5.7639226724859328E-14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384.50065773787549</v>
      </c>
      <c r="EP128" s="59">
        <f t="shared" si="100"/>
        <v>231.92898690465887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1.2480411426763902</v>
      </c>
      <c r="EW128" s="21">
        <f>EXP(-LN(2)/25)*EW127+(1-EXP(-LN(2)/25))/(LN(2)/25)*Calculateur!ER128*Calculateur!ET128*VLOOKUP('Données projet'!$B$15,Paramètres!$A$1:$I$89,3,0)*0.475*44/12</f>
        <v>0.75347407754747631</v>
      </c>
      <c r="EX128" s="21">
        <f>EXP(-LN(2)/2)*EX127+(1-EXP(-LN(2)/2))/(LN(2)/2)*ER128*EU128*VLOOKUP('Données projet'!$B$15,Paramètres!$A$1:$I$89,3,0)*0.475*44/12</f>
        <v>4.8056880469081224E-14</v>
      </c>
      <c r="EY128" s="22">
        <f t="shared" si="75"/>
        <v>2.0015152202239146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-1.5429577615577727E-13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326.46362829268969</v>
      </c>
      <c r="FK128" s="59">
        <f t="shared" si="102"/>
        <v>203.5274665601915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1.1136367119266242</v>
      </c>
      <c r="FR128" s="21">
        <f>EXP(-LN(2)/25)*FR127+(1-EXP(-LN(2)/25))/(LN(2)/25)*Calculateur!FM128*Calculateur!FO128*VLOOKUP('Données projet'!$B$16,Paramètres!$A$1:$I$89,3,0)*0.475*44/12</f>
        <v>0.67233071535005462</v>
      </c>
      <c r="FS128" s="21">
        <f>EXP(-LN(2)/2)*FS127+(1-EXP(-LN(2)/2))/(LN(2)/2)*FM128*FP128*VLOOKUP('Données projet'!$B$16,Paramètres!$A$1:$I$89,3,0)*0.475*44/12</f>
        <v>4.2881524110872475E-14</v>
      </c>
      <c r="FT128" s="22">
        <f t="shared" si="78"/>
        <v>1.7859674272767216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-1.7053025658242404E-13</v>
      </c>
      <c r="GA128" s="17">
        <f>FZ128*VLOOKUP('Données projet'!$B$17,Paramètres!$A$1:$I$89,3,0)*VLOOKUP('Données projet'!$B$17,Paramètres!$A$1:$I$89,5,0)</f>
        <v>-1.6493686416652052E-13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353.24082990916918</v>
      </c>
      <c r="GF128" s="59">
        <f t="shared" si="104"/>
        <v>219.76562717496353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1.1904392437836333</v>
      </c>
      <c r="GM128" s="21">
        <f>EXP(-LN(2)/25)*GM127+(1-EXP(-LN(2)/25))/(LN(2)/25)*Calculateur!GH128*Calculateur!GJ128*VLOOKUP('Données projet'!$B$17,Paramètres!$A$1:$I$89,3,0)*0.475*44/12</f>
        <v>0.71869835089143885</v>
      </c>
      <c r="GN128" s="21">
        <f>EXP(-LN(2)/2)*GN127+(1-EXP(-LN(2)/2))/(LN(2)/2)*GH128*GK128*VLOOKUP('Données projet'!$B$17,Paramètres!$A$1:$I$89,3,0)*0.475*44/12</f>
        <v>4.5838870601277486E-14</v>
      </c>
      <c r="GO128" s="21">
        <f t="shared" si="81"/>
        <v>1.9091375946751179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378.17323480030268</v>
      </c>
      <c r="T129" s="59">
        <f t="shared" si="88"/>
        <v>471.89239871617241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0.65802794188938818</v>
      </c>
      <c r="AA129" s="21">
        <f>EXP(-LN(2)/25)*AA128+(1-EXP(-LN(2)/25))/(LN(2)/25)*Calculateur!V129*Calculateur!X129*VLOOKUP('Données projet'!$B$9,Paramètres!$A$1:$I$89,3,0)*0.475*44/12</f>
        <v>1.4525707231765577</v>
      </c>
      <c r="AB129" s="21">
        <f>EXP(-LN(2)/2)*AB128+(1-EXP(-LN(2)/2))/(LN(2)/2)*V129*Y129*VLOOKUP('Données projet'!$B$9,Paramètres!$A$1:$I$89,3,0)*0.475*44/12</f>
        <v>3.7163484489160758E-14</v>
      </c>
      <c r="AC129" s="22">
        <f t="shared" si="57"/>
        <v>2.1105986650659831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141.22849894256314</v>
      </c>
      <c r="AO129" s="59">
        <f t="shared" si="90"/>
        <v>156.12101479343704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1.0988033447356467</v>
      </c>
      <c r="AV129" s="21">
        <f>EXP(-LN(2)/25)*AV128+(1-EXP(-LN(2)/25))/(LN(2)/25)*Calculateur!AQ129*Calculateur!AS129*VLOOKUP('Données projet'!$B$10,Paramètres!$A$1:$I$89,3,0)*0.475*44/12</f>
        <v>0.42055649659037214</v>
      </c>
      <c r="AW129" s="21">
        <f>EXP(-LN(2)/2)*AW128+(1-EXP(-LN(2)/2))/(LN(2)/2)*AQ129*AT129*VLOOKUP('Données projet'!$B$10,Paramètres!$A$1:$I$89,3,0)*0.475*44/12</f>
        <v>1.0508824140457356E-14</v>
      </c>
      <c r="AX129" s="21">
        <f t="shared" si="60"/>
        <v>1.5193598413260292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114.25511901730295</v>
      </c>
      <c r="BJ129" s="59">
        <f t="shared" si="92"/>
        <v>180.96261947642182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0.51066595662561487</v>
      </c>
      <c r="BQ129" s="21">
        <f>EXP(-LN(2)/25)*BQ128+(1-EXP(-LN(2)/25))/(LN(2)/25)*Calculateur!BL129*Calculateur!BN129*VLOOKUP('Données projet'!$B$11,Paramètres!$A$1:$I$89,3,0)*0.475*44/12</f>
        <v>1.2440431137891979</v>
      </c>
      <c r="BR129" s="21">
        <f>EXP(-LN(2)/2)*BR128+(1-EXP(-LN(2)/2))/(LN(2)/2)*BL129*BO129*VLOOKUP('Données projet'!$B$11,Paramètres!$A$1:$I$89,3,0)*0.475*44/12</f>
        <v>2.4272362033818989E-14</v>
      </c>
      <c r="BS129" s="22">
        <f t="shared" si="63"/>
        <v>1.7547090704148369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4.4337866711430253E-14</v>
      </c>
      <c r="CA129" s="13">
        <f t="shared" si="93"/>
        <v>7.3222115536967035E-13</v>
      </c>
      <c r="CB129" s="20">
        <f t="shared" si="64"/>
        <v>1.3525069634579169E-12</v>
      </c>
      <c r="CC129" s="59">
        <f t="shared" si="65"/>
        <v>293.33333333333468</v>
      </c>
      <c r="CD129" s="59">
        <f ca="1">AVERAGE(OFFSET($CC$3,0,0,'Données projet'!$E$12+1,1))-AVERAGE(OFFSET($H$3,0,0,'Données projet'!$E$12+1,1))</f>
        <v>216.95993967070063</v>
      </c>
      <c r="CE129" s="59">
        <f t="shared" si="94"/>
        <v>208.79744153433245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0.77183548834330318</v>
      </c>
      <c r="CL129" s="21">
        <f>EXP(-LN(2)/25)*CL128+(1-EXP(-LN(2)/25))/(LN(2)/25)*Calculateur!CG129*Calculateur!CI129*VLOOKUP('Données projet'!$B$12,Paramètres!$A$1:$I$89,3,0)*0.475*44/12</f>
        <v>0.44812684894577198</v>
      </c>
      <c r="CM129" s="21">
        <f>EXP(-LN(2)/2)*CM128+(1-EXP(-LN(2)/2))/(LN(2)/2)*CG129*CJ129*VLOOKUP('Données projet'!$B$12,Paramètres!$A$1:$I$89,3,0)*0.475*44/12</f>
        <v>4.3826572824326851E-15</v>
      </c>
      <c r="CN129" s="22">
        <f t="shared" si="66"/>
        <v>1.2199623372890795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3.813056537183002E-14</v>
      </c>
      <c r="CV129" s="13">
        <f t="shared" si="95"/>
        <v>6.4086286045526829E-13</v>
      </c>
      <c r="CW129" s="20">
        <f t="shared" si="67"/>
        <v>1.1825802166488628E-12</v>
      </c>
      <c r="CX129" s="59">
        <f t="shared" si="68"/>
        <v>293.33333333333451</v>
      </c>
      <c r="CY129" s="59">
        <f ca="1">AVERAGE(OFFSET($CX$3,0,0,'Données projet'!$E$13+1,1))-AVERAGE(OFFSET($H$3,0,0,'Données projet'!$E$13+1,1))</f>
        <v>181.32837315090507</v>
      </c>
      <c r="CZ129" s="59">
        <f t="shared" si="96"/>
        <v>175.03267817980338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0.8181456176439007</v>
      </c>
      <c r="DG129" s="21">
        <f>EXP(-LN(2)/25)*DG128+(1-EXP(-LN(2)/25))/(LN(2)/25)*Calculateur!DB129*Calculateur!DD129*VLOOKUP('Données projet'!$B$13,Paramètres!$A$1:$I$89,3,0)*0.475*44/12</f>
        <v>0.47501445988251845</v>
      </c>
      <c r="DH129" s="21">
        <f>EXP(-LN(2)/2)*DH128+(1-EXP(-LN(2)/2))/(LN(2)/2)*DB129*DE129*VLOOKUP('Données projet'!$B$13,Paramètres!$A$1:$I$89,3,0)*0.475*44/12</f>
        <v>3.7690852628921076E-15</v>
      </c>
      <c r="DI129" s="22">
        <f t="shared" si="69"/>
        <v>1.2931600775264229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-2.8421709430404007E-13</v>
      </c>
      <c r="DP129" s="17">
        <f>DO129*VLOOKUP('Données projet'!$B$14,Paramètres!$A$1:$I$89,3,0)*VLOOKUP('Données projet'!$B$14,Paramètres!$A$1:$I$89,5,0)</f>
        <v>-2.2612312022829427E-13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325.72928944930294</v>
      </c>
      <c r="DU129" s="59">
        <f t="shared" si="98"/>
        <v>318.38876834819752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2.5865772362682535</v>
      </c>
      <c r="EB129" s="21">
        <f>EXP(-LN(2)/25)*EB128+(1-EXP(-LN(2)/25))/(LN(2)/25)*Calculateur!DW129*Calculateur!DY129*VLOOKUP('Données projet'!$B$14,Paramètres!$A$1:$I$89,3,0)*0.475*44/12</f>
        <v>1.4440853067970545</v>
      </c>
      <c r="EC129" s="21">
        <f>EXP(-LN(2)/2)*EC128+(1-EXP(-LN(2)/2))/(LN(2)/2)*DW129*DZ129*VLOOKUP('Données projet'!$B$14,Paramètres!$A$1:$I$89,3,0)*0.475*44/12</f>
        <v>4.202761173418447E-14</v>
      </c>
      <c r="ED129" s="22">
        <f t="shared" si="72"/>
        <v>4.0306625430653495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-5.6843418860808015E-14</v>
      </c>
      <c r="EK129" s="17">
        <f>EJ129*VLOOKUP('Données projet'!$B$15,Paramètres!$A$1:$I$89,3,0)*VLOOKUP('Données projet'!$B$15,Paramètres!$A$1:$I$89,5,0)</f>
        <v>-5.7639226724859328E-14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384.50065773787549</v>
      </c>
      <c r="EP129" s="59">
        <f t="shared" si="100"/>
        <v>231.92898690465887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1.2235678170984381</v>
      </c>
      <c r="EW129" s="21">
        <f>EXP(-LN(2)/25)*EW128+(1-EXP(-LN(2)/25))/(LN(2)/25)*Calculateur!ER129*Calculateur!ET129*VLOOKUP('Données projet'!$B$15,Paramètres!$A$1:$I$89,3,0)*0.475*44/12</f>
        <v>0.73287028927346087</v>
      </c>
      <c r="EX129" s="21">
        <f>EXP(-LN(2)/2)*EX128+(1-EXP(-LN(2)/2))/(LN(2)/2)*ER129*EU129*VLOOKUP('Données projet'!$B$15,Paramètres!$A$1:$I$89,3,0)*0.475*44/12</f>
        <v>3.3981346062358686E-14</v>
      </c>
      <c r="EY129" s="22">
        <f t="shared" si="75"/>
        <v>1.9564381063719329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-1.5429577615577727E-13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326.46362829268969</v>
      </c>
      <c r="FK129" s="59">
        <f t="shared" si="102"/>
        <v>203.5274665601915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1.0917989752570669</v>
      </c>
      <c r="FR129" s="21">
        <f>EXP(-LN(2)/25)*FR128+(1-EXP(-LN(2)/25))/(LN(2)/25)*Calculateur!FM129*Calculateur!FO129*VLOOKUP('Données projet'!$B$16,Paramètres!$A$1:$I$89,3,0)*0.475*44/12</f>
        <v>0.65394579658247165</v>
      </c>
      <c r="FS129" s="21">
        <f>EXP(-LN(2)/2)*FS128+(1-EXP(-LN(2)/2))/(LN(2)/2)*FM129*FP129*VLOOKUP('Données projet'!$B$16,Paramètres!$A$1:$I$89,3,0)*0.475*44/12</f>
        <v>3.0321816486412365E-14</v>
      </c>
      <c r="FT129" s="22">
        <f t="shared" si="78"/>
        <v>1.7457447718395691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-1.7053025658242404E-13</v>
      </c>
      <c r="GA129" s="17">
        <f>FZ129*VLOOKUP('Données projet'!$B$17,Paramètres!$A$1:$I$89,3,0)*VLOOKUP('Données projet'!$B$17,Paramètres!$A$1:$I$89,5,0)</f>
        <v>-1.6493686416652052E-13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353.24082990916918</v>
      </c>
      <c r="GF129" s="59">
        <f t="shared" si="104"/>
        <v>219.76562717496353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1.167095456309279</v>
      </c>
      <c r="GM129" s="21">
        <f>EXP(-LN(2)/25)*GM128+(1-EXP(-LN(2)/25))/(LN(2)/25)*Calculateur!GH129*Calculateur!GJ129*VLOOKUP('Données projet'!$B$17,Paramètres!$A$1:$I$89,3,0)*0.475*44/12</f>
        <v>0.69904550669160881</v>
      </c>
      <c r="GN129" s="21">
        <f>EXP(-LN(2)/2)*GN128+(1-EXP(-LN(2)/2))/(LN(2)/2)*GH129*GK129*VLOOKUP('Données projet'!$B$17,Paramètres!$A$1:$I$89,3,0)*0.475*44/12</f>
        <v>3.2412976244095985E-14</v>
      </c>
      <c r="GO129" s="21">
        <f t="shared" si="81"/>
        <v>1.8661409630009202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378.17323480030268</v>
      </c>
      <c r="T130" s="59">
        <f t="shared" si="88"/>
        <v>471.89239871617241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0.64512441530635112</v>
      </c>
      <c r="AA130" s="21">
        <f>EXP(-LN(2)/25)*AA129+(1-EXP(-LN(2)/25))/(LN(2)/25)*Calculateur!V130*Calculateur!X130*VLOOKUP('Données projet'!$B$9,Paramètres!$A$1:$I$89,3,0)*0.475*44/12</f>
        <v>1.4128501003639202</v>
      </c>
      <c r="AB130" s="21">
        <f>EXP(-LN(2)/2)*AB129+(1-EXP(-LN(2)/2))/(LN(2)/2)*V130*Y130*VLOOKUP('Données projet'!$B$9,Paramètres!$A$1:$I$89,3,0)*0.475*44/12</f>
        <v>2.6278551894806649E-14</v>
      </c>
      <c r="AC130" s="22">
        <f t="shared" si="57"/>
        <v>2.0579745156702978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141.22849894256314</v>
      </c>
      <c r="AO130" s="59">
        <f t="shared" si="90"/>
        <v>156.12101479343704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1.0772564813492438</v>
      </c>
      <c r="AV130" s="21">
        <f>EXP(-LN(2)/25)*AV129+(1-EXP(-LN(2)/25))/(LN(2)/25)*Calculateur!AQ130*Calculateur!AS130*VLOOKUP('Données projet'!$B$10,Paramètres!$A$1:$I$89,3,0)*0.475*44/12</f>
        <v>0.40905635707500343</v>
      </c>
      <c r="AW130" s="21">
        <f>EXP(-LN(2)/2)*AW129+(1-EXP(-LN(2)/2))/(LN(2)/2)*AQ130*AT130*VLOOKUP('Données projet'!$B$10,Paramètres!$A$1:$I$89,3,0)*0.475*44/12</f>
        <v>7.4308608120142878E-15</v>
      </c>
      <c r="AX130" s="21">
        <f t="shared" si="60"/>
        <v>1.4863128384242545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114.25511901730295</v>
      </c>
      <c r="BJ130" s="59">
        <f t="shared" si="92"/>
        <v>180.96261947642182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0.50065210869166443</v>
      </c>
      <c r="BQ130" s="21">
        <f>EXP(-LN(2)/25)*BQ129+(1-EXP(-LN(2)/25))/(LN(2)/25)*Calculateur!BL130*Calculateur!BN130*VLOOKUP('Données projet'!$B$11,Paramètres!$A$1:$I$89,3,0)*0.475*44/12</f>
        <v>1.2100246894212481</v>
      </c>
      <c r="BR130" s="21">
        <f>EXP(-LN(2)/2)*BR129+(1-EXP(-LN(2)/2))/(LN(2)/2)*BL130*BO130*VLOOKUP('Données projet'!$B$11,Paramètres!$A$1:$I$89,3,0)*0.475*44/12</f>
        <v>1.7163151789528307E-14</v>
      </c>
      <c r="BS130" s="22">
        <f t="shared" si="63"/>
        <v>1.7106767981129296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4.4337866711430253E-14</v>
      </c>
      <c r="CA130" s="13">
        <f t="shared" si="93"/>
        <v>7.3222115536967035E-13</v>
      </c>
      <c r="CB130" s="20">
        <f t="shared" si="64"/>
        <v>1.3525069634579169E-12</v>
      </c>
      <c r="CC130" s="59">
        <f t="shared" si="65"/>
        <v>293.33333333333468</v>
      </c>
      <c r="CD130" s="59">
        <f ca="1">AVERAGE(OFFSET($CC$3,0,0,'Données projet'!$E$12+1,1))-AVERAGE(OFFSET($H$3,0,0,'Données projet'!$E$12+1,1))</f>
        <v>216.95993967070063</v>
      </c>
      <c r="CE130" s="59">
        <f t="shared" si="94"/>
        <v>208.79744153433245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0.75670026519005396</v>
      </c>
      <c r="CL130" s="21">
        <f>EXP(-LN(2)/25)*CL129+(1-EXP(-LN(2)/25))/(LN(2)/25)*Calculateur!CG130*Calculateur!CI130*VLOOKUP('Données projet'!$B$12,Paramètres!$A$1:$I$89,3,0)*0.475*44/12</f>
        <v>0.43587279669538309</v>
      </c>
      <c r="CM130" s="21">
        <f>EXP(-LN(2)/2)*CM129+(1-EXP(-LN(2)/2))/(LN(2)/2)*CG130*CJ130*VLOOKUP('Données projet'!$B$12,Paramètres!$A$1:$I$89,3,0)*0.475*44/12</f>
        <v>3.0990066840247577E-15</v>
      </c>
      <c r="CN130" s="22">
        <f t="shared" si="66"/>
        <v>1.1925730618854402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3.813056537183002E-14</v>
      </c>
      <c r="CV130" s="13">
        <f t="shared" si="95"/>
        <v>6.4086286045526829E-13</v>
      </c>
      <c r="CW130" s="20">
        <f t="shared" si="67"/>
        <v>1.1825802166488628E-12</v>
      </c>
      <c r="CX130" s="59">
        <f t="shared" si="68"/>
        <v>293.33333333333451</v>
      </c>
      <c r="CY130" s="59">
        <f ca="1">AVERAGE(OFFSET($CX$3,0,0,'Données projet'!$E$13+1,1))-AVERAGE(OFFSET($H$3,0,0,'Données projet'!$E$13+1,1))</f>
        <v>181.32837315090507</v>
      </c>
      <c r="CZ130" s="59">
        <f t="shared" si="96"/>
        <v>175.03267817980338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0.80210228110145654</v>
      </c>
      <c r="DG130" s="21">
        <f>EXP(-LN(2)/25)*DG129+(1-EXP(-LN(2)/25))/(LN(2)/25)*Calculateur!DB130*Calculateur!DD130*VLOOKUP('Données projet'!$B$13,Paramètres!$A$1:$I$89,3,0)*0.475*44/12</f>
        <v>0.46202516449710618</v>
      </c>
      <c r="DH130" s="21">
        <f>EXP(-LN(2)/2)*DH129+(1-EXP(-LN(2)/2))/(LN(2)/2)*DB130*DE130*VLOOKUP('Données projet'!$B$13,Paramètres!$A$1:$I$89,3,0)*0.475*44/12</f>
        <v>2.6651457482612905E-15</v>
      </c>
      <c r="DI130" s="22">
        <f t="shared" si="69"/>
        <v>1.2641274455985654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-2.8421709430404007E-13</v>
      </c>
      <c r="DP130" s="17">
        <f>DO130*VLOOKUP('Données projet'!$B$14,Paramètres!$A$1:$I$89,3,0)*VLOOKUP('Données projet'!$B$14,Paramètres!$A$1:$I$89,5,0)</f>
        <v>-2.2612312022829427E-13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325.72928944930294</v>
      </c>
      <c r="DU130" s="59">
        <f t="shared" si="98"/>
        <v>318.38876834819752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2.5358560343213665</v>
      </c>
      <c r="EB130" s="21">
        <f>EXP(-LN(2)/25)*EB129+(1-EXP(-LN(2)/25))/(LN(2)/25)*Calculateur!DW130*Calculateur!DY130*VLOOKUP('Données projet'!$B$14,Paramètres!$A$1:$I$89,3,0)*0.475*44/12</f>
        <v>1.4045967181415433</v>
      </c>
      <c r="EC130" s="21">
        <f>EXP(-LN(2)/2)*EC129+(1-EXP(-LN(2)/2))/(LN(2)/2)*DW130*DZ130*VLOOKUP('Données projet'!$B$14,Paramètres!$A$1:$I$89,3,0)*0.475*44/12</f>
        <v>2.9718009254317154E-14</v>
      </c>
      <c r="ED130" s="22">
        <f t="shared" si="72"/>
        <v>3.9404527524629396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-5.6843418860808015E-14</v>
      </c>
      <c r="EK130" s="17">
        <f>EJ130*VLOOKUP('Données projet'!$B$15,Paramètres!$A$1:$I$89,3,0)*VLOOKUP('Données projet'!$B$15,Paramètres!$A$1:$I$89,5,0)</f>
        <v>-5.7639226724859328E-14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384.50065773787549</v>
      </c>
      <c r="EP130" s="59">
        <f t="shared" si="100"/>
        <v>231.92898690465887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1.1995743985078149</v>
      </c>
      <c r="EW130" s="21">
        <f>EXP(-LN(2)/25)*EW129+(1-EXP(-LN(2)/25))/(LN(2)/25)*Calculateur!ER130*Calculateur!ET130*VLOOKUP('Données projet'!$B$15,Paramètres!$A$1:$I$89,3,0)*0.475*44/12</f>
        <v>0.71282991267330453</v>
      </c>
      <c r="EX130" s="21">
        <f>EXP(-LN(2)/2)*EX129+(1-EXP(-LN(2)/2))/(LN(2)/2)*ER130*EU130*VLOOKUP('Données projet'!$B$15,Paramètres!$A$1:$I$89,3,0)*0.475*44/12</f>
        <v>2.4028440234540612E-14</v>
      </c>
      <c r="EY130" s="22">
        <f t="shared" si="75"/>
        <v>1.9124043111811435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-1.5429577615577727E-13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326.46362829268969</v>
      </c>
      <c r="FK130" s="59">
        <f t="shared" si="102"/>
        <v>203.5274665601915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1.0703894632838955</v>
      </c>
      <c r="FR130" s="21">
        <f>EXP(-LN(2)/25)*FR129+(1-EXP(-LN(2)/25))/(LN(2)/25)*Calculateur!FM130*Calculateur!FO130*VLOOKUP('Données projet'!$B$16,Paramètres!$A$1:$I$89,3,0)*0.475*44/12</f>
        <v>0.63606361438540915</v>
      </c>
      <c r="FS130" s="21">
        <f>EXP(-LN(2)/2)*FS129+(1-EXP(-LN(2)/2))/(LN(2)/2)*FM130*FP130*VLOOKUP('Données projet'!$B$16,Paramètres!$A$1:$I$89,3,0)*0.475*44/12</f>
        <v>2.1440762055436237E-14</v>
      </c>
      <c r="FT130" s="22">
        <f t="shared" si="78"/>
        <v>1.7064530776693261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-1.7053025658242404E-13</v>
      </c>
      <c r="GA130" s="17">
        <f>FZ130*VLOOKUP('Données projet'!$B$17,Paramètres!$A$1:$I$89,3,0)*VLOOKUP('Données projet'!$B$17,Paramètres!$A$1:$I$89,5,0)</f>
        <v>-1.6493686416652052E-13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353.24082990916918</v>
      </c>
      <c r="GF130" s="59">
        <f t="shared" si="104"/>
        <v>219.76562717496353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1.1442094262689924</v>
      </c>
      <c r="GM130" s="21">
        <f>EXP(-LN(2)/25)*GM129+(1-EXP(-LN(2)/25))/(LN(2)/25)*Calculateur!GH130*Calculateur!GJ130*VLOOKUP('Données projet'!$B$17,Paramètres!$A$1:$I$89,3,0)*0.475*44/12</f>
        <v>0.67993007054992127</v>
      </c>
      <c r="GN130" s="21">
        <f>EXP(-LN(2)/2)*GN129+(1-EXP(-LN(2)/2))/(LN(2)/2)*GH130*GK130*VLOOKUP('Données projet'!$B$17,Paramètres!$A$1:$I$89,3,0)*0.475*44/12</f>
        <v>2.2919435300638743E-14</v>
      </c>
      <c r="GO130" s="21">
        <f t="shared" si="81"/>
        <v>1.8241394968189366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378.17323480030268</v>
      </c>
      <c r="T131" s="59">
        <f t="shared" si="88"/>
        <v>471.89239871617241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0.63247391900923333</v>
      </c>
      <c r="AA131" s="21">
        <f>EXP(-LN(2)/25)*AA130+(1-EXP(-LN(2)/25))/(LN(2)/25)*Calculateur!V131*Calculateur!X131*VLOOKUP('Données projet'!$B$9,Paramètres!$A$1:$I$89,3,0)*0.475*44/12</f>
        <v>1.3742156400709111</v>
      </c>
      <c r="AB131" s="21">
        <f>EXP(-LN(2)/2)*AB130+(1-EXP(-LN(2)/2))/(LN(2)/2)*V131*Y131*VLOOKUP('Données projet'!$B$9,Paramètres!$A$1:$I$89,3,0)*0.475*44/12</f>
        <v>1.8581742244580379E-14</v>
      </c>
      <c r="AC131" s="22">
        <f t="shared" si="57"/>
        <v>2.0066895590801632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141.22849894256314</v>
      </c>
      <c r="AO131" s="59">
        <f t="shared" si="90"/>
        <v>156.12101479343704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1.0561321388115592</v>
      </c>
      <c r="AV131" s="21">
        <f>EXP(-LN(2)/25)*AV130+(1-EXP(-LN(2)/25))/(LN(2)/25)*Calculateur!AQ131*Calculateur!AS131*VLOOKUP('Données projet'!$B$10,Paramètres!$A$1:$I$89,3,0)*0.475*44/12</f>
        <v>0.39787068947944854</v>
      </c>
      <c r="AW131" s="21">
        <f>EXP(-LN(2)/2)*AW130+(1-EXP(-LN(2)/2))/(LN(2)/2)*AQ131*AT131*VLOOKUP('Données projet'!$B$10,Paramètres!$A$1:$I$89,3,0)*0.475*44/12</f>
        <v>5.2544120702286779E-15</v>
      </c>
      <c r="AX131" s="21">
        <f t="shared" si="60"/>
        <v>1.4540028282910131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114.25511901730295</v>
      </c>
      <c r="BJ131" s="59">
        <f t="shared" si="92"/>
        <v>180.96261947642182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0.49083462620785462</v>
      </c>
      <c r="BQ131" s="21">
        <f>EXP(-LN(2)/25)*BQ130+(1-EXP(-LN(2)/25))/(LN(2)/25)*Calculateur!BL131*Calculateur!BN131*VLOOKUP('Données projet'!$B$11,Paramètres!$A$1:$I$89,3,0)*0.475*44/12</f>
        <v>1.1769365006565913</v>
      </c>
      <c r="BR131" s="21">
        <f>EXP(-LN(2)/2)*BR130+(1-EXP(-LN(2)/2))/(LN(2)/2)*BL131*BO131*VLOOKUP('Données projet'!$B$11,Paramètres!$A$1:$I$89,3,0)*0.475*44/12</f>
        <v>1.2136181016909494E-14</v>
      </c>
      <c r="BS131" s="22">
        <f t="shared" si="63"/>
        <v>1.6677711268644582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4.4337866711430253E-14</v>
      </c>
      <c r="CA131" s="13">
        <f t="shared" si="93"/>
        <v>7.3222115536967035E-13</v>
      </c>
      <c r="CB131" s="20">
        <f t="shared" si="64"/>
        <v>1.3525069634579169E-12</v>
      </c>
      <c r="CC131" s="59">
        <f t="shared" si="65"/>
        <v>293.33333333333468</v>
      </c>
      <c r="CD131" s="59">
        <f ca="1">AVERAGE(OFFSET($CC$3,0,0,'Données projet'!$E$12+1,1))-AVERAGE(OFFSET($H$3,0,0,'Données projet'!$E$12+1,1))</f>
        <v>216.95993967070063</v>
      </c>
      <c r="CE131" s="59">
        <f t="shared" si="94"/>
        <v>208.79744153433245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0.74186183453126531</v>
      </c>
      <c r="CL131" s="21">
        <f>EXP(-LN(2)/25)*CL130+(1-EXP(-LN(2)/25))/(LN(2)/25)*Calculateur!CG131*Calculateur!CI131*VLOOKUP('Données projet'!$B$12,Paramètres!$A$1:$I$89,3,0)*0.475*44/12</f>
        <v>0.42395383214819365</v>
      </c>
      <c r="CM131" s="21">
        <f>EXP(-LN(2)/2)*CM130+(1-EXP(-LN(2)/2))/(LN(2)/2)*CG131*CJ131*VLOOKUP('Données projet'!$B$12,Paramètres!$A$1:$I$89,3,0)*0.475*44/12</f>
        <v>2.1913286412163426E-15</v>
      </c>
      <c r="CN131" s="22">
        <f t="shared" si="66"/>
        <v>1.1658156666794612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3.813056537183002E-14</v>
      </c>
      <c r="CV131" s="13">
        <f t="shared" si="95"/>
        <v>6.4086286045526829E-13</v>
      </c>
      <c r="CW131" s="20">
        <f t="shared" si="67"/>
        <v>1.1825802166488628E-12</v>
      </c>
      <c r="CX131" s="59">
        <f t="shared" si="68"/>
        <v>293.33333333333451</v>
      </c>
      <c r="CY131" s="59">
        <f ca="1">AVERAGE(OFFSET($CX$3,0,0,'Données projet'!$E$13+1,1))-AVERAGE(OFFSET($H$3,0,0,'Données projet'!$E$13+1,1))</f>
        <v>181.32837315090507</v>
      </c>
      <c r="CZ131" s="59">
        <f t="shared" si="96"/>
        <v>175.03267817980338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0.78637354460314057</v>
      </c>
      <c r="DG131" s="21">
        <f>EXP(-LN(2)/25)*DG130+(1-EXP(-LN(2)/25))/(LN(2)/25)*Calculateur!DB131*Calculateur!DD131*VLOOKUP('Données projet'!$B$13,Paramètres!$A$1:$I$89,3,0)*0.475*44/12</f>
        <v>0.4493910620770854</v>
      </c>
      <c r="DH131" s="21">
        <f>EXP(-LN(2)/2)*DH130+(1-EXP(-LN(2)/2))/(LN(2)/2)*DB131*DE131*VLOOKUP('Données projet'!$B$13,Paramètres!$A$1:$I$89,3,0)*0.475*44/12</f>
        <v>1.8845426314460538E-15</v>
      </c>
      <c r="DI131" s="22">
        <f t="shared" si="69"/>
        <v>1.2357646066802277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-2.8421709430404007E-13</v>
      </c>
      <c r="DP131" s="17">
        <f>DO131*VLOOKUP('Données projet'!$B$14,Paramètres!$A$1:$I$89,3,0)*VLOOKUP('Données projet'!$B$14,Paramètres!$A$1:$I$89,5,0)</f>
        <v>-2.2612312022829427E-13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325.72928944930294</v>
      </c>
      <c r="DU131" s="59">
        <f t="shared" si="98"/>
        <v>318.38876834819752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2.4861294442077795</v>
      </c>
      <c r="EB131" s="21">
        <f>EXP(-LN(2)/25)*EB130+(1-EXP(-LN(2)/25))/(LN(2)/25)*Calculateur!DW131*Calculateur!DY131*VLOOKUP('Données projet'!$B$14,Paramètres!$A$1:$I$89,3,0)*0.475*44/12</f>
        <v>1.3661879470194316</v>
      </c>
      <c r="EC131" s="21">
        <f>EXP(-LN(2)/2)*EC130+(1-EXP(-LN(2)/2))/(LN(2)/2)*DW131*DZ131*VLOOKUP('Données projet'!$B$14,Paramètres!$A$1:$I$89,3,0)*0.475*44/12</f>
        <v>2.1013805867092235E-14</v>
      </c>
      <c r="ED131" s="22">
        <f t="shared" si="72"/>
        <v>3.8523173912272317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-5.6843418860808015E-14</v>
      </c>
      <c r="EK131" s="17">
        <f>EJ131*VLOOKUP('Données projet'!$B$15,Paramètres!$A$1:$I$89,3,0)*VLOOKUP('Données projet'!$B$15,Paramètres!$A$1:$I$89,5,0)</f>
        <v>-5.7639226724859328E-14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384.50065773787549</v>
      </c>
      <c r="EP131" s="59">
        <f t="shared" si="100"/>
        <v>231.92898690465887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1.1760514762212135</v>
      </c>
      <c r="EW131" s="21">
        <f>EXP(-LN(2)/25)*EW130+(1-EXP(-LN(2)/25))/(LN(2)/25)*Calculateur!ER131*Calculateur!ET131*VLOOKUP('Données projet'!$B$15,Paramètres!$A$1:$I$89,3,0)*0.475*44/12</f>
        <v>0.69333754122515712</v>
      </c>
      <c r="EX131" s="21">
        <f>EXP(-LN(2)/2)*EX130+(1-EXP(-LN(2)/2))/(LN(2)/2)*ER131*EU131*VLOOKUP('Données projet'!$B$15,Paramètres!$A$1:$I$89,3,0)*0.475*44/12</f>
        <v>1.6990673031179343E-14</v>
      </c>
      <c r="EY131" s="22">
        <f t="shared" si="75"/>
        <v>1.8693890174463876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-1.5429577615577727E-13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326.46362829268969</v>
      </c>
      <c r="FK131" s="59">
        <f t="shared" si="102"/>
        <v>203.5274665601915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1.0493997787820051</v>
      </c>
      <c r="FR131" s="21">
        <f>EXP(-LN(2)/25)*FR130+(1-EXP(-LN(2)/25))/(LN(2)/25)*Calculateur!FM131*Calculateur!FO131*VLOOKUP('Données projet'!$B$16,Paramètres!$A$1:$I$89,3,0)*0.475*44/12</f>
        <v>0.61867042140090844</v>
      </c>
      <c r="FS131" s="21">
        <f>EXP(-LN(2)/2)*FS130+(1-EXP(-LN(2)/2))/(LN(2)/2)*FM131*FP131*VLOOKUP('Données projet'!$B$16,Paramètres!$A$1:$I$89,3,0)*0.475*44/12</f>
        <v>1.5160908243206182E-14</v>
      </c>
      <c r="FT131" s="22">
        <f t="shared" si="78"/>
        <v>1.6680702001829286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-1.7053025658242404E-13</v>
      </c>
      <c r="GA131" s="17">
        <f>FZ131*VLOOKUP('Données projet'!$B$17,Paramètres!$A$1:$I$89,3,0)*VLOOKUP('Données projet'!$B$17,Paramètres!$A$1:$I$89,5,0)</f>
        <v>-1.6493686416652052E-13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353.24082990916918</v>
      </c>
      <c r="GF131" s="59">
        <f t="shared" si="104"/>
        <v>219.76562717496353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1.1217721773186957</v>
      </c>
      <c r="GM131" s="21">
        <f>EXP(-LN(2)/25)*GM130+(1-EXP(-LN(2)/25))/(LN(2)/25)*Calculateur!GH131*Calculateur!GJ131*VLOOKUP('Données projet'!$B$17,Paramètres!$A$1:$I$89,3,0)*0.475*44/12</f>
        <v>0.66133734701476532</v>
      </c>
      <c r="GN131" s="21">
        <f>EXP(-LN(2)/2)*GN130+(1-EXP(-LN(2)/2))/(LN(2)/2)*GH131*GK131*VLOOKUP('Données projet'!$B$17,Paramètres!$A$1:$I$89,3,0)*0.475*44/12</f>
        <v>1.6206488122047992E-14</v>
      </c>
      <c r="GO131" s="21">
        <f t="shared" si="81"/>
        <v>1.7831095243334774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378.17323480030268</v>
      </c>
      <c r="T132" s="59">
        <f t="shared" si="88"/>
        <v>471.89239871617241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0.62007149122846117</v>
      </c>
      <c r="AA132" s="21">
        <f>EXP(-LN(2)/25)*AA131+(1-EXP(-LN(2)/25))/(LN(2)/25)*Calculateur!V132*Calculateur!X132*VLOOKUP('Données projet'!$B$9,Paramètres!$A$1:$I$89,3,0)*0.475*44/12</f>
        <v>1.3366376411263123</v>
      </c>
      <c r="AB132" s="21">
        <f>EXP(-LN(2)/2)*AB131+(1-EXP(-LN(2)/2))/(LN(2)/2)*V132*Y132*VLOOKUP('Données projet'!$B$9,Paramètres!$A$1:$I$89,3,0)*0.475*44/12</f>
        <v>1.3139275947403325E-14</v>
      </c>
      <c r="AC132" s="22">
        <f t="shared" ref="AC132:AC153" si="111">SUM(Z132:AB132)</f>
        <v>1.9567091323547865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141.22849894256314</v>
      </c>
      <c r="AO132" s="59">
        <f t="shared" si="90"/>
        <v>156.12101479343704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1.035422031746462</v>
      </c>
      <c r="AV132" s="21">
        <f>EXP(-LN(2)/25)*AV131+(1-EXP(-LN(2)/25))/(LN(2)/25)*Calculateur!AQ132*Calculateur!AS132*VLOOKUP('Données projet'!$B$10,Paramètres!$A$1:$I$89,3,0)*0.475*44/12</f>
        <v>0.38699089455252278</v>
      </c>
      <c r="AW132" s="21">
        <f>EXP(-LN(2)/2)*AW131+(1-EXP(-LN(2)/2))/(LN(2)/2)*AQ132*AT132*VLOOKUP('Données projet'!$B$10,Paramètres!$A$1:$I$89,3,0)*0.475*44/12</f>
        <v>3.7154304060071439E-15</v>
      </c>
      <c r="AX132" s="21">
        <f t="shared" ref="AX132:AX153" si="114">SUM(AU132:AW132)</f>
        <v>1.4224129262989884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114.25511901730295</v>
      </c>
      <c r="BJ132" s="59">
        <f t="shared" si="92"/>
        <v>180.96261947642182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0.48120965856747933</v>
      </c>
      <c r="BQ132" s="21">
        <f>EXP(-LN(2)/25)*BQ131+(1-EXP(-LN(2)/25))/(LN(2)/25)*Calculateur!BL132*Calculateur!BN132*VLOOKUP('Données projet'!$B$11,Paramètres!$A$1:$I$89,3,0)*0.475*44/12</f>
        <v>1.144753110153736</v>
      </c>
      <c r="BR132" s="21">
        <f>EXP(-LN(2)/2)*BR131+(1-EXP(-LN(2)/2))/(LN(2)/2)*BL132*BO132*VLOOKUP('Données projet'!$B$11,Paramètres!$A$1:$I$89,3,0)*0.475*44/12</f>
        <v>8.5815758947641535E-15</v>
      </c>
      <c r="BS132" s="22">
        <f t="shared" ref="BS132:BS153" si="117">SUM(BP132:BR132)</f>
        <v>1.6259627687212241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4.4337866711430253E-14</v>
      </c>
      <c r="CA132" s="13">
        <f t="shared" si="93"/>
        <v>7.3222115536967035E-13</v>
      </c>
      <c r="CB132" s="20">
        <f t="shared" ref="CB132:CB153" si="118">(BZ132+CA132)*0.475*44/12</f>
        <v>1.3525069634579169E-12</v>
      </c>
      <c r="CC132" s="59">
        <f t="shared" ref="CC132:CC195" si="119">CB132+(BT132+BU132)*44/12</f>
        <v>293.33333333333468</v>
      </c>
      <c r="CD132" s="59">
        <f ca="1">AVERAGE(OFFSET($CC$3,0,0,'Données projet'!$E$12+1,1))-AVERAGE(OFFSET($H$3,0,0,'Données projet'!$E$12+1,1))</f>
        <v>216.95993967070063</v>
      </c>
      <c r="CE132" s="59">
        <f t="shared" si="94"/>
        <v>208.79744153433245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0.72731437644714647</v>
      </c>
      <c r="CL132" s="21">
        <f>EXP(-LN(2)/25)*CL131+(1-EXP(-LN(2)/25))/(LN(2)/25)*Calculateur!CG132*Calculateur!CI132*VLOOKUP('Données projet'!$B$12,Paramètres!$A$1:$I$89,3,0)*0.475*44/12</f>
        <v>0.41236079231333822</v>
      </c>
      <c r="CM132" s="21">
        <f>EXP(-LN(2)/2)*CM131+(1-EXP(-LN(2)/2))/(LN(2)/2)*CG132*CJ132*VLOOKUP('Données projet'!$B$12,Paramètres!$A$1:$I$89,3,0)*0.475*44/12</f>
        <v>1.5495033420123789E-15</v>
      </c>
      <c r="CN132" s="22">
        <f t="shared" ref="CN132:CN153" si="120">SUM(CK132:CM132)</f>
        <v>1.1396751687604862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3.813056537183002E-14</v>
      </c>
      <c r="CV132" s="13">
        <f t="shared" si="95"/>
        <v>6.4086286045526829E-13</v>
      </c>
      <c r="CW132" s="20">
        <f t="shared" ref="CW132:CW153" si="121">(CU132+CV132)*0.475*44/12</f>
        <v>1.1825802166488628E-12</v>
      </c>
      <c r="CX132" s="59">
        <f t="shared" ref="CX132:CX195" si="122">CW132+(CO132+CP132)*44/12</f>
        <v>293.33333333333451</v>
      </c>
      <c r="CY132" s="59">
        <f ca="1">AVERAGE(OFFSET($CX$3,0,0,'Données projet'!$E$13+1,1))-AVERAGE(OFFSET($H$3,0,0,'Données projet'!$E$13+1,1))</f>
        <v>181.32837315090507</v>
      </c>
      <c r="CZ132" s="59">
        <f t="shared" si="96"/>
        <v>175.03267817980338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0.77095323903397461</v>
      </c>
      <c r="DG132" s="21">
        <f>EXP(-LN(2)/25)*DG131+(1-EXP(-LN(2)/25))/(LN(2)/25)*Calculateur!DB132*Calculateur!DD132*VLOOKUP('Données projet'!$B$13,Paramètres!$A$1:$I$89,3,0)*0.475*44/12</f>
        <v>0.43710243985213865</v>
      </c>
      <c r="DH132" s="21">
        <f>EXP(-LN(2)/2)*DH131+(1-EXP(-LN(2)/2))/(LN(2)/2)*DB132*DE132*VLOOKUP('Données projet'!$B$13,Paramètres!$A$1:$I$89,3,0)*0.475*44/12</f>
        <v>1.3325728741306453E-15</v>
      </c>
      <c r="DI132" s="22">
        <f t="shared" ref="DI132:DI153" si="123">SUM(DF132:DH132)</f>
        <v>1.2080556788861145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-2.8421709430404007E-13</v>
      </c>
      <c r="DP132" s="17">
        <f>DO132*VLOOKUP('Données projet'!$B$14,Paramètres!$A$1:$I$89,3,0)*VLOOKUP('Données projet'!$B$14,Paramètres!$A$1:$I$89,5,0)</f>
        <v>-2.2612312022829427E-13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325.72928944930294</v>
      </c>
      <c r="DU132" s="59">
        <f t="shared" si="98"/>
        <v>318.38876834819752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2.4373779621960949</v>
      </c>
      <c r="EB132" s="21">
        <f>EXP(-LN(2)/25)*EB131+(1-EXP(-LN(2)/25))/(LN(2)/25)*Calculateur!DW132*Calculateur!DY132*VLOOKUP('Données projet'!$B$14,Paramètres!$A$1:$I$89,3,0)*0.475*44/12</f>
        <v>1.3288294657634836</v>
      </c>
      <c r="EC132" s="21">
        <f>EXP(-LN(2)/2)*EC131+(1-EXP(-LN(2)/2))/(LN(2)/2)*DW132*DZ132*VLOOKUP('Données projet'!$B$14,Paramètres!$A$1:$I$89,3,0)*0.475*44/12</f>
        <v>1.4859004627158577E-14</v>
      </c>
      <c r="ED132" s="22">
        <f t="shared" ref="ED132:ED153" si="126">SUM(EA132:EC132)</f>
        <v>3.7662074279595932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-5.6843418860808015E-14</v>
      </c>
      <c r="EK132" s="17">
        <f>EJ132*VLOOKUP('Données projet'!$B$15,Paramètres!$A$1:$I$89,3,0)*VLOOKUP('Données projet'!$B$15,Paramètres!$A$1:$I$89,5,0)</f>
        <v>-5.7639226724859328E-14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384.50065773787549</v>
      </c>
      <c r="EP132" s="59">
        <f t="shared" si="100"/>
        <v>231.92898690465887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1.1529898240930865</v>
      </c>
      <c r="EW132" s="21">
        <f>EXP(-LN(2)/25)*EW131+(1-EXP(-LN(2)/25))/(LN(2)/25)*Calculateur!ER132*Calculateur!ET132*VLOOKUP('Données projet'!$B$15,Paramètres!$A$1:$I$89,3,0)*0.475*44/12</f>
        <v>0.67437818969931851</v>
      </c>
      <c r="EX132" s="21">
        <f>EXP(-LN(2)/2)*EX131+(1-EXP(-LN(2)/2))/(LN(2)/2)*ER132*EU132*VLOOKUP('Données projet'!$B$15,Paramètres!$A$1:$I$89,3,0)*0.475*44/12</f>
        <v>1.2014220117270306E-14</v>
      </c>
      <c r="EY132" s="22">
        <f t="shared" ref="EY132:EY153" si="129">SUM(EV132:EX132)</f>
        <v>1.8273680137924169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-1.5429577615577727E-13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326.46362829268969</v>
      </c>
      <c r="FK132" s="59">
        <f t="shared" si="102"/>
        <v>203.5274665601915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1.0288216891907533</v>
      </c>
      <c r="FR132" s="21">
        <f>EXP(-LN(2)/25)*FR131+(1-EXP(-LN(2)/25))/(LN(2)/25)*Calculateur!FM132*Calculateur!FO132*VLOOKUP('Données projet'!$B$16,Paramètres!$A$1:$I$89,3,0)*0.475*44/12</f>
        <v>0.6017528461932371</v>
      </c>
      <c r="FS132" s="21">
        <f>EXP(-LN(2)/2)*FS131+(1-EXP(-LN(2)/2))/(LN(2)/2)*FM132*FP132*VLOOKUP('Données projet'!$B$16,Paramètres!$A$1:$I$89,3,0)*0.475*44/12</f>
        <v>1.0720381027718119E-14</v>
      </c>
      <c r="FT132" s="22">
        <f t="shared" ref="FT132:FT153" si="132">SUM(FQ132:FS132)</f>
        <v>1.6305745353840011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-1.7053025658242404E-13</v>
      </c>
      <c r="GA132" s="17">
        <f>FZ132*VLOOKUP('Données projet'!$B$17,Paramètres!$A$1:$I$89,3,0)*VLOOKUP('Données projet'!$B$17,Paramètres!$A$1:$I$89,5,0)</f>
        <v>-1.6493686416652052E-13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353.24082990916918</v>
      </c>
      <c r="GF132" s="59">
        <f t="shared" si="104"/>
        <v>219.76562717496353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1.0997749091349438</v>
      </c>
      <c r="GM132" s="21">
        <f>EXP(-LN(2)/25)*GM131+(1-EXP(-LN(2)/25))/(LN(2)/25)*Calculateur!GH132*Calculateur!GJ132*VLOOKUP('Données projet'!$B$17,Paramètres!$A$1:$I$89,3,0)*0.475*44/12</f>
        <v>0.64325304248242698</v>
      </c>
      <c r="GN132" s="21">
        <f>EXP(-LN(2)/2)*GN131+(1-EXP(-LN(2)/2))/(LN(2)/2)*GH132*GK132*VLOOKUP('Données projet'!$B$17,Paramètres!$A$1:$I$89,3,0)*0.475*44/12</f>
        <v>1.1459717650319372E-14</v>
      </c>
      <c r="GO132" s="21">
        <f t="shared" ref="GO132:GO153" si="135">SUM(GL132:GN132)</f>
        <v>1.7430279516173823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378.17323480030268</v>
      </c>
      <c r="T133" s="59">
        <f t="shared" ref="T133:T196" si="142">$T$3</f>
        <v>471.89239871617241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0.60791226749173588</v>
      </c>
      <c r="AA133" s="21">
        <f>EXP(-LN(2)/25)*AA132+(1-EXP(-LN(2)/25))/(LN(2)/25)*Calculateur!V133*Calculateur!X133*VLOOKUP('Données projet'!$B$9,Paramètres!$A$1:$I$89,3,0)*0.475*44/12</f>
        <v>1.3000872145389948</v>
      </c>
      <c r="AB133" s="21">
        <f>EXP(-LN(2)/2)*AB132+(1-EXP(-LN(2)/2))/(LN(2)/2)*V133*Y133*VLOOKUP('Données projet'!$B$9,Paramètres!$A$1:$I$89,3,0)*0.475*44/12</f>
        <v>9.2908711222901895E-15</v>
      </c>
      <c r="AC133" s="22">
        <f t="shared" si="111"/>
        <v>1.90799948203074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141.22849894256314</v>
      </c>
      <c r="AO133" s="59">
        <f t="shared" ref="AO133:AO196" si="144">$AO$3</f>
        <v>156.12101479343704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1.0151180372489934</v>
      </c>
      <c r="AV133" s="21">
        <f>EXP(-LN(2)/25)*AV132+(1-EXP(-LN(2)/25))/(LN(2)/25)*Calculateur!AQ133*Calculateur!AS133*VLOOKUP('Données projet'!$B$10,Paramètres!$A$1:$I$89,3,0)*0.475*44/12</f>
        <v>0.37640860819001737</v>
      </c>
      <c r="AW133" s="21">
        <f>EXP(-LN(2)/2)*AW132+(1-EXP(-LN(2)/2))/(LN(2)/2)*AQ133*AT133*VLOOKUP('Données projet'!$B$10,Paramètres!$A$1:$I$89,3,0)*0.475*44/12</f>
        <v>2.627206035114339E-15</v>
      </c>
      <c r="AX133" s="21">
        <f t="shared" si="114"/>
        <v>1.3915266454390134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114.25511901730295</v>
      </c>
      <c r="BJ133" s="59">
        <f t="shared" ref="BJ133:BJ196" si="146">$BJ$3</f>
        <v>180.96261947642182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0.47177343067188121</v>
      </c>
      <c r="BQ133" s="21">
        <f>EXP(-LN(2)/25)*BQ132+(1-EXP(-LN(2)/25))/(LN(2)/25)*Calculateur!BL133*Calculateur!BN133*VLOOKUP('Données projet'!$B$11,Paramètres!$A$1:$I$89,3,0)*0.475*44/12</f>
        <v>1.1134497761566324</v>
      </c>
      <c r="BR133" s="21">
        <f>EXP(-LN(2)/2)*BR132+(1-EXP(-LN(2)/2))/(LN(2)/2)*BL133*BO133*VLOOKUP('Données projet'!$B$11,Paramètres!$A$1:$I$89,3,0)*0.475*44/12</f>
        <v>6.0680905084547472E-15</v>
      </c>
      <c r="BS133" s="22">
        <f t="shared" si="117"/>
        <v>1.5852232068285197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4.4337866711430253E-14</v>
      </c>
      <c r="CA133" s="13">
        <f t="shared" ref="CA133:CA153" si="147">EXP(-1.0587+0.8836*LN(BZ133)+0.284)</f>
        <v>7.3222115536967035E-13</v>
      </c>
      <c r="CB133" s="20">
        <f t="shared" si="118"/>
        <v>1.3525069634579169E-12</v>
      </c>
      <c r="CC133" s="59">
        <f t="shared" si="119"/>
        <v>293.33333333333468</v>
      </c>
      <c r="CD133" s="59">
        <f ca="1">AVERAGE(OFFSET($CC$3,0,0,'Données projet'!$E$12+1,1))-AVERAGE(OFFSET($H$3,0,0,'Données projet'!$E$12+1,1))</f>
        <v>216.95993967070063</v>
      </c>
      <c r="CE133" s="59">
        <f t="shared" ref="CE133:CE196" si="148">$CE$3</f>
        <v>208.79744153433245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0.71305218514298396</v>
      </c>
      <c r="CL133" s="21">
        <f>EXP(-LN(2)/25)*CL132+(1-EXP(-LN(2)/25))/(LN(2)/25)*Calculateur!CG133*Calculateur!CI133*VLOOKUP('Données projet'!$B$12,Paramètres!$A$1:$I$89,3,0)*0.475*44/12</f>
        <v>0.40108476476241839</v>
      </c>
      <c r="CM133" s="21">
        <f>EXP(-LN(2)/2)*CM132+(1-EXP(-LN(2)/2))/(LN(2)/2)*CG133*CJ133*VLOOKUP('Données projet'!$B$12,Paramètres!$A$1:$I$89,3,0)*0.475*44/12</f>
        <v>1.0956643206081713E-15</v>
      </c>
      <c r="CN133" s="22">
        <f t="shared" si="120"/>
        <v>1.1141369499054035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3.813056537183002E-14</v>
      </c>
      <c r="CV133" s="13">
        <f t="shared" ref="CV133:CV153" si="149">EXP(-1.0587+0.8836*LN(CU133)+0.284)</f>
        <v>6.4086286045526829E-13</v>
      </c>
      <c r="CW133" s="20">
        <f t="shared" si="121"/>
        <v>1.1825802166488628E-12</v>
      </c>
      <c r="CX133" s="59">
        <f t="shared" si="122"/>
        <v>293.33333333333451</v>
      </c>
      <c r="CY133" s="59">
        <f ca="1">AVERAGE(OFFSET($CX$3,0,0,'Données projet'!$E$13+1,1))-AVERAGE(OFFSET($H$3,0,0,'Données projet'!$E$13+1,1))</f>
        <v>181.32837315090507</v>
      </c>
      <c r="CZ133" s="59">
        <f t="shared" ref="CZ133:CZ196" si="150">$CZ$3</f>
        <v>175.03267817980338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0.75583531625156231</v>
      </c>
      <c r="DG133" s="21">
        <f>EXP(-LN(2)/25)*DG132+(1-EXP(-LN(2)/25))/(LN(2)/25)*Calculateur!DB133*Calculateur!DD133*VLOOKUP('Données projet'!$B$13,Paramètres!$A$1:$I$89,3,0)*0.475*44/12</f>
        <v>0.42514985064816363</v>
      </c>
      <c r="DH133" s="21">
        <f>EXP(-LN(2)/2)*DH132+(1-EXP(-LN(2)/2))/(LN(2)/2)*DB133*DE133*VLOOKUP('Données projet'!$B$13,Paramètres!$A$1:$I$89,3,0)*0.475*44/12</f>
        <v>9.422713157230269E-16</v>
      </c>
      <c r="DI133" s="22">
        <f t="shared" si="123"/>
        <v>1.1809851668997269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-2.8421709430404007E-13</v>
      </c>
      <c r="DP133" s="17">
        <f>DO133*VLOOKUP('Données projet'!$B$14,Paramètres!$A$1:$I$89,3,0)*VLOOKUP('Données projet'!$B$14,Paramètres!$A$1:$I$89,5,0)</f>
        <v>-2.2612312022829427E-13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325.72928944930294</v>
      </c>
      <c r="DU133" s="59">
        <f t="shared" ref="DU133:DU196" si="152">$DU$3</f>
        <v>318.38876834819752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2.3895824670111914</v>
      </c>
      <c r="EB133" s="21">
        <f>EXP(-LN(2)/25)*EB132+(1-EXP(-LN(2)/25))/(LN(2)/25)*Calculateur!DW133*Calculateur!DY133*VLOOKUP('Données projet'!$B$14,Paramètres!$A$1:$I$89,3,0)*0.475*44/12</f>
        <v>1.2924925541420766</v>
      </c>
      <c r="EC133" s="21">
        <f>EXP(-LN(2)/2)*EC132+(1-EXP(-LN(2)/2))/(LN(2)/2)*DW133*DZ133*VLOOKUP('Données projet'!$B$14,Paramètres!$A$1:$I$89,3,0)*0.475*44/12</f>
        <v>1.0506902933546117E-14</v>
      </c>
      <c r="ED133" s="22">
        <f t="shared" si="126"/>
        <v>3.6820750211532784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-5.6843418860808015E-14</v>
      </c>
      <c r="EK133" s="17">
        <f>EJ133*VLOOKUP('Données projet'!$B$15,Paramètres!$A$1:$I$89,3,0)*VLOOKUP('Données projet'!$B$15,Paramètres!$A$1:$I$89,5,0)</f>
        <v>-5.7639226724859328E-14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384.50065773787549</v>
      </c>
      <c r="EP133" s="59">
        <f t="shared" ref="EP133:EP196" si="154">$EP$3</f>
        <v>231.92898690465887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1.1303803968969732</v>
      </c>
      <c r="EW133" s="21">
        <f>EXP(-LN(2)/25)*EW132+(1-EXP(-LN(2)/25))/(LN(2)/25)*Calculateur!ER133*Calculateur!ET133*VLOOKUP('Données projet'!$B$15,Paramètres!$A$1:$I$89,3,0)*0.475*44/12</f>
        <v>0.65593728263798301</v>
      </c>
      <c r="EX133" s="21">
        <f>EXP(-LN(2)/2)*EX132+(1-EXP(-LN(2)/2))/(LN(2)/2)*ER133*EU133*VLOOKUP('Données projet'!$B$15,Paramètres!$A$1:$I$89,3,0)*0.475*44/12</f>
        <v>8.4953365155896715E-15</v>
      </c>
      <c r="EY133" s="22">
        <f t="shared" si="129"/>
        <v>1.7863176795349647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-1.5429577615577727E-13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326.46362829268969</v>
      </c>
      <c r="FK133" s="59">
        <f t="shared" ref="FK133:FK196" si="156">$FK$3</f>
        <v>203.5274665601915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1.0086471233849907</v>
      </c>
      <c r="FR133" s="21">
        <f>EXP(-LN(2)/25)*FR132+(1-EXP(-LN(2)/25))/(LN(2)/25)*Calculateur!FM133*Calculateur!FO133*VLOOKUP('Données projet'!$B$16,Paramètres!$A$1:$I$89,3,0)*0.475*44/12</f>
        <v>0.58529788296927621</v>
      </c>
      <c r="FS133" s="21">
        <f>EXP(-LN(2)/2)*FS132+(1-EXP(-LN(2)/2))/(LN(2)/2)*FM133*FP133*VLOOKUP('Données projet'!$B$16,Paramètres!$A$1:$I$89,3,0)*0.475*44/12</f>
        <v>7.5804541216030912E-15</v>
      </c>
      <c r="FT133" s="22">
        <f t="shared" si="132"/>
        <v>1.5939450063542746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-1.7053025658242404E-13</v>
      </c>
      <c r="GA133" s="17">
        <f>FZ133*VLOOKUP('Données projet'!$B$17,Paramètres!$A$1:$I$89,3,0)*VLOOKUP('Données projet'!$B$17,Paramètres!$A$1:$I$89,5,0)</f>
        <v>-1.6493686416652052E-13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353.24082990916918</v>
      </c>
      <c r="GF133" s="59">
        <f t="shared" ref="GF133:GF196" si="158">$GF$3</f>
        <v>219.76562717496353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1.0782089939632664</v>
      </c>
      <c r="GM133" s="21">
        <f>EXP(-LN(2)/25)*GM132+(1-EXP(-LN(2)/25))/(LN(2)/25)*Calculateur!GH133*Calculateur!GJ133*VLOOKUP('Données projet'!$B$17,Paramètres!$A$1:$I$89,3,0)*0.475*44/12</f>
        <v>0.62566325420853763</v>
      </c>
      <c r="GN133" s="21">
        <f>EXP(-LN(2)/2)*GN132+(1-EXP(-LN(2)/2))/(LN(2)/2)*GH133*GK133*VLOOKUP('Données projet'!$B$17,Paramètres!$A$1:$I$89,3,0)*0.475*44/12</f>
        <v>8.1032440610239962E-15</v>
      </c>
      <c r="GO133" s="21">
        <f t="shared" si="135"/>
        <v>1.703872248171812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378.17323480030268</v>
      </c>
      <c r="T134" s="59">
        <f t="shared" si="142"/>
        <v>471.89239871617241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0.5959914787160937</v>
      </c>
      <c r="AA134" s="21">
        <f>EXP(-LN(2)/25)*AA133+(1-EXP(-LN(2)/25))/(LN(2)/25)*Calculateur!V134*Calculateur!X134*VLOOKUP('Données projet'!$B$9,Paramètres!$A$1:$I$89,3,0)*0.475*44/12</f>
        <v>1.2645362612888107</v>
      </c>
      <c r="AB134" s="21">
        <f>EXP(-LN(2)/2)*AB133+(1-EXP(-LN(2)/2))/(LN(2)/2)*V134*Y134*VLOOKUP('Données projet'!$B$9,Paramètres!$A$1:$I$89,3,0)*0.475*44/12</f>
        <v>6.5696379737016623E-15</v>
      </c>
      <c r="AC134" s="22">
        <f t="shared" si="111"/>
        <v>1.8605277400049109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141.22849894256314</v>
      </c>
      <c r="AO134" s="59">
        <f t="shared" si="144"/>
        <v>156.12101479343704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0.99521219169940633</v>
      </c>
      <c r="AV134" s="21">
        <f>EXP(-LN(2)/25)*AV133+(1-EXP(-LN(2)/25))/(LN(2)/25)*Calculateur!AQ134*Calculateur!AS134*VLOOKUP('Données projet'!$B$10,Paramètres!$A$1:$I$89,3,0)*0.475*44/12</f>
        <v>0.36611569500459296</v>
      </c>
      <c r="AW134" s="21">
        <f>EXP(-LN(2)/2)*AW133+(1-EXP(-LN(2)/2))/(LN(2)/2)*AQ134*AT134*VLOOKUP('Données projet'!$B$10,Paramètres!$A$1:$I$89,3,0)*0.475*44/12</f>
        <v>1.8577152030035719E-15</v>
      </c>
      <c r="AX134" s="21">
        <f t="shared" si="114"/>
        <v>1.3613278867040011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114.25511901730295</v>
      </c>
      <c r="BJ134" s="59">
        <f t="shared" si="146"/>
        <v>180.96261947642182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0.46252224144978504</v>
      </c>
      <c r="BQ134" s="21">
        <f>EXP(-LN(2)/25)*BQ133+(1-EXP(-LN(2)/25))/(LN(2)/25)*Calculateur!BL134*Calculateur!BN134*VLOOKUP('Données projet'!$B$11,Paramètres!$A$1:$I$89,3,0)*0.475*44/12</f>
        <v>1.0830024334738504</v>
      </c>
      <c r="BR134" s="21">
        <f>EXP(-LN(2)/2)*BR133+(1-EXP(-LN(2)/2))/(LN(2)/2)*BL134*BO134*VLOOKUP('Données projet'!$B$11,Paramètres!$A$1:$I$89,3,0)*0.475*44/12</f>
        <v>4.2907879473820768E-15</v>
      </c>
      <c r="BS134" s="22">
        <f t="shared" si="117"/>
        <v>1.5455246749236398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4.4337866711430253E-14</v>
      </c>
      <c r="CA134" s="13">
        <f t="shared" si="147"/>
        <v>7.3222115536967035E-13</v>
      </c>
      <c r="CB134" s="20">
        <f t="shared" si="118"/>
        <v>1.3525069634579169E-12</v>
      </c>
      <c r="CC134" s="59">
        <f t="shared" si="119"/>
        <v>293.33333333333468</v>
      </c>
      <c r="CD134" s="59">
        <f ca="1">AVERAGE(OFFSET($CC$3,0,0,'Données projet'!$E$12+1,1))-AVERAGE(OFFSET($H$3,0,0,'Données projet'!$E$12+1,1))</f>
        <v>216.95993967070063</v>
      </c>
      <c r="CE134" s="59">
        <f t="shared" si="148"/>
        <v>208.79744153433245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0.69906966671121828</v>
      </c>
      <c r="CL134" s="21">
        <f>EXP(-LN(2)/25)*CL133+(1-EXP(-LN(2)/25))/(LN(2)/25)*Calculateur!CG134*Calculateur!CI134*VLOOKUP('Données projet'!$B$12,Paramètres!$A$1:$I$89,3,0)*0.475*44/12</f>
        <v>0.39011708077785895</v>
      </c>
      <c r="CM134" s="21">
        <f>EXP(-LN(2)/2)*CM133+(1-EXP(-LN(2)/2))/(LN(2)/2)*CG134*CJ134*VLOOKUP('Données projet'!$B$12,Paramètres!$A$1:$I$89,3,0)*0.475*44/12</f>
        <v>7.7475167100618943E-16</v>
      </c>
      <c r="CN134" s="22">
        <f t="shared" si="120"/>
        <v>1.089186747489078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3.813056537183002E-14</v>
      </c>
      <c r="CV134" s="13">
        <f t="shared" si="149"/>
        <v>6.4086286045526829E-13</v>
      </c>
      <c r="CW134" s="20">
        <f t="shared" si="121"/>
        <v>1.1825802166488628E-12</v>
      </c>
      <c r="CX134" s="59">
        <f t="shared" si="122"/>
        <v>293.33333333333451</v>
      </c>
      <c r="CY134" s="59">
        <f ca="1">AVERAGE(OFFSET($CX$3,0,0,'Données projet'!$E$13+1,1))-AVERAGE(OFFSET($H$3,0,0,'Données projet'!$E$13+1,1))</f>
        <v>181.32837315090507</v>
      </c>
      <c r="CZ134" s="59">
        <f t="shared" si="150"/>
        <v>175.03267817980338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0.7410138467138907</v>
      </c>
      <c r="DG134" s="21">
        <f>EXP(-LN(2)/25)*DG133+(1-EXP(-LN(2)/25))/(LN(2)/25)*Calculateur!DB134*Calculateur!DD134*VLOOKUP('Données projet'!$B$13,Paramètres!$A$1:$I$89,3,0)*0.475*44/12</f>
        <v>0.41352410562453062</v>
      </c>
      <c r="DH134" s="21">
        <f>EXP(-LN(2)/2)*DH133+(1-EXP(-LN(2)/2))/(LN(2)/2)*DB134*DE134*VLOOKUP('Données projet'!$B$13,Paramètres!$A$1:$I$89,3,0)*0.475*44/12</f>
        <v>6.6628643706532263E-16</v>
      </c>
      <c r="DI134" s="22">
        <f t="shared" si="123"/>
        <v>1.154537952338422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-2.8421709430404007E-13</v>
      </c>
      <c r="DP134" s="17">
        <f>DO134*VLOOKUP('Données projet'!$B$14,Paramètres!$A$1:$I$89,3,0)*VLOOKUP('Données projet'!$B$14,Paramètres!$A$1:$I$89,5,0)</f>
        <v>-2.2612312022829427E-13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325.72928944930294</v>
      </c>
      <c r="DU134" s="59">
        <f t="shared" si="152"/>
        <v>318.38876834819752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2.3427242123344905</v>
      </c>
      <c r="EB134" s="21">
        <f>EXP(-LN(2)/25)*EB133+(1-EXP(-LN(2)/25))/(LN(2)/25)*Calculateur!DW134*Calculateur!DY134*VLOOKUP('Données projet'!$B$14,Paramètres!$A$1:$I$89,3,0)*0.475*44/12</f>
        <v>1.2571492772798323</v>
      </c>
      <c r="EC134" s="21">
        <f>EXP(-LN(2)/2)*EC133+(1-EXP(-LN(2)/2))/(LN(2)/2)*DW134*DZ134*VLOOKUP('Données projet'!$B$14,Paramètres!$A$1:$I$89,3,0)*0.475*44/12</f>
        <v>7.4295023135792884E-15</v>
      </c>
      <c r="ED134" s="22">
        <f t="shared" si="126"/>
        <v>3.5998734896143305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-5.6843418860808015E-14</v>
      </c>
      <c r="EK134" s="17">
        <f>EJ134*VLOOKUP('Données projet'!$B$15,Paramètres!$A$1:$I$89,3,0)*VLOOKUP('Données projet'!$B$15,Paramètres!$A$1:$I$89,5,0)</f>
        <v>-5.7639226724859328E-14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384.50065773787549</v>
      </c>
      <c r="EP134" s="59">
        <f t="shared" si="154"/>
        <v>231.92898690465887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1.1082143267777869</v>
      </c>
      <c r="EW134" s="21">
        <f>EXP(-LN(2)/25)*EW133+(1-EXP(-LN(2)/25))/(LN(2)/25)*Calculateur!ER134*Calculateur!ET134*VLOOKUP('Données projet'!$B$15,Paramètres!$A$1:$I$89,3,0)*0.475*44/12</f>
        <v>0.63800064315000482</v>
      </c>
      <c r="EX134" s="21">
        <f>EXP(-LN(2)/2)*EX133+(1-EXP(-LN(2)/2))/(LN(2)/2)*ER134*EU134*VLOOKUP('Données projet'!$B$15,Paramètres!$A$1:$I$89,3,0)*0.475*44/12</f>
        <v>6.007110058635153E-15</v>
      </c>
      <c r="EY134" s="22">
        <f t="shared" si="129"/>
        <v>1.7462149699277976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-1.5429577615577727E-13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326.46362829268969</v>
      </c>
      <c r="FK134" s="59">
        <f t="shared" si="156"/>
        <v>203.5274665601915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0.98886816850940895</v>
      </c>
      <c r="FR134" s="21">
        <f>EXP(-LN(2)/25)*FR133+(1-EXP(-LN(2)/25))/(LN(2)/25)*Calculateur!FM134*Calculateur!FO134*VLOOKUP('Données projet'!$B$16,Paramètres!$A$1:$I$89,3,0)*0.475*44/12</f>
        <v>0.56929288158000335</v>
      </c>
      <c r="FS134" s="21">
        <f>EXP(-LN(2)/2)*FS133+(1-EXP(-LN(2)/2))/(LN(2)/2)*FM134*FP134*VLOOKUP('Données projet'!$B$16,Paramètres!$A$1:$I$89,3,0)*0.475*44/12</f>
        <v>5.3601905138590594E-15</v>
      </c>
      <c r="FT134" s="22">
        <f t="shared" si="132"/>
        <v>1.5581610500894176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-1.7053025658242404E-13</v>
      </c>
      <c r="GA134" s="17">
        <f>FZ134*VLOOKUP('Données projet'!$B$17,Paramètres!$A$1:$I$89,3,0)*VLOOKUP('Données projet'!$B$17,Paramètres!$A$1:$I$89,5,0)</f>
        <v>-1.6493686416652052E-13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353.24082990916918</v>
      </c>
      <c r="GF134" s="59">
        <f t="shared" si="158"/>
        <v>219.76562717496353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1.0570659732341963</v>
      </c>
      <c r="GM134" s="21">
        <f>EXP(-LN(2)/25)*GM133+(1-EXP(-LN(2)/25))/(LN(2)/25)*Calculateur!GH134*Calculateur!GJ134*VLOOKUP('Données projet'!$B$17,Paramètres!$A$1:$I$89,3,0)*0.475*44/12</f>
        <v>0.60855445962000465</v>
      </c>
      <c r="GN134" s="21">
        <f>EXP(-LN(2)/2)*GN133+(1-EXP(-LN(2)/2))/(LN(2)/2)*GH134*GK134*VLOOKUP('Données projet'!$B$17,Paramètres!$A$1:$I$89,3,0)*0.475*44/12</f>
        <v>5.7298588251596858E-15</v>
      </c>
      <c r="GO134" s="21">
        <f t="shared" si="135"/>
        <v>1.6656204328542068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378.17323480030268</v>
      </c>
      <c r="T135" s="59">
        <f t="shared" si="142"/>
        <v>471.89239871617241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0.58430444933737857</v>
      </c>
      <c r="AA135" s="21">
        <f>EXP(-LN(2)/25)*AA134+(1-EXP(-LN(2)/25))/(LN(2)/25)*Calculateur!V135*Calculateur!X135*VLOOKUP('Données projet'!$B$9,Paramètres!$A$1:$I$89,3,0)*0.475*44/12</f>
        <v>1.2299574507247963</v>
      </c>
      <c r="AB135" s="21">
        <f>EXP(-LN(2)/2)*AB134+(1-EXP(-LN(2)/2))/(LN(2)/2)*V135*Y135*VLOOKUP('Données projet'!$B$9,Paramètres!$A$1:$I$89,3,0)*0.475*44/12</f>
        <v>4.6454355611450947E-15</v>
      </c>
      <c r="AC135" s="22">
        <f t="shared" si="111"/>
        <v>1.8142619000621796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141.22849894256314</v>
      </c>
      <c r="AO135" s="59">
        <f t="shared" si="144"/>
        <v>156.12101479343704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0.97569668763967976</v>
      </c>
      <c r="AV135" s="21">
        <f>EXP(-LN(2)/25)*AV134+(1-EXP(-LN(2)/25))/(LN(2)/25)*Calculateur!AQ135*Calculateur!AS135*VLOOKUP('Données projet'!$B$10,Paramètres!$A$1:$I$89,3,0)*0.475*44/12</f>
        <v>0.35610424207150471</v>
      </c>
      <c r="AW135" s="21">
        <f>EXP(-LN(2)/2)*AW134+(1-EXP(-LN(2)/2))/(LN(2)/2)*AQ135*AT135*VLOOKUP('Données projet'!$B$10,Paramètres!$A$1:$I$89,3,0)*0.475*44/12</f>
        <v>1.3136030175571695E-15</v>
      </c>
      <c r="AX135" s="21">
        <f t="shared" si="114"/>
        <v>1.3318009297111857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114.25511901730295</v>
      </c>
      <c r="BJ135" s="59">
        <f t="shared" si="146"/>
        <v>180.96261947642182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0.45345246240566595</v>
      </c>
      <c r="BQ135" s="21">
        <f>EXP(-LN(2)/25)*BQ134+(1-EXP(-LN(2)/25))/(LN(2)/25)*Calculateur!BL135*Calculateur!BN135*VLOOKUP('Données projet'!$B$11,Paramètres!$A$1:$I$89,3,0)*0.475*44/12</f>
        <v>1.0533876749778852</v>
      </c>
      <c r="BR135" s="21">
        <f>EXP(-LN(2)/2)*BR134+(1-EXP(-LN(2)/2))/(LN(2)/2)*BL135*BO135*VLOOKUP('Données projet'!$B$11,Paramètres!$A$1:$I$89,3,0)*0.475*44/12</f>
        <v>3.0340452542273736E-15</v>
      </c>
      <c r="BS135" s="22">
        <f t="shared" si="117"/>
        <v>1.5068401373835543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4.4337866711430253E-14</v>
      </c>
      <c r="CA135" s="13">
        <f t="shared" si="147"/>
        <v>7.3222115536967035E-13</v>
      </c>
      <c r="CB135" s="20">
        <f t="shared" si="118"/>
        <v>1.3525069634579169E-12</v>
      </c>
      <c r="CC135" s="59">
        <f t="shared" si="119"/>
        <v>293.33333333333468</v>
      </c>
      <c r="CD135" s="59">
        <f ca="1">AVERAGE(OFFSET($CC$3,0,0,'Données projet'!$E$12+1,1))-AVERAGE(OFFSET($H$3,0,0,'Données projet'!$E$12+1,1))</f>
        <v>216.95993967070063</v>
      </c>
      <c r="CE135" s="59">
        <f t="shared" si="148"/>
        <v>208.79744153433245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0.68536133693740542</v>
      </c>
      <c r="CL135" s="21">
        <f>EXP(-LN(2)/25)*CL134+(1-EXP(-LN(2)/25))/(LN(2)/25)*Calculateur!CG135*Calculateur!CI135*VLOOKUP('Données projet'!$B$12,Paramètres!$A$1:$I$89,3,0)*0.475*44/12</f>
        <v>0.37944930868862276</v>
      </c>
      <c r="CM135" s="21">
        <f>EXP(-LN(2)/2)*CM134+(1-EXP(-LN(2)/2))/(LN(2)/2)*CG135*CJ135*VLOOKUP('Données projet'!$B$12,Paramètres!$A$1:$I$89,3,0)*0.475*44/12</f>
        <v>5.4783216030408564E-16</v>
      </c>
      <c r="CN135" s="22">
        <f t="shared" si="120"/>
        <v>1.0648106456260287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3.813056537183002E-14</v>
      </c>
      <c r="CV135" s="13">
        <f t="shared" si="149"/>
        <v>6.4086286045526829E-13</v>
      </c>
      <c r="CW135" s="20">
        <f t="shared" si="121"/>
        <v>1.1825802166488628E-12</v>
      </c>
      <c r="CX135" s="59">
        <f t="shared" si="122"/>
        <v>293.33333333333451</v>
      </c>
      <c r="CY135" s="59">
        <f ca="1">AVERAGE(OFFSET($CX$3,0,0,'Données projet'!$E$13+1,1))-AVERAGE(OFFSET($H$3,0,0,'Données projet'!$E$13+1,1))</f>
        <v>181.32837315090507</v>
      </c>
      <c r="CZ135" s="59">
        <f t="shared" si="150"/>
        <v>175.03267817980338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0.72648301715364905</v>
      </c>
      <c r="DG135" s="21">
        <f>EXP(-LN(2)/25)*DG134+(1-EXP(-LN(2)/25))/(LN(2)/25)*Calculateur!DB135*Calculateur!DD135*VLOOKUP('Données projet'!$B$13,Paramètres!$A$1:$I$89,3,0)*0.475*44/12</f>
        <v>0.40221626720994025</v>
      </c>
      <c r="DH135" s="21">
        <f>EXP(-LN(2)/2)*DH134+(1-EXP(-LN(2)/2))/(LN(2)/2)*DB135*DE135*VLOOKUP('Données projet'!$B$13,Paramètres!$A$1:$I$89,3,0)*0.475*44/12</f>
        <v>4.7113565786151345E-16</v>
      </c>
      <c r="DI135" s="22">
        <f t="shared" si="123"/>
        <v>1.1286992843635897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-2.8421709430404007E-13</v>
      </c>
      <c r="DP135" s="17">
        <f>DO135*VLOOKUP('Données projet'!$B$14,Paramètres!$A$1:$I$89,3,0)*VLOOKUP('Données projet'!$B$14,Paramètres!$A$1:$I$89,5,0)</f>
        <v>-2.2612312022829427E-13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325.72928944930294</v>
      </c>
      <c r="DU135" s="59">
        <f t="shared" si="152"/>
        <v>318.38876834819752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2.2967848194512865</v>
      </c>
      <c r="EB135" s="21">
        <f>EXP(-LN(2)/25)*EB134+(1-EXP(-LN(2)/25))/(LN(2)/25)*Calculateur!DW135*Calculateur!DY135*VLOOKUP('Données projet'!$B$14,Paramètres!$A$1:$I$89,3,0)*0.475*44/12</f>
        <v>1.2227724641820081</v>
      </c>
      <c r="EC135" s="21">
        <f>EXP(-LN(2)/2)*EC134+(1-EXP(-LN(2)/2))/(LN(2)/2)*DW135*DZ135*VLOOKUP('Données projet'!$B$14,Paramètres!$A$1:$I$89,3,0)*0.475*44/12</f>
        <v>5.2534514667730587E-15</v>
      </c>
      <c r="ED135" s="22">
        <f t="shared" si="126"/>
        <v>3.5195572836332998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-5.6843418860808015E-14</v>
      </c>
      <c r="EK135" s="17">
        <f>EJ135*VLOOKUP('Données projet'!$B$15,Paramètres!$A$1:$I$89,3,0)*VLOOKUP('Données projet'!$B$15,Paramètres!$A$1:$I$89,5,0)</f>
        <v>-5.7639226724859328E-14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384.50065773787549</v>
      </c>
      <c r="EP135" s="59">
        <f t="shared" si="154"/>
        <v>231.92898690465887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1.0864829197736698</v>
      </c>
      <c r="EW135" s="21">
        <f>EXP(-LN(2)/25)*EW134+(1-EXP(-LN(2)/25))/(LN(2)/25)*Calculateur!ER135*Calculateur!ET135*VLOOKUP('Données projet'!$B$15,Paramètres!$A$1:$I$89,3,0)*0.475*44/12</f>
        <v>0.62055448201207231</v>
      </c>
      <c r="EX135" s="21">
        <f>EXP(-LN(2)/2)*EX134+(1-EXP(-LN(2)/2))/(LN(2)/2)*ER135*EU135*VLOOKUP('Données projet'!$B$15,Paramètres!$A$1:$I$89,3,0)*0.475*44/12</f>
        <v>4.2476682577948358E-15</v>
      </c>
      <c r="EY135" s="22">
        <f t="shared" si="129"/>
        <v>1.7070374017857464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-1.5429577615577727E-13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326.46362829268969</v>
      </c>
      <c r="FK135" s="59">
        <f t="shared" si="156"/>
        <v>203.5274665601915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0.96947706687496615</v>
      </c>
      <c r="FR135" s="21">
        <f>EXP(-LN(2)/25)*FR134+(1-EXP(-LN(2)/25))/(LN(2)/25)*Calculateur!FM135*Calculateur!FO135*VLOOKUP('Données projet'!$B$16,Paramètres!$A$1:$I$89,3,0)*0.475*44/12</f>
        <v>0.55372553779538669</v>
      </c>
      <c r="FS135" s="21">
        <f>EXP(-LN(2)/2)*FS134+(1-EXP(-LN(2)/2))/(LN(2)/2)*FM135*FP135*VLOOKUP('Données projet'!$B$16,Paramètres!$A$1:$I$89,3,0)*0.475*44/12</f>
        <v>3.7902270608015456E-15</v>
      </c>
      <c r="FT135" s="22">
        <f t="shared" si="132"/>
        <v>1.5232026046703566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-1.7053025658242404E-13</v>
      </c>
      <c r="GA135" s="17">
        <f>FZ135*VLOOKUP('Données projet'!$B$17,Paramètres!$A$1:$I$89,3,0)*VLOOKUP('Données projet'!$B$17,Paramètres!$A$1:$I$89,5,0)</f>
        <v>-1.6493686416652052E-13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353.24082990916918</v>
      </c>
      <c r="GF135" s="59">
        <f t="shared" si="158"/>
        <v>219.76562717496353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1.0363375542456539</v>
      </c>
      <c r="GM135" s="21">
        <f>EXP(-LN(2)/25)*GM134+(1-EXP(-LN(2)/25))/(LN(2)/25)*Calculateur!GH135*Calculateur!GJ135*VLOOKUP('Données projet'!$B$17,Paramètres!$A$1:$I$89,3,0)*0.475*44/12</f>
        <v>0.59191350591920744</v>
      </c>
      <c r="GN135" s="21">
        <f>EXP(-LN(2)/2)*GN134+(1-EXP(-LN(2)/2))/(LN(2)/2)*GH135*GK135*VLOOKUP('Données projet'!$B$17,Paramètres!$A$1:$I$89,3,0)*0.475*44/12</f>
        <v>4.0516220305119981E-15</v>
      </c>
      <c r="GO135" s="21">
        <f t="shared" si="135"/>
        <v>1.6282510601648652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378.17323480030268</v>
      </c>
      <c r="T136" s="59">
        <f t="shared" si="142"/>
        <v>471.89239871617241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0.57284659547639605</v>
      </c>
      <c r="AA136" s="21">
        <f>EXP(-LN(2)/25)*AA135+(1-EXP(-LN(2)/25))/(LN(2)/25)*Calculateur!V136*Calculateur!X136*VLOOKUP('Données projet'!$B$9,Paramètres!$A$1:$I$89,3,0)*0.475*44/12</f>
        <v>1.1963241995540757</v>
      </c>
      <c r="AB136" s="21">
        <f>EXP(-LN(2)/2)*AB135+(1-EXP(-LN(2)/2))/(LN(2)/2)*V136*Y136*VLOOKUP('Données projet'!$B$9,Paramètres!$A$1:$I$89,3,0)*0.475*44/12</f>
        <v>3.2848189868508312E-15</v>
      </c>
      <c r="AC136" s="22">
        <f t="shared" si="111"/>
        <v>1.7691707950304749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141.22849894256314</v>
      </c>
      <c r="AO136" s="59">
        <f t="shared" si="144"/>
        <v>156.12101479343704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0.95656387071128224</v>
      </c>
      <c r="AV136" s="21">
        <f>EXP(-LN(2)/25)*AV135+(1-EXP(-LN(2)/25))/(LN(2)/25)*Calculateur!AQ136*Calculateur!AS136*VLOOKUP('Données projet'!$B$10,Paramètres!$A$1:$I$89,3,0)*0.475*44/12</f>
        <v>0.34636655284535123</v>
      </c>
      <c r="AW136" s="21">
        <f>EXP(-LN(2)/2)*AW135+(1-EXP(-LN(2)/2))/(LN(2)/2)*AQ136*AT136*VLOOKUP('Données projet'!$B$10,Paramètres!$A$1:$I$89,3,0)*0.475*44/12</f>
        <v>9.2885760150178597E-16</v>
      </c>
      <c r="AX136" s="21">
        <f t="shared" si="114"/>
        <v>1.3029304235566344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114.25511901730295</v>
      </c>
      <c r="BJ136" s="59">
        <f t="shared" si="146"/>
        <v>180.96261947642182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0.44456053619658303</v>
      </c>
      <c r="BQ136" s="21">
        <f>EXP(-LN(2)/25)*BQ135+(1-EXP(-LN(2)/25))/(LN(2)/25)*Calculateur!BL136*Calculateur!BN136*VLOOKUP('Données projet'!$B$11,Paramètres!$A$1:$I$89,3,0)*0.475*44/12</f>
        <v>1.0245827336103646</v>
      </c>
      <c r="BR136" s="21">
        <f>EXP(-LN(2)/2)*BR135+(1-EXP(-LN(2)/2))/(LN(2)/2)*BL136*BO136*VLOOKUP('Données projet'!$B$11,Paramètres!$A$1:$I$89,3,0)*0.475*44/12</f>
        <v>2.1453939736910384E-15</v>
      </c>
      <c r="BS136" s="22">
        <f t="shared" si="117"/>
        <v>1.4691432698069498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4.4337866711430253E-14</v>
      </c>
      <c r="CA136" s="13">
        <f t="shared" si="147"/>
        <v>7.3222115536967035E-13</v>
      </c>
      <c r="CB136" s="20">
        <f t="shared" si="118"/>
        <v>1.3525069634579169E-12</v>
      </c>
      <c r="CC136" s="59">
        <f t="shared" si="119"/>
        <v>293.33333333333468</v>
      </c>
      <c r="CD136" s="59">
        <f ca="1">AVERAGE(OFFSET($CC$3,0,0,'Données projet'!$E$12+1,1))-AVERAGE(OFFSET($H$3,0,0,'Données projet'!$E$12+1,1))</f>
        <v>216.95993967070063</v>
      </c>
      <c r="CE136" s="59">
        <f t="shared" si="148"/>
        <v>208.79744153433245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0.67192181914920146</v>
      </c>
      <c r="CL136" s="21">
        <f>EXP(-LN(2)/25)*CL135+(1-EXP(-LN(2)/25))/(LN(2)/25)*Calculateur!CG136*Calculateur!CI136*VLOOKUP('Données projet'!$B$12,Paramètres!$A$1:$I$89,3,0)*0.475*44/12</f>
        <v>0.36907324738816044</v>
      </c>
      <c r="CM136" s="21">
        <f>EXP(-LN(2)/2)*CM135+(1-EXP(-LN(2)/2))/(LN(2)/2)*CG136*CJ136*VLOOKUP('Données projet'!$B$12,Paramètres!$A$1:$I$89,3,0)*0.475*44/12</f>
        <v>3.8737583550309472E-16</v>
      </c>
      <c r="CN136" s="22">
        <f t="shared" si="120"/>
        <v>1.0409950665373624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3.813056537183002E-14</v>
      </c>
      <c r="CV136" s="13">
        <f t="shared" si="149"/>
        <v>6.4086286045526829E-13</v>
      </c>
      <c r="CW136" s="20">
        <f t="shared" si="121"/>
        <v>1.1825802166488628E-12</v>
      </c>
      <c r="CX136" s="59">
        <f t="shared" si="122"/>
        <v>293.33333333333451</v>
      </c>
      <c r="CY136" s="59">
        <f ca="1">AVERAGE(OFFSET($CX$3,0,0,'Données projet'!$E$13+1,1))-AVERAGE(OFFSET($H$3,0,0,'Données projet'!$E$13+1,1))</f>
        <v>181.32837315090507</v>
      </c>
      <c r="CZ136" s="59">
        <f t="shared" si="150"/>
        <v>175.03267817980338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0.71223712829815289</v>
      </c>
      <c r="DG136" s="21">
        <f>EXP(-LN(2)/25)*DG135+(1-EXP(-LN(2)/25))/(LN(2)/25)*Calculateur!DB136*Calculateur!DD136*VLOOKUP('Données projet'!$B$13,Paramètres!$A$1:$I$89,3,0)*0.475*44/12</f>
        <v>0.39121764223145022</v>
      </c>
      <c r="DH136" s="21">
        <f>EXP(-LN(2)/2)*DH135+(1-EXP(-LN(2)/2))/(LN(2)/2)*DB136*DE136*VLOOKUP('Données projet'!$B$13,Paramètres!$A$1:$I$89,3,0)*0.475*44/12</f>
        <v>3.3314321853266131E-16</v>
      </c>
      <c r="DI136" s="22">
        <f t="shared" si="123"/>
        <v>1.1034547705296036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-2.8421709430404007E-13</v>
      </c>
      <c r="DP136" s="17">
        <f>DO136*VLOOKUP('Données projet'!$B$14,Paramètres!$A$1:$I$89,3,0)*VLOOKUP('Données projet'!$B$14,Paramètres!$A$1:$I$89,5,0)</f>
        <v>-2.2612312022829427E-13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325.72928944930294</v>
      </c>
      <c r="DU136" s="59">
        <f t="shared" si="152"/>
        <v>318.38876834819752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2.2517462700422595</v>
      </c>
      <c r="EB136" s="21">
        <f>EXP(-LN(2)/25)*EB135+(1-EXP(-LN(2)/25))/(LN(2)/25)*Calculateur!DW136*Calculateur!DY136*VLOOKUP('Données projet'!$B$14,Paramètres!$A$1:$I$89,3,0)*0.475*44/12</f>
        <v>1.189335686846142</v>
      </c>
      <c r="EC136" s="21">
        <f>EXP(-LN(2)/2)*EC135+(1-EXP(-LN(2)/2))/(LN(2)/2)*DW136*DZ136*VLOOKUP('Données projet'!$B$14,Paramètres!$A$1:$I$89,3,0)*0.475*44/12</f>
        <v>3.7147511567896442E-15</v>
      </c>
      <c r="ED136" s="22">
        <f t="shared" si="126"/>
        <v>3.441081956888405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-5.6843418860808015E-14</v>
      </c>
      <c r="EK136" s="17">
        <f>EJ136*VLOOKUP('Données projet'!$B$15,Paramètres!$A$1:$I$89,3,0)*VLOOKUP('Données projet'!$B$15,Paramètres!$A$1:$I$89,5,0)</f>
        <v>-5.7639226724859328E-14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384.50065773787549</v>
      </c>
      <c r="EP136" s="59">
        <f t="shared" si="154"/>
        <v>231.92898690465887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1.0651776524060541</v>
      </c>
      <c r="EW136" s="21">
        <f>EXP(-LN(2)/25)*EW135+(1-EXP(-LN(2)/25))/(LN(2)/25)*Calculateur!ER136*Calculateur!ET136*VLOOKUP('Données projet'!$B$15,Paramètres!$A$1:$I$89,3,0)*0.475*44/12</f>
        <v>0.60358538706791032</v>
      </c>
      <c r="EX136" s="21">
        <f>EXP(-LN(2)/2)*EX135+(1-EXP(-LN(2)/2))/(LN(2)/2)*ER136*EU136*VLOOKUP('Données projet'!$B$15,Paramètres!$A$1:$I$89,3,0)*0.475*44/12</f>
        <v>3.0035550293175765E-15</v>
      </c>
      <c r="EY136" s="22">
        <f t="shared" si="129"/>
        <v>1.6687630394739674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-1.5429577615577727E-13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326.46362829268969</v>
      </c>
      <c r="FK136" s="59">
        <f t="shared" si="156"/>
        <v>203.5274665601915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0.95046621291617062</v>
      </c>
      <c r="FR136" s="21">
        <f>EXP(-LN(2)/25)*FR135+(1-EXP(-LN(2)/25))/(LN(2)/25)*Calculateur!FM136*Calculateur!FO136*VLOOKUP('Données projet'!$B$16,Paramètres!$A$1:$I$89,3,0)*0.475*44/12</f>
        <v>0.53858388384521139</v>
      </c>
      <c r="FS136" s="21">
        <f>EXP(-LN(2)/2)*FS135+(1-EXP(-LN(2)/2))/(LN(2)/2)*FM136*FP136*VLOOKUP('Données projet'!$B$16,Paramètres!$A$1:$I$89,3,0)*0.475*44/12</f>
        <v>2.6800952569295297E-15</v>
      </c>
      <c r="FT136" s="22">
        <f t="shared" si="132"/>
        <v>1.4890500967613847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-1.7053025658242404E-13</v>
      </c>
      <c r="GA136" s="17">
        <f>FZ136*VLOOKUP('Données projet'!$B$17,Paramètres!$A$1:$I$89,3,0)*VLOOKUP('Données projet'!$B$17,Paramètres!$A$1:$I$89,5,0)</f>
        <v>-1.6493686416652052E-13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353.24082990916918</v>
      </c>
      <c r="GF136" s="59">
        <f t="shared" si="158"/>
        <v>219.76562717496353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1.0160156069103896</v>
      </c>
      <c r="GM136" s="21">
        <f>EXP(-LN(2)/25)*GM135+(1-EXP(-LN(2)/25))/(LN(2)/25)*Calculateur!GH136*Calculateur!GJ136*VLOOKUP('Données projet'!$B$17,Paramètres!$A$1:$I$89,3,0)*0.475*44/12</f>
        <v>0.57572759997246825</v>
      </c>
      <c r="GN136" s="21">
        <f>EXP(-LN(2)/2)*GN135+(1-EXP(-LN(2)/2))/(LN(2)/2)*GH136*GK136*VLOOKUP('Données projet'!$B$17,Paramètres!$A$1:$I$89,3,0)*0.475*44/12</f>
        <v>2.8649294125798429E-15</v>
      </c>
      <c r="GO136" s="21">
        <f t="shared" si="135"/>
        <v>1.5917432068828608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378.17323480030268</v>
      </c>
      <c r="T137" s="59">
        <f t="shared" si="142"/>
        <v>471.89239871617241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0.56161342314102658</v>
      </c>
      <c r="AA137" s="21">
        <f>EXP(-LN(2)/25)*AA136+(1-EXP(-LN(2)/25))/(LN(2)/25)*Calculateur!V137*Calculateur!X137*VLOOKUP('Données projet'!$B$9,Paramètres!$A$1:$I$89,3,0)*0.475*44/12</f>
        <v>1.1636106514053139</v>
      </c>
      <c r="AB137" s="21">
        <f>EXP(-LN(2)/2)*AB136+(1-EXP(-LN(2)/2))/(LN(2)/2)*V137*Y137*VLOOKUP('Données projet'!$B$9,Paramètres!$A$1:$I$89,3,0)*0.475*44/12</f>
        <v>2.3227177805725474E-15</v>
      </c>
      <c r="AC137" s="22">
        <f t="shared" si="111"/>
        <v>1.7252240745463427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141.22849894256314</v>
      </c>
      <c r="AO137" s="59">
        <f t="shared" si="144"/>
        <v>156.12101479343704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0.93780623665298457</v>
      </c>
      <c r="AV137" s="21">
        <f>EXP(-LN(2)/25)*AV136+(1-EXP(-LN(2)/25))/(LN(2)/25)*Calculateur!AQ137*Calculateur!AS137*VLOOKUP('Données projet'!$B$10,Paramètres!$A$1:$I$89,3,0)*0.475*44/12</f>
        <v>0.33689514124316972</v>
      </c>
      <c r="AW137" s="21">
        <f>EXP(-LN(2)/2)*AW136+(1-EXP(-LN(2)/2))/(LN(2)/2)*AQ137*AT137*VLOOKUP('Données projet'!$B$10,Paramètres!$A$1:$I$89,3,0)*0.475*44/12</f>
        <v>6.5680150877858474E-16</v>
      </c>
      <c r="AX137" s="21">
        <f t="shared" si="114"/>
        <v>1.2747013778961549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114.25511901730295</v>
      </c>
      <c r="BJ137" s="59">
        <f t="shared" si="146"/>
        <v>180.96261947642182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0.43584297523692078</v>
      </c>
      <c r="BQ137" s="21">
        <f>EXP(-LN(2)/25)*BQ136+(1-EXP(-LN(2)/25))/(LN(2)/25)*Calculateur!BL137*Calculateur!BN137*VLOOKUP('Données projet'!$B$11,Paramètres!$A$1:$I$89,3,0)*0.475*44/12</f>
        <v>0.99656546487932485</v>
      </c>
      <c r="BR137" s="21">
        <f>EXP(-LN(2)/2)*BR136+(1-EXP(-LN(2)/2))/(LN(2)/2)*BL137*BO137*VLOOKUP('Données projet'!$B$11,Paramètres!$A$1:$I$89,3,0)*0.475*44/12</f>
        <v>1.5170226271136868E-15</v>
      </c>
      <c r="BS137" s="22">
        <f t="shared" si="117"/>
        <v>1.4324084401162471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4.4337866711430253E-14</v>
      </c>
      <c r="CA137" s="13">
        <f t="shared" si="147"/>
        <v>7.3222115536967035E-13</v>
      </c>
      <c r="CB137" s="20">
        <f t="shared" si="118"/>
        <v>1.3525069634579169E-12</v>
      </c>
      <c r="CC137" s="59">
        <f t="shared" si="119"/>
        <v>293.33333333333468</v>
      </c>
      <c r="CD137" s="59">
        <f ca="1">AVERAGE(OFFSET($CC$3,0,0,'Données projet'!$E$12+1,1))-AVERAGE(OFFSET($H$3,0,0,'Données projet'!$E$12+1,1))</f>
        <v>216.95993967070063</v>
      </c>
      <c r="CE137" s="59">
        <f t="shared" si="148"/>
        <v>208.79744153433245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0.65874584210752773</v>
      </c>
      <c r="CL137" s="21">
        <f>EXP(-LN(2)/25)*CL136+(1-EXP(-LN(2)/25))/(LN(2)/25)*Calculateur!CG137*Calculateur!CI137*VLOOKUP('Données projet'!$B$12,Paramètres!$A$1:$I$89,3,0)*0.475*44/12</f>
        <v>0.35898092002961263</v>
      </c>
      <c r="CM137" s="21">
        <f>EXP(-LN(2)/2)*CM136+(1-EXP(-LN(2)/2))/(LN(2)/2)*CG137*CJ137*VLOOKUP('Données projet'!$B$12,Paramètres!$A$1:$I$89,3,0)*0.475*44/12</f>
        <v>2.7391608015204282E-16</v>
      </c>
      <c r="CN137" s="22">
        <f t="shared" si="120"/>
        <v>1.0177267621371406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3.813056537183002E-14</v>
      </c>
      <c r="CV137" s="13">
        <f t="shared" si="149"/>
        <v>6.4086286045526829E-13</v>
      </c>
      <c r="CW137" s="20">
        <f t="shared" si="121"/>
        <v>1.1825802166488628E-12</v>
      </c>
      <c r="CX137" s="59">
        <f t="shared" si="122"/>
        <v>293.33333333333451</v>
      </c>
      <c r="CY137" s="59">
        <f ca="1">AVERAGE(OFFSET($CX$3,0,0,'Données projet'!$E$13+1,1))-AVERAGE(OFFSET($H$3,0,0,'Données projet'!$E$13+1,1))</f>
        <v>181.32837315090507</v>
      </c>
      <c r="CZ137" s="59">
        <f t="shared" si="150"/>
        <v>175.03267817980338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0.69827059263397884</v>
      </c>
      <c r="DG137" s="21">
        <f>EXP(-LN(2)/25)*DG136+(1-EXP(-LN(2)/25))/(LN(2)/25)*Calculateur!DB137*Calculateur!DD137*VLOOKUP('Données projet'!$B$13,Paramètres!$A$1:$I$89,3,0)*0.475*44/12</f>
        <v>0.38051977523138958</v>
      </c>
      <c r="DH137" s="21">
        <f>EXP(-LN(2)/2)*DH136+(1-EXP(-LN(2)/2))/(LN(2)/2)*DB137*DE137*VLOOKUP('Données projet'!$B$13,Paramètres!$A$1:$I$89,3,0)*0.475*44/12</f>
        <v>2.3556782893075672E-16</v>
      </c>
      <c r="DI137" s="22">
        <f t="shared" si="123"/>
        <v>1.0787903678653687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-2.8421709430404007E-13</v>
      </c>
      <c r="DP137" s="17">
        <f>DO137*VLOOKUP('Données projet'!$B$14,Paramètres!$A$1:$I$89,3,0)*VLOOKUP('Données projet'!$B$14,Paramètres!$A$1:$I$89,5,0)</f>
        <v>-2.2612312022829427E-13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325.72928944930294</v>
      </c>
      <c r="DU137" s="59">
        <f t="shared" si="152"/>
        <v>318.38876834819752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2.2075908991163407</v>
      </c>
      <c r="EB137" s="21">
        <f>EXP(-LN(2)/25)*EB136+(1-EXP(-LN(2)/25))/(LN(2)/25)*Calculateur!DW137*Calculateur!DY137*VLOOKUP('Données projet'!$B$14,Paramètres!$A$1:$I$89,3,0)*0.475*44/12</f>
        <v>1.1568132399448887</v>
      </c>
      <c r="EC137" s="21">
        <f>EXP(-LN(2)/2)*EC136+(1-EXP(-LN(2)/2))/(LN(2)/2)*DW137*DZ137*VLOOKUP('Données projet'!$B$14,Paramètres!$A$1:$I$89,3,0)*0.475*44/12</f>
        <v>2.6267257333865293E-15</v>
      </c>
      <c r="ED137" s="22">
        <f t="shared" si="126"/>
        <v>3.3644041390612323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-5.6843418860808015E-14</v>
      </c>
      <c r="EK137" s="17">
        <f>EJ137*VLOOKUP('Données projet'!$B$15,Paramètres!$A$1:$I$89,3,0)*VLOOKUP('Données projet'!$B$15,Paramètres!$A$1:$I$89,5,0)</f>
        <v>-5.7639226724859328E-14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384.50065773787549</v>
      </c>
      <c r="EP137" s="59">
        <f t="shared" si="154"/>
        <v>231.92898690465887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1.0442901683365873</v>
      </c>
      <c r="EW137" s="21">
        <f>EXP(-LN(2)/25)*EW136+(1-EXP(-LN(2)/25))/(LN(2)/25)*Calculateur!ER137*Calculateur!ET137*VLOOKUP('Données projet'!$B$15,Paramètres!$A$1:$I$89,3,0)*0.475*44/12</f>
        <v>0.58708031291736229</v>
      </c>
      <c r="EX137" s="21">
        <f>EXP(-LN(2)/2)*EX136+(1-EXP(-LN(2)/2))/(LN(2)/2)*ER137*EU137*VLOOKUP('Données projet'!$B$15,Paramètres!$A$1:$I$89,3,0)*0.475*44/12</f>
        <v>2.1238341288974179E-15</v>
      </c>
      <c r="EY137" s="22">
        <f t="shared" si="129"/>
        <v>1.6313704812539518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-1.5429577615577727E-13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326.46362829268969</v>
      </c>
      <c r="FK137" s="59">
        <f t="shared" si="156"/>
        <v>203.5274665601915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0.93182815020803111</v>
      </c>
      <c r="FR137" s="21">
        <f>EXP(-LN(2)/25)*FR136+(1-EXP(-LN(2)/25))/(LN(2)/25)*Calculateur!FM137*Calculateur!FO137*VLOOKUP('Données projet'!$B$16,Paramètres!$A$1:$I$89,3,0)*0.475*44/12</f>
        <v>0.52385627921856859</v>
      </c>
      <c r="FS137" s="21">
        <f>EXP(-LN(2)/2)*FS136+(1-EXP(-LN(2)/2))/(LN(2)/2)*FM137*FP137*VLOOKUP('Données projet'!$B$16,Paramètres!$A$1:$I$89,3,0)*0.475*44/12</f>
        <v>1.8951135304007728E-15</v>
      </c>
      <c r="FT137" s="22">
        <f t="shared" si="132"/>
        <v>1.4556844294266018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-1.7053025658242404E-13</v>
      </c>
      <c r="GA137" s="17">
        <f>FZ137*VLOOKUP('Données projet'!$B$17,Paramètres!$A$1:$I$89,3,0)*VLOOKUP('Données projet'!$B$17,Paramètres!$A$1:$I$89,5,0)</f>
        <v>-1.6493686416652052E-13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353.24082990916918</v>
      </c>
      <c r="GF137" s="59">
        <f t="shared" si="158"/>
        <v>219.76562717496353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0.99609216056720595</v>
      </c>
      <c r="GM137" s="21">
        <f>EXP(-LN(2)/25)*GM136+(1-EXP(-LN(2)/25))/(LN(2)/25)*Calculateur!GH137*Calculateur!GJ137*VLOOKUP('Données projet'!$B$17,Paramètres!$A$1:$I$89,3,0)*0.475*44/12</f>
        <v>0.55998429847502251</v>
      </c>
      <c r="GN137" s="21">
        <f>EXP(-LN(2)/2)*GN136+(1-EXP(-LN(2)/2))/(LN(2)/2)*GH137*GK137*VLOOKUP('Données projet'!$B$17,Paramètres!$A$1:$I$89,3,0)*0.475*44/12</f>
        <v>2.0258110152559991E-15</v>
      </c>
      <c r="GO137" s="21">
        <f t="shared" si="135"/>
        <v>1.5560764590422305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378.17323480030268</v>
      </c>
      <c r="T138" s="59">
        <f t="shared" si="142"/>
        <v>471.89239871617241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0.55060052646359514</v>
      </c>
      <c r="AA138" s="21">
        <f>EXP(-LN(2)/25)*AA137+(1-EXP(-LN(2)/25))/(LN(2)/25)*Calculateur!V138*Calculateur!X138*VLOOKUP('Données projet'!$B$9,Paramètres!$A$1:$I$89,3,0)*0.475*44/12</f>
        <v>1.1317916569510109</v>
      </c>
      <c r="AB138" s="21">
        <f>EXP(-LN(2)/2)*AB137+(1-EXP(-LN(2)/2))/(LN(2)/2)*V138*Y138*VLOOKUP('Données projet'!$B$9,Paramètres!$A$1:$I$89,3,0)*0.475*44/12</f>
        <v>1.6424094934254156E-15</v>
      </c>
      <c r="AC138" s="22">
        <f t="shared" si="111"/>
        <v>1.6823921834146076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141.22849894256314</v>
      </c>
      <c r="AO138" s="59">
        <f t="shared" si="144"/>
        <v>156.12101479343704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0.91941642835754311</v>
      </c>
      <c r="AV138" s="21">
        <f>EXP(-LN(2)/25)*AV137+(1-EXP(-LN(2)/25))/(LN(2)/25)*Calculateur!AQ138*Calculateur!AS138*VLOOKUP('Données projet'!$B$10,Paramètres!$A$1:$I$89,3,0)*0.475*44/12</f>
        <v>0.32768272588932973</v>
      </c>
      <c r="AW138" s="21">
        <f>EXP(-LN(2)/2)*AW137+(1-EXP(-LN(2)/2))/(LN(2)/2)*AQ138*AT138*VLOOKUP('Données projet'!$B$10,Paramètres!$A$1:$I$89,3,0)*0.475*44/12</f>
        <v>4.6442880075089298E-16</v>
      </c>
      <c r="AX138" s="21">
        <f t="shared" si="114"/>
        <v>1.2470991542468732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114.25511901730295</v>
      </c>
      <c r="BJ138" s="59">
        <f t="shared" si="146"/>
        <v>180.96261947642182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0.42729636033049034</v>
      </c>
      <c r="BQ138" s="21">
        <f>EXP(-LN(2)/25)*BQ137+(1-EXP(-LN(2)/25))/(LN(2)/25)*Calculateur!BL138*Calculateur!BN138*VLOOKUP('Données projet'!$B$11,Paramètres!$A$1:$I$89,3,0)*0.475*44/12</f>
        <v>0.96931432983509958</v>
      </c>
      <c r="BR138" s="21">
        <f>EXP(-LN(2)/2)*BR137+(1-EXP(-LN(2)/2))/(LN(2)/2)*BL138*BO138*VLOOKUP('Données projet'!$B$11,Paramètres!$A$1:$I$89,3,0)*0.475*44/12</f>
        <v>1.0726969868455192E-15</v>
      </c>
      <c r="BS138" s="22">
        <f t="shared" si="117"/>
        <v>1.396610690165591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4.4337866711430253E-14</v>
      </c>
      <c r="CA138" s="13">
        <f t="shared" si="147"/>
        <v>7.3222115536967035E-13</v>
      </c>
      <c r="CB138" s="20">
        <f t="shared" si="118"/>
        <v>1.3525069634579169E-12</v>
      </c>
      <c r="CC138" s="59">
        <f t="shared" si="119"/>
        <v>293.33333333333468</v>
      </c>
      <c r="CD138" s="59">
        <f ca="1">AVERAGE(OFFSET($CC$3,0,0,'Données projet'!$E$12+1,1))-AVERAGE(OFFSET($H$3,0,0,'Données projet'!$E$12+1,1))</f>
        <v>216.95993967070063</v>
      </c>
      <c r="CE138" s="59">
        <f t="shared" si="148"/>
        <v>208.79744153433245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0.64582823793908883</v>
      </c>
      <c r="CL138" s="21">
        <f>EXP(-LN(2)/25)*CL137+(1-EXP(-LN(2)/25))/(LN(2)/25)*Calculateur!CG138*Calculateur!CI138*VLOOKUP('Données projet'!$B$12,Paramètres!$A$1:$I$89,3,0)*0.475*44/12</f>
        <v>0.34916456789341677</v>
      </c>
      <c r="CM138" s="21">
        <f>EXP(-LN(2)/2)*CM137+(1-EXP(-LN(2)/2))/(LN(2)/2)*CG138*CJ138*VLOOKUP('Données projet'!$B$12,Paramètres!$A$1:$I$89,3,0)*0.475*44/12</f>
        <v>1.9368791775154736E-16</v>
      </c>
      <c r="CN138" s="22">
        <f t="shared" si="120"/>
        <v>0.99499280583250582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3.813056537183002E-14</v>
      </c>
      <c r="CV138" s="13">
        <f t="shared" si="149"/>
        <v>6.4086286045526829E-13</v>
      </c>
      <c r="CW138" s="20">
        <f t="shared" si="121"/>
        <v>1.1825802166488628E-12</v>
      </c>
      <c r="CX138" s="59">
        <f t="shared" si="122"/>
        <v>293.33333333333451</v>
      </c>
      <c r="CY138" s="59">
        <f ca="1">AVERAGE(OFFSET($CX$3,0,0,'Données projet'!$E$13+1,1))-AVERAGE(OFFSET($H$3,0,0,'Données projet'!$E$13+1,1))</f>
        <v>181.32837315090507</v>
      </c>
      <c r="CZ138" s="59">
        <f t="shared" si="150"/>
        <v>175.03267817980338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0.68457793221543362</v>
      </c>
      <c r="DG138" s="21">
        <f>EXP(-LN(2)/25)*DG137+(1-EXP(-LN(2)/25))/(LN(2)/25)*Calculateur!DB138*Calculateur!DD138*VLOOKUP('Données projet'!$B$13,Paramètres!$A$1:$I$89,3,0)*0.475*44/12</f>
        <v>0.37011444196702192</v>
      </c>
      <c r="DH138" s="21">
        <f>EXP(-LN(2)/2)*DH137+(1-EXP(-LN(2)/2))/(LN(2)/2)*DB138*DE138*VLOOKUP('Données projet'!$B$13,Paramètres!$A$1:$I$89,3,0)*0.475*44/12</f>
        <v>1.6657160926633066E-16</v>
      </c>
      <c r="DI138" s="22">
        <f t="shared" si="123"/>
        <v>1.0546923741824556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-2.8421709430404007E-13</v>
      </c>
      <c r="DP138" s="17">
        <f>DO138*VLOOKUP('Données projet'!$B$14,Paramètres!$A$1:$I$89,3,0)*VLOOKUP('Données projet'!$B$14,Paramètres!$A$1:$I$89,5,0)</f>
        <v>-2.2612312022829427E-13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325.72928944930294</v>
      </c>
      <c r="DU138" s="59">
        <f t="shared" si="152"/>
        <v>318.38876834819752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2.164301388082162</v>
      </c>
      <c r="EB138" s="21">
        <f>EXP(-LN(2)/25)*EB137+(1-EXP(-LN(2)/25))/(LN(2)/25)*Calculateur!DW138*Calculateur!DY138*VLOOKUP('Données projet'!$B$14,Paramètres!$A$1:$I$89,3,0)*0.475*44/12</f>
        <v>1.1251801210644314</v>
      </c>
      <c r="EC138" s="21">
        <f>EXP(-LN(2)/2)*EC137+(1-EXP(-LN(2)/2))/(LN(2)/2)*DW138*DZ138*VLOOKUP('Données projet'!$B$14,Paramètres!$A$1:$I$89,3,0)*0.475*44/12</f>
        <v>1.8573755783948221E-15</v>
      </c>
      <c r="ED138" s="22">
        <f t="shared" si="126"/>
        <v>3.2894815091465954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-5.6843418860808015E-14</v>
      </c>
      <c r="EK138" s="17">
        <f>EJ138*VLOOKUP('Données projet'!$B$15,Paramètres!$A$1:$I$89,3,0)*VLOOKUP('Données projet'!$B$15,Paramètres!$A$1:$I$89,5,0)</f>
        <v>-5.7639226724859328E-14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384.50065773787549</v>
      </c>
      <c r="EP138" s="59">
        <f t="shared" si="154"/>
        <v>231.92898690465887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1.0238122750896155</v>
      </c>
      <c r="EW138" s="21">
        <f>EXP(-LN(2)/25)*EW137+(1-EXP(-LN(2)/25))/(LN(2)/25)*Calculateur!ER138*Calculateur!ET138*VLOOKUP('Données projet'!$B$15,Paramètres!$A$1:$I$89,3,0)*0.475*44/12</f>
        <v>0.57102657088742514</v>
      </c>
      <c r="EX138" s="21">
        <f>EXP(-LN(2)/2)*EX137+(1-EXP(-LN(2)/2))/(LN(2)/2)*ER138*EU138*VLOOKUP('Données projet'!$B$15,Paramètres!$A$1:$I$89,3,0)*0.475*44/12</f>
        <v>1.5017775146587882E-15</v>
      </c>
      <c r="EY138" s="22">
        <f t="shared" si="129"/>
        <v>1.5948388459770422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-1.5429577615577727E-13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326.46362829268969</v>
      </c>
      <c r="FK138" s="59">
        <f t="shared" si="156"/>
        <v>203.5274665601915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0.91355556854150244</v>
      </c>
      <c r="FR138" s="21">
        <f>EXP(-LN(2)/25)*FR137+(1-EXP(-LN(2)/25))/(LN(2)/25)*Calculateur!FM138*Calculateur!FO138*VLOOKUP('Données projet'!$B$16,Paramètres!$A$1:$I$89,3,0)*0.475*44/12</f>
        <v>0.50953140171493239</v>
      </c>
      <c r="FS138" s="21">
        <f>EXP(-LN(2)/2)*FS137+(1-EXP(-LN(2)/2))/(LN(2)/2)*FM138*FP138*VLOOKUP('Données projet'!$B$16,Paramètres!$A$1:$I$89,3,0)*0.475*44/12</f>
        <v>1.3400476284647648E-15</v>
      </c>
      <c r="FT138" s="22">
        <f t="shared" si="132"/>
        <v>1.4230869702564362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-1.7053025658242404E-13</v>
      </c>
      <c r="GA138" s="17">
        <f>FZ138*VLOOKUP('Données projet'!$B$17,Paramètres!$A$1:$I$89,3,0)*VLOOKUP('Données projet'!$B$17,Paramètres!$A$1:$I$89,5,0)</f>
        <v>-1.6493686416652052E-13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353.24082990916918</v>
      </c>
      <c r="GF138" s="59">
        <f t="shared" si="158"/>
        <v>219.76562717496353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0.97655940085470982</v>
      </c>
      <c r="GM138" s="21">
        <f>EXP(-LN(2)/25)*GM137+(1-EXP(-LN(2)/25))/(LN(2)/25)*Calculateur!GH138*Calculateur!GJ138*VLOOKUP('Données projet'!$B$17,Paramètres!$A$1:$I$89,3,0)*0.475*44/12</f>
        <v>0.54467149838492868</v>
      </c>
      <c r="GN138" s="21">
        <f>EXP(-LN(2)/2)*GN137+(1-EXP(-LN(2)/2))/(LN(2)/2)*GH138*GK138*VLOOKUP('Données projet'!$B$17,Paramètres!$A$1:$I$89,3,0)*0.475*44/12</f>
        <v>1.4324647062899214E-15</v>
      </c>
      <c r="GO138" s="21">
        <f t="shared" si="135"/>
        <v>1.5212308992396397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378.17323480030268</v>
      </c>
      <c r="T139" s="59">
        <f t="shared" si="142"/>
        <v>471.89239871617241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0.53980358597280442</v>
      </c>
      <c r="AA139" s="21">
        <f>EXP(-LN(2)/25)*AA138+(1-EXP(-LN(2)/25))/(LN(2)/25)*Calculateur!V139*Calculateur!X139*VLOOKUP('Données projet'!$B$9,Paramètres!$A$1:$I$89,3,0)*0.475*44/12</f>
        <v>1.100842754573349</v>
      </c>
      <c r="AB139" s="21">
        <f>EXP(-LN(2)/2)*AB138+(1-EXP(-LN(2)/2))/(LN(2)/2)*V139*Y139*VLOOKUP('Données projet'!$B$9,Paramètres!$A$1:$I$89,3,0)*0.475*44/12</f>
        <v>1.1613588902862737E-15</v>
      </c>
      <c r="AC139" s="22">
        <f t="shared" si="111"/>
        <v>1.6406463405461544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141.22849894256314</v>
      </c>
      <c r="AO139" s="59">
        <f t="shared" si="144"/>
        <v>156.12101479343704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0.90138723298609968</v>
      </c>
      <c r="AV139" s="21">
        <f>EXP(-LN(2)/25)*AV138+(1-EXP(-LN(2)/25))/(LN(2)/25)*Calculateur!AQ139*Calculateur!AS139*VLOOKUP('Données projet'!$B$10,Paramètres!$A$1:$I$89,3,0)*0.475*44/12</f>
        <v>0.31872222451780036</v>
      </c>
      <c r="AW139" s="21">
        <f>EXP(-LN(2)/2)*AW138+(1-EXP(-LN(2)/2))/(LN(2)/2)*AQ139*AT139*VLOOKUP('Données projet'!$B$10,Paramètres!$A$1:$I$89,3,0)*0.475*44/12</f>
        <v>3.2840075438929237E-16</v>
      </c>
      <c r="AX139" s="21">
        <f t="shared" si="114"/>
        <v>1.2201094575039002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114.25511901730295</v>
      </c>
      <c r="BJ139" s="59">
        <f t="shared" si="146"/>
        <v>180.96261947642182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0.41891733932945463</v>
      </c>
      <c r="BQ139" s="21">
        <f>EXP(-LN(2)/25)*BQ138+(1-EXP(-LN(2)/25))/(LN(2)/25)*Calculateur!BL139*Calculateur!BN139*VLOOKUP('Données projet'!$B$11,Paramètres!$A$1:$I$89,3,0)*0.475*44/12</f>
        <v>0.9428083785117336</v>
      </c>
      <c r="BR139" s="21">
        <f>EXP(-LN(2)/2)*BR138+(1-EXP(-LN(2)/2))/(LN(2)/2)*BL139*BO139*VLOOKUP('Données projet'!$B$11,Paramètres!$A$1:$I$89,3,0)*0.475*44/12</f>
        <v>7.585113135568434E-16</v>
      </c>
      <c r="BS139" s="22">
        <f t="shared" si="117"/>
        <v>1.3617257178411888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4.4337866711430253E-14</v>
      </c>
      <c r="CA139" s="13">
        <f t="shared" si="147"/>
        <v>7.3222115536967035E-13</v>
      </c>
      <c r="CB139" s="20">
        <f t="shared" si="118"/>
        <v>1.3525069634579169E-12</v>
      </c>
      <c r="CC139" s="59">
        <f t="shared" si="119"/>
        <v>293.33333333333468</v>
      </c>
      <c r="CD139" s="59">
        <f ca="1">AVERAGE(OFFSET($CC$3,0,0,'Données projet'!$E$12+1,1))-AVERAGE(OFFSET($H$3,0,0,'Données projet'!$E$12+1,1))</f>
        <v>216.95993967070063</v>
      </c>
      <c r="CE139" s="59">
        <f t="shared" si="148"/>
        <v>208.79744153433245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0.63316394010943244</v>
      </c>
      <c r="CL139" s="21">
        <f>EXP(-LN(2)/25)*CL138+(1-EXP(-LN(2)/25))/(LN(2)/25)*Calculateur!CG139*Calculateur!CI139*VLOOKUP('Données projet'!$B$12,Paramètres!$A$1:$I$89,3,0)*0.475*44/12</f>
        <v>0.3396166444226047</v>
      </c>
      <c r="CM139" s="21">
        <f>EXP(-LN(2)/2)*CM138+(1-EXP(-LN(2)/2))/(LN(2)/2)*CG139*CJ139*VLOOKUP('Données projet'!$B$12,Paramètres!$A$1:$I$89,3,0)*0.475*44/12</f>
        <v>1.3695804007602141E-16</v>
      </c>
      <c r="CN139" s="22">
        <f t="shared" si="120"/>
        <v>0.97278058453203731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3.813056537183002E-14</v>
      </c>
      <c r="CV139" s="13">
        <f t="shared" si="149"/>
        <v>6.4086286045526829E-13</v>
      </c>
      <c r="CW139" s="20">
        <f t="shared" si="121"/>
        <v>1.1825802166488628E-12</v>
      </c>
      <c r="CX139" s="59">
        <f t="shared" si="122"/>
        <v>293.33333333333451</v>
      </c>
      <c r="CY139" s="59">
        <f ca="1">AVERAGE(OFFSET($CX$3,0,0,'Données projet'!$E$13+1,1))-AVERAGE(OFFSET($H$3,0,0,'Données projet'!$E$13+1,1))</f>
        <v>181.32837315090507</v>
      </c>
      <c r="CZ139" s="59">
        <f t="shared" si="150"/>
        <v>175.03267817980338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0.67115377651599784</v>
      </c>
      <c r="DG139" s="21">
        <f>EXP(-LN(2)/25)*DG138+(1-EXP(-LN(2)/25))/(LN(2)/25)*Calculateur!DB139*Calculateur!DD139*VLOOKUP('Données projet'!$B$13,Paramètres!$A$1:$I$89,3,0)*0.475*44/12</f>
        <v>0.35999364308796111</v>
      </c>
      <c r="DH139" s="21">
        <f>EXP(-LN(2)/2)*DH138+(1-EXP(-LN(2)/2))/(LN(2)/2)*DB139*DE139*VLOOKUP('Données projet'!$B$13,Paramètres!$A$1:$I$89,3,0)*0.475*44/12</f>
        <v>1.1778391446537836E-16</v>
      </c>
      <c r="DI139" s="22">
        <f t="shared" si="123"/>
        <v>1.0311474196039592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-2.8421709430404007E-13</v>
      </c>
      <c r="DP139" s="17">
        <f>DO139*VLOOKUP('Données projet'!$B$14,Paramètres!$A$1:$I$89,3,0)*VLOOKUP('Données projet'!$B$14,Paramètres!$A$1:$I$89,5,0)</f>
        <v>-2.2612312022829427E-13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325.72928944930294</v>
      </c>
      <c r="DU139" s="59">
        <f t="shared" si="152"/>
        <v>318.38876834819752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2.121860757955369</v>
      </c>
      <c r="EB139" s="21">
        <f>EXP(-LN(2)/25)*EB138+(1-EXP(-LN(2)/25))/(LN(2)/25)*Calculateur!DW139*Calculateur!DY139*VLOOKUP('Données projet'!$B$14,Paramètres!$A$1:$I$89,3,0)*0.475*44/12</f>
        <v>1.0944120114832736</v>
      </c>
      <c r="EC139" s="21">
        <f>EXP(-LN(2)/2)*EC138+(1-EXP(-LN(2)/2))/(LN(2)/2)*DW139*DZ139*VLOOKUP('Données projet'!$B$14,Paramètres!$A$1:$I$89,3,0)*0.475*44/12</f>
        <v>1.3133628666932647E-15</v>
      </c>
      <c r="ED139" s="22">
        <f t="shared" si="126"/>
        <v>3.2162727694386439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-5.6843418860808015E-14</v>
      </c>
      <c r="EK139" s="17">
        <f>EJ139*VLOOKUP('Données projet'!$B$15,Paramètres!$A$1:$I$89,3,0)*VLOOKUP('Données projet'!$B$15,Paramètres!$A$1:$I$89,5,0)</f>
        <v>-5.7639226724859328E-14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384.50065773787549</v>
      </c>
      <c r="EP139" s="59">
        <f t="shared" si="154"/>
        <v>231.92898690465887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1.0037359408389352</v>
      </c>
      <c r="EW139" s="21">
        <f>EXP(-LN(2)/25)*EW138+(1-EXP(-LN(2)/25))/(LN(2)/25)*Calculateur!ER139*Calculateur!ET139*VLOOKUP('Données projet'!$B$15,Paramètres!$A$1:$I$89,3,0)*0.475*44/12</f>
        <v>0.55541181927752625</v>
      </c>
      <c r="EX139" s="21">
        <f>EXP(-LN(2)/2)*EX138+(1-EXP(-LN(2)/2))/(LN(2)/2)*ER139*EU139*VLOOKUP('Données projet'!$B$15,Paramètres!$A$1:$I$89,3,0)*0.475*44/12</f>
        <v>1.0619170644487089E-15</v>
      </c>
      <c r="EY139" s="22">
        <f t="shared" si="129"/>
        <v>1.5591477601164627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-1.5429577615577727E-13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326.46362829268969</v>
      </c>
      <c r="FK139" s="59">
        <f t="shared" si="156"/>
        <v>203.5274665601915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0.89564130105628004</v>
      </c>
      <c r="FR139" s="21">
        <f>EXP(-LN(2)/25)*FR138+(1-EXP(-LN(2)/25))/(LN(2)/25)*Calculateur!FM139*Calculateur!FO139*VLOOKUP('Données projet'!$B$16,Paramètres!$A$1:$I$89,3,0)*0.475*44/12</f>
        <v>0.49559823873994568</v>
      </c>
      <c r="FS139" s="21">
        <f>EXP(-LN(2)/2)*FS138+(1-EXP(-LN(2)/2))/(LN(2)/2)*FM139*FP139*VLOOKUP('Données projet'!$B$16,Paramètres!$A$1:$I$89,3,0)*0.475*44/12</f>
        <v>9.475567652003864E-16</v>
      </c>
      <c r="FT139" s="22">
        <f t="shared" si="132"/>
        <v>1.3912395397962265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-1.7053025658242404E-13</v>
      </c>
      <c r="GA139" s="17">
        <f>FZ139*VLOOKUP('Données projet'!$B$17,Paramètres!$A$1:$I$89,3,0)*VLOOKUP('Données projet'!$B$17,Paramètres!$A$1:$I$89,5,0)</f>
        <v>-1.6493686416652052E-13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353.24082990916918</v>
      </c>
      <c r="GF139" s="59">
        <f t="shared" si="158"/>
        <v>219.76562717496353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0.95740966664636873</v>
      </c>
      <c r="GM139" s="21">
        <f>EXP(-LN(2)/25)*GM138+(1-EXP(-LN(2)/25))/(LN(2)/25)*Calculateur!GH139*Calculateur!GJ139*VLOOKUP('Données projet'!$B$17,Paramètres!$A$1:$I$89,3,0)*0.475*44/12</f>
        <v>0.52977742761856361</v>
      </c>
      <c r="GN139" s="21">
        <f>EXP(-LN(2)/2)*GN138+(1-EXP(-LN(2)/2))/(LN(2)/2)*GH139*GK139*VLOOKUP('Données projet'!$B$17,Paramètres!$A$1:$I$89,3,0)*0.475*44/12</f>
        <v>1.0129055076279995E-15</v>
      </c>
      <c r="GO139" s="21">
        <f t="shared" si="135"/>
        <v>1.4871870942649335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378.17323480030268</v>
      </c>
      <c r="T140" s="59">
        <f t="shared" si="142"/>
        <v>471.89239871617241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0.5292183668995547</v>
      </c>
      <c r="AA140" s="21">
        <f>EXP(-LN(2)/25)*AA139+(1-EXP(-LN(2)/25))/(LN(2)/25)*Calculateur!V140*Calculateur!X140*VLOOKUP('Données projet'!$B$9,Paramètres!$A$1:$I$89,3,0)*0.475*44/12</f>
        <v>1.0707401515587363</v>
      </c>
      <c r="AB140" s="21">
        <f>EXP(-LN(2)/2)*AB139+(1-EXP(-LN(2)/2))/(LN(2)/2)*V140*Y140*VLOOKUP('Données projet'!$B$9,Paramètres!$A$1:$I$89,3,0)*0.475*44/12</f>
        <v>8.2120474671270779E-16</v>
      </c>
      <c r="AC140" s="22">
        <f t="shared" si="111"/>
        <v>1.5999585184582918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141.22849894256314</v>
      </c>
      <c r="AO140" s="59">
        <f t="shared" si="144"/>
        <v>156.12101479343704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0.88371157913916698</v>
      </c>
      <c r="AV140" s="21">
        <f>EXP(-LN(2)/25)*AV139+(1-EXP(-LN(2)/25))/(LN(2)/25)*Calculateur!AQ140*Calculateur!AS140*VLOOKUP('Données projet'!$B$10,Paramètres!$A$1:$I$89,3,0)*0.475*44/12</f>
        <v>0.31000674852748777</v>
      </c>
      <c r="AW140" s="21">
        <f>EXP(-LN(2)/2)*AW139+(1-EXP(-LN(2)/2))/(LN(2)/2)*AQ140*AT140*VLOOKUP('Données projet'!$B$10,Paramètres!$A$1:$I$89,3,0)*0.475*44/12</f>
        <v>2.3221440037544649E-16</v>
      </c>
      <c r="AX140" s="21">
        <f t="shared" si="114"/>
        <v>1.193718327666655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114.25511901730295</v>
      </c>
      <c r="BJ140" s="59">
        <f t="shared" si="146"/>
        <v>180.96261947642182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0.41070262581955108</v>
      </c>
      <c r="BQ140" s="21">
        <f>EXP(-LN(2)/25)*BQ139+(1-EXP(-LN(2)/25))/(LN(2)/25)*Calculateur!BL140*Calculateur!BN140*VLOOKUP('Données projet'!$B$11,Paramètres!$A$1:$I$89,3,0)*0.475*44/12</f>
        <v>0.91702723382119244</v>
      </c>
      <c r="BR140" s="21">
        <f>EXP(-LN(2)/2)*BR139+(1-EXP(-LN(2)/2))/(LN(2)/2)*BL140*BO140*VLOOKUP('Données projet'!$B$11,Paramètres!$A$1:$I$89,3,0)*0.475*44/12</f>
        <v>5.363484934227596E-16</v>
      </c>
      <c r="BS140" s="22">
        <f t="shared" si="117"/>
        <v>1.3277298596407441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4.4337866711430253E-14</v>
      </c>
      <c r="CA140" s="13">
        <f t="shared" si="147"/>
        <v>7.3222115536967035E-13</v>
      </c>
      <c r="CB140" s="20">
        <f t="shared" si="118"/>
        <v>1.3525069634579169E-12</v>
      </c>
      <c r="CC140" s="59">
        <f t="shared" si="119"/>
        <v>293.33333333333468</v>
      </c>
      <c r="CD140" s="59">
        <f ca="1">AVERAGE(OFFSET($CC$3,0,0,'Données projet'!$E$12+1,1))-AVERAGE(OFFSET($H$3,0,0,'Données projet'!$E$12+1,1))</f>
        <v>216.95993967070063</v>
      </c>
      <c r="CE140" s="59">
        <f t="shared" si="148"/>
        <v>208.79744153433245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0.62074798143575671</v>
      </c>
      <c r="CL140" s="21">
        <f>EXP(-LN(2)/25)*CL139+(1-EXP(-LN(2)/25))/(LN(2)/25)*Calculateur!CG140*Calculateur!CI140*VLOOKUP('Données projet'!$B$12,Paramètres!$A$1:$I$89,3,0)*0.475*44/12</f>
        <v>0.33032980942120543</v>
      </c>
      <c r="CM140" s="21">
        <f>EXP(-LN(2)/2)*CM139+(1-EXP(-LN(2)/2))/(LN(2)/2)*CG140*CJ140*VLOOKUP('Données projet'!$B$12,Paramètres!$A$1:$I$89,3,0)*0.475*44/12</f>
        <v>9.6843958875773679E-17</v>
      </c>
      <c r="CN140" s="22">
        <f t="shared" si="120"/>
        <v>0.9510777908569622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3.813056537183002E-14</v>
      </c>
      <c r="CV140" s="13">
        <f t="shared" si="149"/>
        <v>6.4086286045526829E-13</v>
      </c>
      <c r="CW140" s="20">
        <f t="shared" si="121"/>
        <v>1.1825802166488628E-12</v>
      </c>
      <c r="CX140" s="59">
        <f t="shared" si="122"/>
        <v>293.33333333333451</v>
      </c>
      <c r="CY140" s="59">
        <f ca="1">AVERAGE(OFFSET($CX$3,0,0,'Données projet'!$E$13+1,1))-AVERAGE(OFFSET($H$3,0,0,'Données projet'!$E$13+1,1))</f>
        <v>181.32837315090507</v>
      </c>
      <c r="CZ140" s="59">
        <f t="shared" si="150"/>
        <v>175.03267817980338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0.65799286032190152</v>
      </c>
      <c r="DG140" s="21">
        <f>EXP(-LN(2)/25)*DG139+(1-EXP(-LN(2)/25))/(LN(2)/25)*Calculateur!DB140*Calculateur!DD140*VLOOKUP('Données projet'!$B$13,Paramètres!$A$1:$I$89,3,0)*0.475*44/12</f>
        <v>0.35014959798647788</v>
      </c>
      <c r="DH140" s="21">
        <f>EXP(-LN(2)/2)*DH139+(1-EXP(-LN(2)/2))/(LN(2)/2)*DB140*DE140*VLOOKUP('Données projet'!$B$13,Paramètres!$A$1:$I$89,3,0)*0.475*44/12</f>
        <v>8.3285804633165329E-17</v>
      </c>
      <c r="DI140" s="22">
        <f t="shared" si="123"/>
        <v>1.0081424583083793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-2.8421709430404007E-13</v>
      </c>
      <c r="DP140" s="17">
        <f>DO140*VLOOKUP('Données projet'!$B$14,Paramètres!$A$1:$I$89,3,0)*VLOOKUP('Données projet'!$B$14,Paramètres!$A$1:$I$89,5,0)</f>
        <v>-2.2612312022829427E-13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325.72928944930294</v>
      </c>
      <c r="DU140" s="59">
        <f t="shared" si="152"/>
        <v>318.38876834819752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2.080252362699134</v>
      </c>
      <c r="EB140" s="21">
        <f>EXP(-LN(2)/25)*EB139+(1-EXP(-LN(2)/25))/(LN(2)/25)*Calculateur!DW140*Calculateur!DY140*VLOOKUP('Données projet'!$B$14,Paramètres!$A$1:$I$89,3,0)*0.475*44/12</f>
        <v>1.064485257476637</v>
      </c>
      <c r="EC140" s="21">
        <f>EXP(-LN(2)/2)*EC139+(1-EXP(-LN(2)/2))/(LN(2)/2)*DW140*DZ140*VLOOKUP('Données projet'!$B$14,Paramètres!$A$1:$I$89,3,0)*0.475*44/12</f>
        <v>9.2868778919741105E-16</v>
      </c>
      <c r="ED140" s="22">
        <f t="shared" si="126"/>
        <v>3.1447376201757722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-5.6843418860808015E-14</v>
      </c>
      <c r="EK140" s="17">
        <f>EJ140*VLOOKUP('Données projet'!$B$15,Paramètres!$A$1:$I$89,3,0)*VLOOKUP('Données projet'!$B$15,Paramètres!$A$1:$I$89,5,0)</f>
        <v>-5.7639226724859328E-14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384.50065773787549</v>
      </c>
      <c r="EP140" s="59">
        <f t="shared" si="154"/>
        <v>231.92898690465887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0.98405329125755614</v>
      </c>
      <c r="EW140" s="21">
        <f>EXP(-LN(2)/25)*EW139+(1-EXP(-LN(2)/25))/(LN(2)/25)*Calculateur!ER140*Calculateur!ET140*VLOOKUP('Données projet'!$B$15,Paramètres!$A$1:$I$89,3,0)*0.475*44/12</f>
        <v>0.54022405387154415</v>
      </c>
      <c r="EX140" s="21">
        <f>EXP(-LN(2)/2)*EX139+(1-EXP(-LN(2)/2))/(LN(2)/2)*ER140*EU140*VLOOKUP('Données projet'!$B$15,Paramètres!$A$1:$I$89,3,0)*0.475*44/12</f>
        <v>7.5088875732939412E-16</v>
      </c>
      <c r="EY140" s="22">
        <f t="shared" si="129"/>
        <v>1.524277345129101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-1.5429577615577727E-13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326.46362829268969</v>
      </c>
      <c r="FK140" s="59">
        <f t="shared" si="156"/>
        <v>203.5274665601915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0.87807832142981868</v>
      </c>
      <c r="FR140" s="21">
        <f>EXP(-LN(2)/25)*FR139+(1-EXP(-LN(2)/25))/(LN(2)/25)*Calculateur!FM140*Calculateur!FO140*VLOOKUP('Données projet'!$B$16,Paramètres!$A$1:$I$89,3,0)*0.475*44/12</f>
        <v>0.48204607883922318</v>
      </c>
      <c r="FS140" s="21">
        <f>EXP(-LN(2)/2)*FS139+(1-EXP(-LN(2)/2))/(LN(2)/2)*FM140*FP140*VLOOKUP('Données projet'!$B$16,Paramètres!$A$1:$I$89,3,0)*0.475*44/12</f>
        <v>6.7002381423238242E-16</v>
      </c>
      <c r="FT140" s="22">
        <f t="shared" si="132"/>
        <v>1.3601244002690425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-1.7053025658242404E-13</v>
      </c>
      <c r="GA140" s="17">
        <f>FZ140*VLOOKUP('Données projet'!$B$17,Paramètres!$A$1:$I$89,3,0)*VLOOKUP('Données projet'!$B$17,Paramètres!$A$1:$I$89,5,0)</f>
        <v>-1.6493686416652052E-13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353.24082990916918</v>
      </c>
      <c r="GF140" s="59">
        <f t="shared" si="158"/>
        <v>219.76562717496353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0.93863544704566859</v>
      </c>
      <c r="GM140" s="21">
        <f>EXP(-LN(2)/25)*GM139+(1-EXP(-LN(2)/25))/(LN(2)/25)*Calculateur!GH140*Calculateur!GJ140*VLOOKUP('Données projet'!$B$17,Paramètres!$A$1:$I$89,3,0)*0.475*44/12</f>
        <v>0.51529063600054992</v>
      </c>
      <c r="GN140" s="21">
        <f>EXP(-LN(2)/2)*GN139+(1-EXP(-LN(2)/2))/(LN(2)/2)*GH140*GK140*VLOOKUP('Données projet'!$B$17,Paramètres!$A$1:$I$89,3,0)*0.475*44/12</f>
        <v>7.1623235314496072E-16</v>
      </c>
      <c r="GO140" s="21">
        <f t="shared" si="135"/>
        <v>1.4539260830462191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378.17323480030268</v>
      </c>
      <c r="T141" s="59">
        <f t="shared" si="142"/>
        <v>471.89239871617241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0.51884071751598526</v>
      </c>
      <c r="AA141" s="21">
        <f>EXP(-LN(2)/25)*AA140+(1-EXP(-LN(2)/25))/(LN(2)/25)*Calculateur!V141*Calculateur!X141*VLOOKUP('Données projet'!$B$9,Paramètres!$A$1:$I$89,3,0)*0.475*44/12</f>
        <v>1.0414607058065852</v>
      </c>
      <c r="AB141" s="21">
        <f>EXP(-LN(2)/2)*AB140+(1-EXP(-LN(2)/2))/(LN(2)/2)*V141*Y141*VLOOKUP('Données projet'!$B$9,Paramètres!$A$1:$I$89,3,0)*0.475*44/12</f>
        <v>5.8067944514313684E-16</v>
      </c>
      <c r="AC141" s="22">
        <f t="shared" si="111"/>
        <v>1.5603014233225712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141.22849894256314</v>
      </c>
      <c r="AO141" s="59">
        <f t="shared" si="144"/>
        <v>156.12101479343704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0.8663825340830883</v>
      </c>
      <c r="AV141" s="21">
        <f>EXP(-LN(2)/25)*AV140+(1-EXP(-LN(2)/25))/(LN(2)/25)*Calculateur!AQ141*Calculateur!AS141*VLOOKUP('Données projet'!$B$10,Paramètres!$A$1:$I$89,3,0)*0.475*44/12</f>
        <v>0.30152959768645726</v>
      </c>
      <c r="AW141" s="21">
        <f>EXP(-LN(2)/2)*AW140+(1-EXP(-LN(2)/2))/(LN(2)/2)*AQ141*AT141*VLOOKUP('Données projet'!$B$10,Paramètres!$A$1:$I$89,3,0)*0.475*44/12</f>
        <v>1.6420037719464618E-16</v>
      </c>
      <c r="AX141" s="21">
        <f t="shared" si="114"/>
        <v>1.1679121317695458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114.25511901730295</v>
      </c>
      <c r="BJ141" s="59">
        <f t="shared" si="146"/>
        <v>180.96261947642182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0.40264899783109626</v>
      </c>
      <c r="BQ141" s="21">
        <f>EXP(-LN(2)/25)*BQ140+(1-EXP(-LN(2)/25))/(LN(2)/25)*Calculateur!BL141*Calculateur!BN141*VLOOKUP('Données projet'!$B$11,Paramètres!$A$1:$I$89,3,0)*0.475*44/12</f>
        <v>0.89195107588798561</v>
      </c>
      <c r="BR141" s="21">
        <f>EXP(-LN(2)/2)*BR140+(1-EXP(-LN(2)/2))/(LN(2)/2)*BL141*BO141*VLOOKUP('Données projet'!$B$11,Paramètres!$A$1:$I$89,3,0)*0.475*44/12</f>
        <v>3.792556567784217E-16</v>
      </c>
      <c r="BS141" s="22">
        <f t="shared" si="117"/>
        <v>1.2946000737190824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4.4337866711430253E-14</v>
      </c>
      <c r="CA141" s="13">
        <f t="shared" si="147"/>
        <v>7.3222115536967035E-13</v>
      </c>
      <c r="CB141" s="20">
        <f t="shared" si="118"/>
        <v>1.3525069634579169E-12</v>
      </c>
      <c r="CC141" s="59">
        <f t="shared" si="119"/>
        <v>293.33333333333468</v>
      </c>
      <c r="CD141" s="59">
        <f ca="1">AVERAGE(OFFSET($CC$3,0,0,'Données projet'!$E$12+1,1))-AVERAGE(OFFSET($H$3,0,0,'Données projet'!$E$12+1,1))</f>
        <v>216.95993967070063</v>
      </c>
      <c r="CE141" s="59">
        <f t="shared" si="148"/>
        <v>208.79744153433245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0.60857549213868467</v>
      </c>
      <c r="CL141" s="21">
        <f>EXP(-LN(2)/25)*CL140+(1-EXP(-LN(2)/25))/(LN(2)/25)*Calculateur!CG141*Calculateur!CI141*VLOOKUP('Données projet'!$B$12,Paramètres!$A$1:$I$89,3,0)*0.475*44/12</f>
        <v>0.32129692341129285</v>
      </c>
      <c r="CM141" s="21">
        <f>EXP(-LN(2)/2)*CM140+(1-EXP(-LN(2)/2))/(LN(2)/2)*CG141*CJ141*VLOOKUP('Données projet'!$B$12,Paramètres!$A$1:$I$89,3,0)*0.475*44/12</f>
        <v>6.8479020038010705E-17</v>
      </c>
      <c r="CN141" s="22">
        <f t="shared" si="120"/>
        <v>0.92987241554997768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3.813056537183002E-14</v>
      </c>
      <c r="CV141" s="13">
        <f t="shared" si="149"/>
        <v>6.4086286045526829E-13</v>
      </c>
      <c r="CW141" s="20">
        <f t="shared" si="121"/>
        <v>1.1825802166488628E-12</v>
      </c>
      <c r="CX141" s="59">
        <f t="shared" si="122"/>
        <v>293.33333333333451</v>
      </c>
      <c r="CY141" s="59">
        <f ca="1">AVERAGE(OFFSET($CX$3,0,0,'Données projet'!$E$13+1,1))-AVERAGE(OFFSET($H$3,0,0,'Données projet'!$E$13+1,1))</f>
        <v>181.32837315090507</v>
      </c>
      <c r="CZ141" s="59">
        <f t="shared" si="150"/>
        <v>175.03267817980338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0.64509002166700513</v>
      </c>
      <c r="DG141" s="21">
        <f>EXP(-LN(2)/25)*DG140+(1-EXP(-LN(2)/25))/(LN(2)/25)*Calculateur!DB141*Calculateur!DD141*VLOOKUP('Données projet'!$B$13,Paramètres!$A$1:$I$89,3,0)*0.475*44/12</f>
        <v>0.34057473881597056</v>
      </c>
      <c r="DH141" s="21">
        <f>EXP(-LN(2)/2)*DH140+(1-EXP(-LN(2)/2))/(LN(2)/2)*DB141*DE141*VLOOKUP('Données projet'!$B$13,Paramètres!$A$1:$I$89,3,0)*0.475*44/12</f>
        <v>5.8891957232689181E-17</v>
      </c>
      <c r="DI141" s="22">
        <f t="shared" si="123"/>
        <v>0.9856647604829758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-2.8421709430404007E-13</v>
      </c>
      <c r="DP141" s="17">
        <f>DO141*VLOOKUP('Données projet'!$B$14,Paramètres!$A$1:$I$89,3,0)*VLOOKUP('Données projet'!$B$14,Paramètres!$A$1:$I$89,5,0)</f>
        <v>-2.2612312022829427E-13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325.72928944930294</v>
      </c>
      <c r="DU141" s="59">
        <f t="shared" si="152"/>
        <v>318.38876834819752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2.039459882695259</v>
      </c>
      <c r="EB141" s="21">
        <f>EXP(-LN(2)/25)*EB140+(1-EXP(-LN(2)/25))/(LN(2)/25)*Calculateur!DW141*Calculateur!DY141*VLOOKUP('Données projet'!$B$14,Paramètres!$A$1:$I$89,3,0)*0.475*44/12</f>
        <v>1.0353768521320916</v>
      </c>
      <c r="EC141" s="21">
        <f>EXP(-LN(2)/2)*EC140+(1-EXP(-LN(2)/2))/(LN(2)/2)*DW141*DZ141*VLOOKUP('Données projet'!$B$14,Paramètres!$A$1:$I$89,3,0)*0.475*44/12</f>
        <v>6.5668143334663234E-16</v>
      </c>
      <c r="ED141" s="22">
        <f t="shared" si="126"/>
        <v>3.0748367348273509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-5.6843418860808015E-14</v>
      </c>
      <c r="EK141" s="17">
        <f>EJ141*VLOOKUP('Données projet'!$B$15,Paramètres!$A$1:$I$89,3,0)*VLOOKUP('Données projet'!$B$15,Paramètres!$A$1:$I$89,5,0)</f>
        <v>-5.7639226724859328E-14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384.50065773787549</v>
      </c>
      <c r="EP141" s="59">
        <f t="shared" si="154"/>
        <v>231.92898690465887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0.964756606429237</v>
      </c>
      <c r="EW141" s="21">
        <f>EXP(-LN(2)/25)*EW140+(1-EXP(-LN(2)/25))/(LN(2)/25)*Calculateur!ER141*Calculateur!ET141*VLOOKUP('Données projet'!$B$15,Paramètres!$A$1:$I$89,3,0)*0.475*44/12</f>
        <v>0.52545159870927849</v>
      </c>
      <c r="EX141" s="21">
        <f>EXP(-LN(2)/2)*EX140+(1-EXP(-LN(2)/2))/(LN(2)/2)*ER141*EU141*VLOOKUP('Données projet'!$B$15,Paramètres!$A$1:$I$89,3,0)*0.475*44/12</f>
        <v>5.3095853222435447E-16</v>
      </c>
      <c r="EY141" s="22">
        <f t="shared" si="129"/>
        <v>1.4902082051385159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-1.5429577615577727E-13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326.46362829268969</v>
      </c>
      <c r="FK141" s="59">
        <f t="shared" si="156"/>
        <v>203.5274665601915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0.86085974112147234</v>
      </c>
      <c r="FR141" s="21">
        <f>EXP(-LN(2)/25)*FR140+(1-EXP(-LN(2)/25))/(LN(2)/25)*Calculateur!FM141*Calculateur!FO141*VLOOKUP('Données projet'!$B$16,Paramètres!$A$1:$I$89,3,0)*0.475*44/12</f>
        <v>0.46886450346366304</v>
      </c>
      <c r="FS141" s="21">
        <f>EXP(-LN(2)/2)*FS140+(1-EXP(-LN(2)/2))/(LN(2)/2)*FM141*FP141*VLOOKUP('Données projet'!$B$16,Paramètres!$A$1:$I$89,3,0)*0.475*44/12</f>
        <v>4.737783826001932E-16</v>
      </c>
      <c r="FT141" s="22">
        <f t="shared" si="132"/>
        <v>1.3297242445851358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-1.7053025658242404E-13</v>
      </c>
      <c r="GA141" s="17">
        <f>FZ141*VLOOKUP('Données projet'!$B$17,Paramètres!$A$1:$I$89,3,0)*VLOOKUP('Données projet'!$B$17,Paramètres!$A$1:$I$89,5,0)</f>
        <v>-1.6493686416652052E-13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353.24082990916918</v>
      </c>
      <c r="GF141" s="59">
        <f t="shared" si="158"/>
        <v>219.76562717496353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0.92022937844019492</v>
      </c>
      <c r="GM141" s="21">
        <f>EXP(-LN(2)/25)*GM140+(1-EXP(-LN(2)/25))/(LN(2)/25)*Calculateur!GH141*Calculateur!GJ141*VLOOKUP('Données projet'!$B$17,Paramètres!$A$1:$I$89,3,0)*0.475*44/12</f>
        <v>0.50119998646115804</v>
      </c>
      <c r="GN141" s="21">
        <f>EXP(-LN(2)/2)*GN140+(1-EXP(-LN(2)/2))/(LN(2)/2)*GH141*GK141*VLOOKUP('Données projet'!$B$17,Paramètres!$A$1:$I$89,3,0)*0.475*44/12</f>
        <v>5.0645275381399977E-16</v>
      </c>
      <c r="GO141" s="21">
        <f t="shared" si="135"/>
        <v>1.4214293649013534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378.17323480030268</v>
      </c>
      <c r="T142" s="59">
        <f t="shared" si="142"/>
        <v>471.89239871617241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0.5086665675070865</v>
      </c>
      <c r="AA142" s="21">
        <f>EXP(-LN(2)/25)*AA141+(1-EXP(-LN(2)/25))/(LN(2)/25)*Calculateur!V142*Calculateur!X142*VLOOKUP('Données projet'!$B$9,Paramètres!$A$1:$I$89,3,0)*0.475*44/12</f>
        <v>1.0129819080382658</v>
      </c>
      <c r="AB142" s="21">
        <f>EXP(-LN(2)/2)*AB141+(1-EXP(-LN(2)/2))/(LN(2)/2)*V142*Y142*VLOOKUP('Données projet'!$B$9,Paramètres!$A$1:$I$89,3,0)*0.475*44/12</f>
        <v>4.1060237335635389E-16</v>
      </c>
      <c r="AC142" s="22">
        <f t="shared" si="111"/>
        <v>1.5216484755453528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141.22849894256314</v>
      </c>
      <c r="AO142" s="59">
        <f t="shared" si="144"/>
        <v>156.12101479343704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0.84939330103088551</v>
      </c>
      <c r="AV142" s="21">
        <f>EXP(-LN(2)/25)*AV141+(1-EXP(-LN(2)/25))/(LN(2)/25)*Calculateur!AQ142*Calculateur!AS142*VLOOKUP('Données projet'!$B$10,Paramètres!$A$1:$I$89,3,0)*0.475*44/12</f>
        <v>0.29328425498096872</v>
      </c>
      <c r="AW142" s="21">
        <f>EXP(-LN(2)/2)*AW141+(1-EXP(-LN(2)/2))/(LN(2)/2)*AQ142*AT142*VLOOKUP('Données projet'!$B$10,Paramètres!$A$1:$I$89,3,0)*0.475*44/12</f>
        <v>1.1610720018772325E-16</v>
      </c>
      <c r="AX142" s="21">
        <f t="shared" si="114"/>
        <v>1.1426775560118545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114.25511901730295</v>
      </c>
      <c r="BJ142" s="59">
        <f t="shared" si="146"/>
        <v>180.96261947642182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0.39475329657526698</v>
      </c>
      <c r="BQ142" s="21">
        <f>EXP(-LN(2)/25)*BQ141+(1-EXP(-LN(2)/25))/(LN(2)/25)*Calculateur!BL142*Calculateur!BN142*VLOOKUP('Données projet'!$B$11,Paramètres!$A$1:$I$89,3,0)*0.475*44/12</f>
        <v>0.86756062681216017</v>
      </c>
      <c r="BR142" s="21">
        <f>EXP(-LN(2)/2)*BR141+(1-EXP(-LN(2)/2))/(LN(2)/2)*BL142*BO142*VLOOKUP('Données projet'!$B$11,Paramètres!$A$1:$I$89,3,0)*0.475*44/12</f>
        <v>2.681742467113798E-16</v>
      </c>
      <c r="BS142" s="22">
        <f t="shared" si="117"/>
        <v>1.2623139233874274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4.4337866711430253E-14</v>
      </c>
      <c r="CA142" s="13">
        <f t="shared" si="147"/>
        <v>7.3222115536967035E-13</v>
      </c>
      <c r="CB142" s="20">
        <f t="shared" si="118"/>
        <v>1.3525069634579169E-12</v>
      </c>
      <c r="CC142" s="59">
        <f t="shared" si="119"/>
        <v>293.33333333333468</v>
      </c>
      <c r="CD142" s="59">
        <f ca="1">AVERAGE(OFFSET($CC$3,0,0,'Données projet'!$E$12+1,1))-AVERAGE(OFFSET($H$3,0,0,'Données projet'!$E$12+1,1))</f>
        <v>216.95993967070063</v>
      </c>
      <c r="CE142" s="59">
        <f t="shared" si="148"/>
        <v>208.79744153433245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0.59664169793224286</v>
      </c>
      <c r="CL142" s="21">
        <f>EXP(-LN(2)/25)*CL141+(1-EXP(-LN(2)/25))/(LN(2)/25)*Calculateur!CG142*Calculateur!CI142*VLOOKUP('Données projet'!$B$12,Paramètres!$A$1:$I$89,3,0)*0.475*44/12</f>
        <v>0.31251104214434017</v>
      </c>
      <c r="CM142" s="21">
        <f>EXP(-LN(2)/2)*CM141+(1-EXP(-LN(2)/2))/(LN(2)/2)*CG142*CJ142*VLOOKUP('Données projet'!$B$12,Paramètres!$A$1:$I$89,3,0)*0.475*44/12</f>
        <v>4.842197943788684E-17</v>
      </c>
      <c r="CN142" s="22">
        <f t="shared" si="120"/>
        <v>0.90915274007658309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3.813056537183002E-14</v>
      </c>
      <c r="CV142" s="13">
        <f t="shared" si="149"/>
        <v>6.4086286045526829E-13</v>
      </c>
      <c r="CW142" s="20">
        <f t="shared" si="121"/>
        <v>1.1825802166488628E-12</v>
      </c>
      <c r="CX142" s="59">
        <f t="shared" si="122"/>
        <v>293.33333333333451</v>
      </c>
      <c r="CY142" s="59">
        <f ca="1">AVERAGE(OFFSET($CX$3,0,0,'Données projet'!$E$13+1,1))-AVERAGE(OFFSET($H$3,0,0,'Données projet'!$E$13+1,1))</f>
        <v>181.32837315090507</v>
      </c>
      <c r="CZ142" s="59">
        <f t="shared" si="150"/>
        <v>175.03267817980338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0.63244019980817678</v>
      </c>
      <c r="DG142" s="21">
        <f>EXP(-LN(2)/25)*DG141+(1-EXP(-LN(2)/25))/(LN(2)/25)*Calculateur!DB142*Calculateur!DD142*VLOOKUP('Données projet'!$B$13,Paramètres!$A$1:$I$89,3,0)*0.475*44/12</f>
        <v>0.3312617046730007</v>
      </c>
      <c r="DH142" s="21">
        <f>EXP(-LN(2)/2)*DH141+(1-EXP(-LN(2)/2))/(LN(2)/2)*DB142*DE142*VLOOKUP('Données projet'!$B$13,Paramètres!$A$1:$I$89,3,0)*0.475*44/12</f>
        <v>4.1642902316582664E-17</v>
      </c>
      <c r="DI142" s="22">
        <f t="shared" si="123"/>
        <v>0.96370190448117743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-2.8421709430404007E-13</v>
      </c>
      <c r="DP142" s="17">
        <f>DO142*VLOOKUP('Données projet'!$B$14,Paramètres!$A$1:$I$89,3,0)*VLOOKUP('Données projet'!$B$14,Paramètres!$A$1:$I$89,5,0)</f>
        <v>-2.2612312022829427E-13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325.72928944930294</v>
      </c>
      <c r="DU142" s="59">
        <f t="shared" si="152"/>
        <v>318.38876834819752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1.9994673183433038</v>
      </c>
      <c r="EB142" s="21">
        <f>EXP(-LN(2)/25)*EB141+(1-EXP(-LN(2)/25))/(LN(2)/25)*Calculateur!DW142*Calculateur!DY142*VLOOKUP('Données projet'!$B$14,Paramètres!$A$1:$I$89,3,0)*0.475*44/12</f>
        <v>1.0070644176624373</v>
      </c>
      <c r="EC142" s="21">
        <f>EXP(-LN(2)/2)*EC141+(1-EXP(-LN(2)/2))/(LN(2)/2)*DW142*DZ142*VLOOKUP('Données projet'!$B$14,Paramètres!$A$1:$I$89,3,0)*0.475*44/12</f>
        <v>4.6434389459870553E-16</v>
      </c>
      <c r="ED142" s="22">
        <f t="shared" si="126"/>
        <v>3.0065317360057415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-5.6843418860808015E-14</v>
      </c>
      <c r="EK142" s="17">
        <f>EJ142*VLOOKUP('Données projet'!$B$15,Paramètres!$A$1:$I$89,3,0)*VLOOKUP('Données projet'!$B$15,Paramètres!$A$1:$I$89,5,0)</f>
        <v>-5.7639226724859328E-14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384.50065773787549</v>
      </c>
      <c r="EP142" s="59">
        <f t="shared" si="154"/>
        <v>231.92898690465887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0.94583831782058558</v>
      </c>
      <c r="EW142" s="21">
        <f>EXP(-LN(2)/25)*EW141+(1-EXP(-LN(2)/25))/(LN(2)/25)*Calculateur!ER142*Calculateur!ET142*VLOOKUP('Données projet'!$B$15,Paramètres!$A$1:$I$89,3,0)*0.475*44/12</f>
        <v>0.51108309711027466</v>
      </c>
      <c r="EX142" s="21">
        <f>EXP(-LN(2)/2)*EX141+(1-EXP(-LN(2)/2))/(LN(2)/2)*ER142*EU142*VLOOKUP('Données projet'!$B$15,Paramètres!$A$1:$I$89,3,0)*0.475*44/12</f>
        <v>3.7544437866469706E-16</v>
      </c>
      <c r="EY142" s="22">
        <f t="shared" si="129"/>
        <v>1.4569214149308607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-1.5429577615577727E-13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326.46362829268969</v>
      </c>
      <c r="FK142" s="59">
        <f t="shared" si="156"/>
        <v>203.5274665601915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0.84397880667067571</v>
      </c>
      <c r="FR142" s="21">
        <f>EXP(-LN(2)/25)*FR141+(1-EXP(-LN(2)/25))/(LN(2)/25)*Calculateur!FM142*Calculateur!FO142*VLOOKUP('Données projet'!$B$16,Paramètres!$A$1:$I$89,3,0)*0.475*44/12</f>
        <v>0.45604337895993652</v>
      </c>
      <c r="FS142" s="21">
        <f>EXP(-LN(2)/2)*FS141+(1-EXP(-LN(2)/2))/(LN(2)/2)*FM142*FP142*VLOOKUP('Données projet'!$B$16,Paramètres!$A$1:$I$89,3,0)*0.475*44/12</f>
        <v>3.3501190711619121E-16</v>
      </c>
      <c r="FT142" s="22">
        <f t="shared" si="132"/>
        <v>1.3000221856306127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-1.7053025658242404E-13</v>
      </c>
      <c r="GA142" s="17">
        <f>FZ142*VLOOKUP('Données projet'!$B$17,Paramètres!$A$1:$I$89,3,0)*VLOOKUP('Données projet'!$B$17,Paramètres!$A$1:$I$89,5,0)</f>
        <v>-1.6493686416652052E-13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353.24082990916918</v>
      </c>
      <c r="GF142" s="59">
        <f t="shared" si="158"/>
        <v>219.76562717496353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0.90218424161348132</v>
      </c>
      <c r="GM142" s="21">
        <f>EXP(-LN(2)/25)*GM141+(1-EXP(-LN(2)/25))/(LN(2)/25)*Calculateur!GH142*Calculateur!GJ142*VLOOKUP('Données projet'!$B$17,Paramètres!$A$1:$I$89,3,0)*0.475*44/12</f>
        <v>0.48749464647441587</v>
      </c>
      <c r="GN142" s="21">
        <f>EXP(-LN(2)/2)*GN141+(1-EXP(-LN(2)/2))/(LN(2)/2)*GH142*GK142*VLOOKUP('Données projet'!$B$17,Paramètres!$A$1:$I$89,3,0)*0.475*44/12</f>
        <v>3.5811617657248036E-16</v>
      </c>
      <c r="GO142" s="21">
        <f t="shared" si="135"/>
        <v>1.3896788880878976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378.17323480030268</v>
      </c>
      <c r="T143" s="59">
        <f t="shared" si="142"/>
        <v>471.89239871617241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0.49869192637424348</v>
      </c>
      <c r="AA143" s="21">
        <f>EXP(-LN(2)/25)*AA142+(1-EXP(-LN(2)/25))/(LN(2)/25)*Calculateur!V143*Calculateur!X143*VLOOKUP('Données projet'!$B$9,Paramètres!$A$1:$I$89,3,0)*0.475*44/12</f>
        <v>0.98528186449255606</v>
      </c>
      <c r="AB143" s="21">
        <f>EXP(-LN(2)/2)*AB142+(1-EXP(-LN(2)/2))/(LN(2)/2)*V143*Y143*VLOOKUP('Données projet'!$B$9,Paramètres!$A$1:$I$89,3,0)*0.475*44/12</f>
        <v>2.9033972257156842E-16</v>
      </c>
      <c r="AC143" s="22">
        <f t="shared" si="111"/>
        <v>1.4839737908667998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141.22849894256314</v>
      </c>
      <c r="AO143" s="59">
        <f t="shared" si="144"/>
        <v>156.12101479343704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0.8327372164764274</v>
      </c>
      <c r="AV143" s="21">
        <f>EXP(-LN(2)/25)*AV142+(1-EXP(-LN(2)/25))/(LN(2)/25)*Calculateur!AQ143*Calculateur!AS143*VLOOKUP('Données projet'!$B$10,Paramètres!$A$1:$I$89,3,0)*0.475*44/12</f>
        <v>0.28526438160536549</v>
      </c>
      <c r="AW143" s="21">
        <f>EXP(-LN(2)/2)*AW142+(1-EXP(-LN(2)/2))/(LN(2)/2)*AQ143*AT143*VLOOKUP('Données projet'!$B$10,Paramètres!$A$1:$I$89,3,0)*0.475*44/12</f>
        <v>8.2100188597323092E-17</v>
      </c>
      <c r="AX143" s="21">
        <f t="shared" si="114"/>
        <v>1.118001598081793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114.25511901730295</v>
      </c>
      <c r="BJ143" s="59">
        <f t="shared" si="146"/>
        <v>180.96261947642182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0.38701242520516227</v>
      </c>
      <c r="BQ143" s="21">
        <f>EXP(-LN(2)/25)*BQ142+(1-EXP(-LN(2)/25))/(LN(2)/25)*Calculateur!BL143*Calculateur!BN143*VLOOKUP('Données projet'!$B$11,Paramètres!$A$1:$I$89,3,0)*0.475*44/12</f>
        <v>0.84383713584895115</v>
      </c>
      <c r="BR143" s="21">
        <f>EXP(-LN(2)/2)*BR142+(1-EXP(-LN(2)/2))/(LN(2)/2)*BL143*BO143*VLOOKUP('Données projet'!$B$11,Paramètres!$A$1:$I$89,3,0)*0.475*44/12</f>
        <v>1.8962782838921085E-16</v>
      </c>
      <c r="BS143" s="22">
        <f t="shared" si="117"/>
        <v>1.2308495610541137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4.4337866711430253E-14</v>
      </c>
      <c r="CA143" s="13">
        <f t="shared" si="147"/>
        <v>7.3222115536967035E-13</v>
      </c>
      <c r="CB143" s="20">
        <f t="shared" si="118"/>
        <v>1.3525069634579169E-12</v>
      </c>
      <c r="CC143" s="59">
        <f t="shared" si="119"/>
        <v>293.33333333333468</v>
      </c>
      <c r="CD143" s="59">
        <f ca="1">AVERAGE(OFFSET($CC$3,0,0,'Données projet'!$E$12+1,1))-AVERAGE(OFFSET($H$3,0,0,'Données projet'!$E$12+1,1))</f>
        <v>216.95993967070063</v>
      </c>
      <c r="CE143" s="59">
        <f t="shared" si="148"/>
        <v>208.79744153433245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0.5849419181512937</v>
      </c>
      <c r="CL143" s="21">
        <f>EXP(-LN(2)/25)*CL142+(1-EXP(-LN(2)/25))/(LN(2)/25)*Calculateur!CG143*Calculateur!CI143*VLOOKUP('Données projet'!$B$12,Paramètres!$A$1:$I$89,3,0)*0.475*44/12</f>
        <v>0.30396541126266174</v>
      </c>
      <c r="CM143" s="21">
        <f>EXP(-LN(2)/2)*CM142+(1-EXP(-LN(2)/2))/(LN(2)/2)*CG143*CJ143*VLOOKUP('Données projet'!$B$12,Paramètres!$A$1:$I$89,3,0)*0.475*44/12</f>
        <v>3.4239510019005352E-17</v>
      </c>
      <c r="CN143" s="22">
        <f t="shared" si="120"/>
        <v>0.88890732941395545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3.813056537183002E-14</v>
      </c>
      <c r="CV143" s="13">
        <f t="shared" si="149"/>
        <v>6.4086286045526829E-13</v>
      </c>
      <c r="CW143" s="20">
        <f t="shared" si="121"/>
        <v>1.1825802166488628E-12</v>
      </c>
      <c r="CX143" s="59">
        <f t="shared" si="122"/>
        <v>293.33333333333451</v>
      </c>
      <c r="CY143" s="59">
        <f ca="1">AVERAGE(OFFSET($CX$3,0,0,'Données projet'!$E$13+1,1))-AVERAGE(OFFSET($H$3,0,0,'Données projet'!$E$13+1,1))</f>
        <v>181.32837315090507</v>
      </c>
      <c r="CZ143" s="59">
        <f t="shared" si="150"/>
        <v>175.03267817980338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0.62003843324037067</v>
      </c>
      <c r="DG143" s="21">
        <f>EXP(-LN(2)/25)*DG142+(1-EXP(-LN(2)/25))/(LN(2)/25)*Calculateur!DB143*Calculateur!DD143*VLOOKUP('Données projet'!$B$13,Paramètres!$A$1:$I$89,3,0)*0.475*44/12</f>
        <v>0.32220333593842154</v>
      </c>
      <c r="DH143" s="21">
        <f>EXP(-LN(2)/2)*DH142+(1-EXP(-LN(2)/2))/(LN(2)/2)*DB143*DE143*VLOOKUP('Données projet'!$B$13,Paramètres!$A$1:$I$89,3,0)*0.475*44/12</f>
        <v>2.9445978616344591E-17</v>
      </c>
      <c r="DI143" s="22">
        <f t="shared" si="123"/>
        <v>0.94224176917879221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-2.8421709430404007E-13</v>
      </c>
      <c r="DP143" s="17">
        <f>DO143*VLOOKUP('Données projet'!$B$14,Paramètres!$A$1:$I$89,3,0)*VLOOKUP('Données projet'!$B$14,Paramètres!$A$1:$I$89,5,0)</f>
        <v>-2.2612312022829427E-13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325.72928944930294</v>
      </c>
      <c r="DU143" s="59">
        <f t="shared" si="152"/>
        <v>318.38876834819752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1.9602589837852349</v>
      </c>
      <c r="EB143" s="21">
        <f>EXP(-LN(2)/25)*EB142+(1-EXP(-LN(2)/25))/(LN(2)/25)*Calculateur!DW143*Calculateur!DY143*VLOOKUP('Données projet'!$B$14,Paramètres!$A$1:$I$89,3,0)*0.475*44/12</f>
        <v>0.97952618820224191</v>
      </c>
      <c r="EC143" s="21">
        <f>EXP(-LN(2)/2)*EC142+(1-EXP(-LN(2)/2))/(LN(2)/2)*DW143*DZ143*VLOOKUP('Données projet'!$B$14,Paramètres!$A$1:$I$89,3,0)*0.475*44/12</f>
        <v>3.2834071667331617E-16</v>
      </c>
      <c r="ED143" s="22">
        <f t="shared" si="126"/>
        <v>2.9397851719874772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-5.6843418860808015E-14</v>
      </c>
      <c r="EK143" s="17">
        <f>EJ143*VLOOKUP('Données projet'!$B$15,Paramètres!$A$1:$I$89,3,0)*VLOOKUP('Données projet'!$B$15,Paramètres!$A$1:$I$89,5,0)</f>
        <v>-5.7639226724859328E-14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384.50065773787549</v>
      </c>
      <c r="EP143" s="59">
        <f t="shared" si="154"/>
        <v>231.92898690465887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0.92729100531253317</v>
      </c>
      <c r="EW143" s="21">
        <f>EXP(-LN(2)/25)*EW142+(1-EXP(-LN(2)/25))/(LN(2)/25)*Calculateur!ER143*Calculateur!ET143*VLOOKUP('Données projet'!$B$15,Paramètres!$A$1:$I$89,3,0)*0.475*44/12</f>
        <v>0.49710750294310224</v>
      </c>
      <c r="EX143" s="21">
        <f>EXP(-LN(2)/2)*EX142+(1-EXP(-LN(2)/2))/(LN(2)/2)*ER143*EU143*VLOOKUP('Données projet'!$B$15,Paramètres!$A$1:$I$89,3,0)*0.475*44/12</f>
        <v>2.6547926611217723E-16</v>
      </c>
      <c r="EY143" s="22">
        <f t="shared" si="129"/>
        <v>1.4243985082556356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-1.5429577615577727E-13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326.46362829268969</v>
      </c>
      <c r="FK143" s="59">
        <f t="shared" si="156"/>
        <v>203.5274665601915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0.82742889704810585</v>
      </c>
      <c r="FR143" s="21">
        <f>EXP(-LN(2)/25)*FR142+(1-EXP(-LN(2)/25))/(LN(2)/25)*Calculateur!FM143*Calculateur!FO143*VLOOKUP('Données projet'!$B$16,Paramètres!$A$1:$I$89,3,0)*0.475*44/12</f>
        <v>0.44357284877999803</v>
      </c>
      <c r="FS143" s="21">
        <f>EXP(-LN(2)/2)*FS142+(1-EXP(-LN(2)/2))/(LN(2)/2)*FM143*FP143*VLOOKUP('Données projet'!$B$16,Paramètres!$A$1:$I$89,3,0)*0.475*44/12</f>
        <v>2.368891913000966E-16</v>
      </c>
      <c r="FT143" s="22">
        <f t="shared" si="132"/>
        <v>1.271001745828104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-1.7053025658242404E-13</v>
      </c>
      <c r="GA143" s="17">
        <f>FZ143*VLOOKUP('Données projet'!$B$17,Paramètres!$A$1:$I$89,3,0)*VLOOKUP('Données projet'!$B$17,Paramètres!$A$1:$I$89,5,0)</f>
        <v>-1.6493686416652052E-13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353.24082990916918</v>
      </c>
      <c r="GF143" s="59">
        <f t="shared" si="158"/>
        <v>219.76562717496353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0.88449295891349289</v>
      </c>
      <c r="GM143" s="21">
        <f>EXP(-LN(2)/25)*GM142+(1-EXP(-LN(2)/25))/(LN(2)/25)*Calculateur!GH143*Calculateur!GJ143*VLOOKUP('Données projet'!$B$17,Paramètres!$A$1:$I$89,3,0)*0.475*44/12</f>
        <v>0.47416407973034369</v>
      </c>
      <c r="GN143" s="21">
        <f>EXP(-LN(2)/2)*GN142+(1-EXP(-LN(2)/2))/(LN(2)/2)*GH143*GK143*VLOOKUP('Données projet'!$B$17,Paramètres!$A$1:$I$89,3,0)*0.475*44/12</f>
        <v>2.5322637690699988E-16</v>
      </c>
      <c r="GO143" s="21">
        <f t="shared" si="135"/>
        <v>1.3586570386438368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378.17323480030268</v>
      </c>
      <c r="T144" s="59">
        <f t="shared" si="142"/>
        <v>471.89239871617241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0.48891288187008514</v>
      </c>
      <c r="AA144" s="21">
        <f>EXP(-LN(2)/25)*AA143+(1-EXP(-LN(2)/25))/(LN(2)/25)*Calculateur!V144*Calculateur!X144*VLOOKUP('Données projet'!$B$9,Paramètres!$A$1:$I$89,3,0)*0.475*44/12</f>
        <v>0.95833928009428571</v>
      </c>
      <c r="AB144" s="21">
        <f>EXP(-LN(2)/2)*AB143+(1-EXP(-LN(2)/2))/(LN(2)/2)*V144*Y144*VLOOKUP('Données projet'!$B$9,Paramètres!$A$1:$I$89,3,0)*0.475*44/12</f>
        <v>2.0530118667817695E-16</v>
      </c>
      <c r="AC144" s="22">
        <f t="shared" si="111"/>
        <v>1.447252161964371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141.22849894256314</v>
      </c>
      <c r="AO144" s="59">
        <f t="shared" si="144"/>
        <v>156.12101479343704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0.81640774758087387</v>
      </c>
      <c r="AV144" s="21">
        <f>EXP(-LN(2)/25)*AV143+(1-EXP(-LN(2)/25))/(LN(2)/25)*Calculateur!AQ144*Calculateur!AS144*VLOOKUP('Données projet'!$B$10,Paramètres!$A$1:$I$89,3,0)*0.475*44/12</f>
        <v>0.27746381208896492</v>
      </c>
      <c r="AW144" s="21">
        <f>EXP(-LN(2)/2)*AW143+(1-EXP(-LN(2)/2))/(LN(2)/2)*AQ144*AT144*VLOOKUP('Données projet'!$B$10,Paramètres!$A$1:$I$89,3,0)*0.475*44/12</f>
        <v>5.8053600093861623E-17</v>
      </c>
      <c r="AX144" s="21">
        <f t="shared" si="114"/>
        <v>1.0938715596698387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114.25511901730295</v>
      </c>
      <c r="BJ144" s="59">
        <f t="shared" si="146"/>
        <v>180.96261947642182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0.37942334760115998</v>
      </c>
      <c r="BQ144" s="21">
        <f>EXP(-LN(2)/25)*BQ143+(1-EXP(-LN(2)/25))/(LN(2)/25)*Calculateur!BL144*Calculateur!BN144*VLOOKUP('Données projet'!$B$11,Paramètres!$A$1:$I$89,3,0)*0.475*44/12</f>
        <v>0.82076236499369526</v>
      </c>
      <c r="BR144" s="21">
        <f>EXP(-LN(2)/2)*BR143+(1-EXP(-LN(2)/2))/(LN(2)/2)*BL144*BO144*VLOOKUP('Données projet'!$B$11,Paramètres!$A$1:$I$89,3,0)*0.475*44/12</f>
        <v>1.340871233556899E-16</v>
      </c>
      <c r="BS144" s="22">
        <f t="shared" si="117"/>
        <v>1.2001857125948554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4.4337866711430253E-14</v>
      </c>
      <c r="CA144" s="13">
        <f t="shared" si="147"/>
        <v>7.3222115536967035E-13</v>
      </c>
      <c r="CB144" s="20">
        <f t="shared" si="118"/>
        <v>1.3525069634579169E-12</v>
      </c>
      <c r="CC144" s="59">
        <f t="shared" si="119"/>
        <v>293.33333333333468</v>
      </c>
      <c r="CD144" s="59">
        <f ca="1">AVERAGE(OFFSET($CC$3,0,0,'Données projet'!$E$12+1,1))-AVERAGE(OFFSET($H$3,0,0,'Données projet'!$E$12+1,1))</f>
        <v>216.95993967070063</v>
      </c>
      <c r="CE144" s="59">
        <f t="shared" si="148"/>
        <v>208.79744153433245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0.57347156391568788</v>
      </c>
      <c r="CL144" s="21">
        <f>EXP(-LN(2)/25)*CL143+(1-EXP(-LN(2)/25))/(LN(2)/25)*Calculateur!CG144*Calculateur!CI144*VLOOKUP('Données projet'!$B$12,Paramètres!$A$1:$I$89,3,0)*0.475*44/12</f>
        <v>0.29565346110683799</v>
      </c>
      <c r="CM144" s="21">
        <f>EXP(-LN(2)/2)*CM143+(1-EXP(-LN(2)/2))/(LN(2)/2)*CG144*CJ144*VLOOKUP('Données projet'!$B$12,Paramètres!$A$1:$I$89,3,0)*0.475*44/12</f>
        <v>2.421098971894342E-17</v>
      </c>
      <c r="CN144" s="22">
        <f t="shared" si="120"/>
        <v>0.86912502502252587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3.813056537183002E-14</v>
      </c>
      <c r="CV144" s="13">
        <f t="shared" si="149"/>
        <v>6.4086286045526829E-13</v>
      </c>
      <c r="CW144" s="20">
        <f t="shared" si="121"/>
        <v>1.1825802166488628E-12</v>
      </c>
      <c r="CX144" s="59">
        <f t="shared" si="122"/>
        <v>293.33333333333451</v>
      </c>
      <c r="CY144" s="59">
        <f ca="1">AVERAGE(OFFSET($CX$3,0,0,'Données projet'!$E$13+1,1))-AVERAGE(OFFSET($H$3,0,0,'Données projet'!$E$13+1,1))</f>
        <v>181.32837315090507</v>
      </c>
      <c r="CZ144" s="59">
        <f t="shared" si="150"/>
        <v>175.03267817980338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0.60787985775062847</v>
      </c>
      <c r="DG144" s="21">
        <f>EXP(-LN(2)/25)*DG143+(1-EXP(-LN(2)/25))/(LN(2)/25)*Calculateur!DB144*Calculateur!DD144*VLOOKUP('Données projet'!$B$13,Paramètres!$A$1:$I$89,3,0)*0.475*44/12</f>
        <v>0.3133926687732484</v>
      </c>
      <c r="DH144" s="21">
        <f>EXP(-LN(2)/2)*DH143+(1-EXP(-LN(2)/2))/(LN(2)/2)*DB144*DE144*VLOOKUP('Données projet'!$B$13,Paramètres!$A$1:$I$89,3,0)*0.475*44/12</f>
        <v>2.0821451158291332E-17</v>
      </c>
      <c r="DI144" s="22">
        <f t="shared" si="123"/>
        <v>0.92127252652387681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-2.8421709430404007E-13</v>
      </c>
      <c r="DP144" s="17">
        <f>DO144*VLOOKUP('Données projet'!$B$14,Paramètres!$A$1:$I$89,3,0)*VLOOKUP('Données projet'!$B$14,Paramètres!$A$1:$I$89,5,0)</f>
        <v>-2.2612312022829427E-13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325.72928944930294</v>
      </c>
      <c r="DU144" s="59">
        <f t="shared" si="152"/>
        <v>318.38876834819752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1.9218195007531269</v>
      </c>
      <c r="EB144" s="21">
        <f>EXP(-LN(2)/25)*EB143+(1-EXP(-LN(2)/25))/(LN(2)/25)*Calculateur!DW144*Calculateur!DY144*VLOOKUP('Données projet'!$B$14,Paramètres!$A$1:$I$89,3,0)*0.475*44/12</f>
        <v>0.95274099307480808</v>
      </c>
      <c r="EC144" s="21">
        <f>EXP(-LN(2)/2)*EC143+(1-EXP(-LN(2)/2))/(LN(2)/2)*DW144*DZ144*VLOOKUP('Données projet'!$B$14,Paramètres!$A$1:$I$89,3,0)*0.475*44/12</f>
        <v>2.3217194729935276E-16</v>
      </c>
      <c r="ED144" s="22">
        <f t="shared" si="126"/>
        <v>2.8745604938279352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-5.6843418860808015E-14</v>
      </c>
      <c r="EK144" s="17">
        <f>EJ144*VLOOKUP('Données projet'!$B$15,Paramètres!$A$1:$I$89,3,0)*VLOOKUP('Données projet'!$B$15,Paramètres!$A$1:$I$89,5,0)</f>
        <v>-5.7639226724859328E-14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384.50065773787549</v>
      </c>
      <c r="EP144" s="59">
        <f t="shared" si="154"/>
        <v>231.92898690465887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0.90910739429002008</v>
      </c>
      <c r="EW144" s="21">
        <f>EXP(-LN(2)/25)*EW143+(1-EXP(-LN(2)/25))/(LN(2)/25)*Calculateur!ER144*Calculateur!ET144*VLOOKUP('Données projet'!$B$15,Paramètres!$A$1:$I$89,3,0)*0.475*44/12</f>
        <v>0.48351407213337566</v>
      </c>
      <c r="EX144" s="21">
        <f>EXP(-LN(2)/2)*EX143+(1-EXP(-LN(2)/2))/(LN(2)/2)*ER144*EU144*VLOOKUP('Données projet'!$B$15,Paramètres!$A$1:$I$89,3,0)*0.475*44/12</f>
        <v>1.8772218933234853E-16</v>
      </c>
      <c r="EY144" s="22">
        <f t="shared" si="129"/>
        <v>1.392621466423396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-1.5429577615577727E-13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326.46362829268969</v>
      </c>
      <c r="FK144" s="59">
        <f t="shared" si="156"/>
        <v>203.5274665601915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0.81120352105878646</v>
      </c>
      <c r="FR144" s="21">
        <f>EXP(-LN(2)/25)*FR143+(1-EXP(-LN(2)/25))/(LN(2)/25)*Calculateur!FM144*Calculateur!FO144*VLOOKUP('Données projet'!$B$16,Paramètres!$A$1:$I$89,3,0)*0.475*44/12</f>
        <v>0.43144332590362666</v>
      </c>
      <c r="FS144" s="21">
        <f>EXP(-LN(2)/2)*FS143+(1-EXP(-LN(2)/2))/(LN(2)/2)*FM144*FP144*VLOOKUP('Données projet'!$B$16,Paramètres!$A$1:$I$89,3,0)*0.475*44/12</f>
        <v>1.6750595355809561E-16</v>
      </c>
      <c r="FT144" s="22">
        <f t="shared" si="132"/>
        <v>1.2426468469624135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-1.7053025658242404E-13</v>
      </c>
      <c r="GA144" s="17">
        <f>FZ144*VLOOKUP('Données projet'!$B$17,Paramètres!$A$1:$I$89,3,0)*VLOOKUP('Données projet'!$B$17,Paramètres!$A$1:$I$89,5,0)</f>
        <v>-1.6493686416652052E-13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353.24082990916918</v>
      </c>
      <c r="GF144" s="59">
        <f t="shared" si="158"/>
        <v>219.76562717496353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0.86714859147663426</v>
      </c>
      <c r="GM144" s="21">
        <f>EXP(-LN(2)/25)*GM143+(1-EXP(-LN(2)/25))/(LN(2)/25)*Calculateur!GH144*Calculateur!GJ144*VLOOKUP('Données projet'!$B$17,Paramètres!$A$1:$I$89,3,0)*0.475*44/12</f>
        <v>0.46119803803491222</v>
      </c>
      <c r="GN144" s="21">
        <f>EXP(-LN(2)/2)*GN143+(1-EXP(-LN(2)/2))/(LN(2)/2)*GH144*GK144*VLOOKUP('Données projet'!$B$17,Paramètres!$A$1:$I$89,3,0)*0.475*44/12</f>
        <v>1.7905808828624018E-16</v>
      </c>
      <c r="GO144" s="21">
        <f t="shared" si="135"/>
        <v>1.3283466295115467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378.17323480030268</v>
      </c>
      <c r="T145" s="59">
        <f t="shared" si="142"/>
        <v>471.89239871617241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0.47932559846402517</v>
      </c>
      <c r="AA145" s="21">
        <f>EXP(-LN(2)/25)*AA144+(1-EXP(-LN(2)/25))/(LN(2)/25)*Calculateur!V145*Calculateur!X145*VLOOKUP('Données projet'!$B$9,Paramètres!$A$1:$I$89,3,0)*0.475*44/12</f>
        <v>0.93213344208323501</v>
      </c>
      <c r="AB145" s="21">
        <f>EXP(-LN(2)/2)*AB144+(1-EXP(-LN(2)/2))/(LN(2)/2)*V145*Y145*VLOOKUP('Données projet'!$B$9,Paramètres!$A$1:$I$89,3,0)*0.475*44/12</f>
        <v>1.4516986128578421E-16</v>
      </c>
      <c r="AC145" s="22">
        <f t="shared" si="111"/>
        <v>1.4114590405472605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141.22849894256314</v>
      </c>
      <c r="AO145" s="59">
        <f t="shared" si="144"/>
        <v>156.12101479343704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0.80039848961036952</v>
      </c>
      <c r="AV145" s="21">
        <f>EXP(-LN(2)/25)*AV144+(1-EXP(-LN(2)/25))/(LN(2)/25)*Calculateur!AQ145*Calculateur!AS145*VLOOKUP('Données projet'!$B$10,Paramètres!$A$1:$I$89,3,0)*0.475*44/12</f>
        <v>0.26987654955620444</v>
      </c>
      <c r="AW145" s="21">
        <f>EXP(-LN(2)/2)*AW144+(1-EXP(-LN(2)/2))/(LN(2)/2)*AQ145*AT145*VLOOKUP('Données projet'!$B$10,Paramètres!$A$1:$I$89,3,0)*0.475*44/12</f>
        <v>4.1050094298661546E-17</v>
      </c>
      <c r="AX145" s="21">
        <f t="shared" si="114"/>
        <v>1.0702750391665741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114.25511901730295</v>
      </c>
      <c r="BJ145" s="59">
        <f t="shared" si="146"/>
        <v>180.96261947642182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0.37198308718009193</v>
      </c>
      <c r="BQ145" s="21">
        <f>EXP(-LN(2)/25)*BQ144+(1-EXP(-LN(2)/25))/(LN(2)/25)*Calculateur!BL145*Calculateur!BN145*VLOOKUP('Données projet'!$B$11,Paramètres!$A$1:$I$89,3,0)*0.475*44/12</f>
        <v>0.79831857496092573</v>
      </c>
      <c r="BR145" s="21">
        <f>EXP(-LN(2)/2)*BR144+(1-EXP(-LN(2)/2))/(LN(2)/2)*BL145*BO145*VLOOKUP('Données projet'!$B$11,Paramètres!$A$1:$I$89,3,0)*0.475*44/12</f>
        <v>9.4813914194605425E-17</v>
      </c>
      <c r="BS145" s="22">
        <f t="shared" si="117"/>
        <v>1.1703016621410176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4.4337866711430253E-14</v>
      </c>
      <c r="CA145" s="13">
        <f t="shared" si="147"/>
        <v>7.3222115536967035E-13</v>
      </c>
      <c r="CB145" s="20">
        <f t="shared" si="118"/>
        <v>1.3525069634579169E-12</v>
      </c>
      <c r="CC145" s="59">
        <f t="shared" si="119"/>
        <v>293.33333333333468</v>
      </c>
      <c r="CD145" s="59">
        <f ca="1">AVERAGE(OFFSET($CC$3,0,0,'Données projet'!$E$12+1,1))-AVERAGE(OFFSET($H$3,0,0,'Données projet'!$E$12+1,1))</f>
        <v>216.95993967070063</v>
      </c>
      <c r="CE145" s="59">
        <f t="shared" si="148"/>
        <v>208.79744153433245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0.56222613633041696</v>
      </c>
      <c r="CL145" s="21">
        <f>EXP(-LN(2)/25)*CL144+(1-EXP(-LN(2)/25))/(LN(2)/25)*Calculateur!CG145*Calculateur!CI145*VLOOKUP('Données projet'!$B$12,Paramètres!$A$1:$I$89,3,0)*0.475*44/12</f>
        <v>0.28756880166513171</v>
      </c>
      <c r="CM145" s="21">
        <f>EXP(-LN(2)/2)*CM144+(1-EXP(-LN(2)/2))/(LN(2)/2)*CG145*CJ145*VLOOKUP('Données projet'!$B$12,Paramètres!$A$1:$I$89,3,0)*0.475*44/12</f>
        <v>1.7119755009502676E-17</v>
      </c>
      <c r="CN145" s="22">
        <f t="shared" si="120"/>
        <v>0.84979493799554873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3.813056537183002E-14</v>
      </c>
      <c r="CV145" s="13">
        <f t="shared" si="149"/>
        <v>6.4086286045526829E-13</v>
      </c>
      <c r="CW145" s="20">
        <f t="shared" si="121"/>
        <v>1.1825802166488628E-12</v>
      </c>
      <c r="CX145" s="59">
        <f t="shared" si="122"/>
        <v>293.33333333333451</v>
      </c>
      <c r="CY145" s="59">
        <f ca="1">AVERAGE(OFFSET($CX$3,0,0,'Données projet'!$E$13+1,1))-AVERAGE(OFFSET($H$3,0,0,'Données projet'!$E$13+1,1))</f>
        <v>181.32837315090507</v>
      </c>
      <c r="CZ145" s="59">
        <f t="shared" si="150"/>
        <v>175.03267817980338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0.59595970451024138</v>
      </c>
      <c r="DG145" s="21">
        <f>EXP(-LN(2)/25)*DG144+(1-EXP(-LN(2)/25))/(LN(2)/25)*Calculateur!DB145*Calculateur!DD145*VLOOKUP('Données projet'!$B$13,Paramètres!$A$1:$I$89,3,0)*0.475*44/12</f>
        <v>0.30482292976503972</v>
      </c>
      <c r="DH145" s="21">
        <f>EXP(-LN(2)/2)*DH144+(1-EXP(-LN(2)/2))/(LN(2)/2)*DB145*DE145*VLOOKUP('Données projet'!$B$13,Paramètres!$A$1:$I$89,3,0)*0.475*44/12</f>
        <v>1.4722989308172295E-17</v>
      </c>
      <c r="DI145" s="22">
        <f t="shared" si="123"/>
        <v>0.90078263427528116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-2.8421709430404007E-13</v>
      </c>
      <c r="DP145" s="17">
        <f>DO145*VLOOKUP('Données projet'!$B$14,Paramètres!$A$1:$I$89,3,0)*VLOOKUP('Données projet'!$B$14,Paramètres!$A$1:$I$89,5,0)</f>
        <v>-2.2612312022829427E-13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325.72928944930294</v>
      </c>
      <c r="DU145" s="59">
        <f t="shared" si="152"/>
        <v>318.38876834819752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1.884133792537509</v>
      </c>
      <c r="EB145" s="21">
        <f>EXP(-LN(2)/25)*EB144+(1-EXP(-LN(2)/25))/(LN(2)/25)*Calculateur!DW145*Calculateur!DY145*VLOOKUP('Données projet'!$B$14,Paramètres!$A$1:$I$89,3,0)*0.475*44/12</f>
        <v>0.92668824051670617</v>
      </c>
      <c r="EC145" s="21">
        <f>EXP(-LN(2)/2)*EC144+(1-EXP(-LN(2)/2))/(LN(2)/2)*DW145*DZ145*VLOOKUP('Données projet'!$B$14,Paramètres!$A$1:$I$89,3,0)*0.475*44/12</f>
        <v>1.6417035833665808E-16</v>
      </c>
      <c r="ED145" s="22">
        <f t="shared" si="126"/>
        <v>2.8108220330542153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-5.6843418860808015E-14</v>
      </c>
      <c r="EK145" s="17">
        <f>EJ145*VLOOKUP('Données projet'!$B$15,Paramètres!$A$1:$I$89,3,0)*VLOOKUP('Données projet'!$B$15,Paramètres!$A$1:$I$89,5,0)</f>
        <v>-5.7639226724859328E-14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384.50065773787549</v>
      </c>
      <c r="EP145" s="59">
        <f t="shared" si="154"/>
        <v>231.92898690465887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0.89128035278875095</v>
      </c>
      <c r="EW145" s="21">
        <f>EXP(-LN(2)/25)*EW144+(1-EXP(-LN(2)/25))/(LN(2)/25)*Calculateur!ER145*Calculateur!ET145*VLOOKUP('Données projet'!$B$15,Paramètres!$A$1:$I$89,3,0)*0.475*44/12</f>
        <v>0.47029235440398853</v>
      </c>
      <c r="EX145" s="21">
        <f>EXP(-LN(2)/2)*EX144+(1-EXP(-LN(2)/2))/(LN(2)/2)*ER145*EU145*VLOOKUP('Données projet'!$B$15,Paramètres!$A$1:$I$89,3,0)*0.475*44/12</f>
        <v>1.3273963305608862E-16</v>
      </c>
      <c r="EY145" s="22">
        <f t="shared" si="129"/>
        <v>1.3615727071927397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-1.5429577615577727E-13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326.46362829268969</v>
      </c>
      <c r="FK145" s="59">
        <f t="shared" si="156"/>
        <v>203.5274665601915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0.79529631479611551</v>
      </c>
      <c r="FR145" s="21">
        <f>EXP(-LN(2)/25)*FR144+(1-EXP(-LN(2)/25))/(LN(2)/25)*Calculateur!FM145*Calculateur!FO145*VLOOKUP('Données projet'!$B$16,Paramètres!$A$1:$I$89,3,0)*0.475*44/12</f>
        <v>0.41964548546817354</v>
      </c>
      <c r="FS145" s="21">
        <f>EXP(-LN(2)/2)*FS144+(1-EXP(-LN(2)/2))/(LN(2)/2)*FM145*FP145*VLOOKUP('Données projet'!$B$16,Paramètres!$A$1:$I$89,3,0)*0.475*44/12</f>
        <v>1.184445956500483E-16</v>
      </c>
      <c r="FT145" s="22">
        <f t="shared" si="132"/>
        <v>1.2149418002642893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-1.7053025658242404E-13</v>
      </c>
      <c r="GA145" s="17">
        <f>FZ145*VLOOKUP('Données projet'!$B$17,Paramètres!$A$1:$I$89,3,0)*VLOOKUP('Données projet'!$B$17,Paramètres!$A$1:$I$89,5,0)</f>
        <v>-1.6493686416652052E-13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353.24082990916918</v>
      </c>
      <c r="GF145" s="59">
        <f t="shared" si="158"/>
        <v>219.76562717496353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0.85014433650619292</v>
      </c>
      <c r="GM145" s="21">
        <f>EXP(-LN(2)/25)*GM144+(1-EXP(-LN(2)/25))/(LN(2)/25)*Calculateur!GH145*Calculateur!GJ145*VLOOKUP('Données projet'!$B$17,Paramètres!$A$1:$I$89,3,0)*0.475*44/12</f>
        <v>0.44858655343149678</v>
      </c>
      <c r="GN145" s="21">
        <f>EXP(-LN(2)/2)*GN144+(1-EXP(-LN(2)/2))/(LN(2)/2)*GH145*GK145*VLOOKUP('Données projet'!$B$17,Paramètres!$A$1:$I$89,3,0)*0.475*44/12</f>
        <v>1.2661318845349994E-16</v>
      </c>
      <c r="GO145" s="21">
        <f t="shared" si="135"/>
        <v>1.2987308899376899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378.17323480030268</v>
      </c>
      <c r="T146" s="59">
        <f t="shared" si="142"/>
        <v>471.89239871617241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0.46992631583789257</v>
      </c>
      <c r="AA146" s="21">
        <f>EXP(-LN(2)/25)*AA145+(1-EXP(-LN(2)/25))/(LN(2)/25)*Calculateur!V146*Calculateur!X146*VLOOKUP('Données projet'!$B$9,Paramètres!$A$1:$I$89,3,0)*0.475*44/12</f>
        <v>0.90664420409070168</v>
      </c>
      <c r="AB146" s="21">
        <f>EXP(-LN(2)/2)*AB145+(1-EXP(-LN(2)/2))/(LN(2)/2)*V146*Y146*VLOOKUP('Données projet'!$B$9,Paramètres!$A$1:$I$89,3,0)*0.475*44/12</f>
        <v>1.0265059333908847E-16</v>
      </c>
      <c r="AC146" s="22">
        <f t="shared" si="111"/>
        <v>1.3765705199285942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141.22849894256314</v>
      </c>
      <c r="AO146" s="59">
        <f t="shared" si="144"/>
        <v>156.12101479343704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0.78470316342398361</v>
      </c>
      <c r="AV146" s="21">
        <f>EXP(-LN(2)/25)*AV145+(1-EXP(-LN(2)/25))/(LN(2)/25)*Calculateur!AQ146*Calculateur!AS146*VLOOKUP('Données projet'!$B$10,Paramètres!$A$1:$I$89,3,0)*0.475*44/12</f>
        <v>0.26249676111639908</v>
      </c>
      <c r="AW146" s="21">
        <f>EXP(-LN(2)/2)*AW145+(1-EXP(-LN(2)/2))/(LN(2)/2)*AQ146*AT146*VLOOKUP('Données projet'!$B$10,Paramètres!$A$1:$I$89,3,0)*0.475*44/12</f>
        <v>2.9026800046930812E-17</v>
      </c>
      <c r="AX146" s="21">
        <f t="shared" si="114"/>
        <v>1.0471999245403827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114.25511901730295</v>
      </c>
      <c r="BJ146" s="59">
        <f t="shared" si="146"/>
        <v>180.96261947642182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0.36468872572777022</v>
      </c>
      <c r="BQ146" s="21">
        <f>EXP(-LN(2)/25)*BQ145+(1-EXP(-LN(2)/25))/(LN(2)/25)*Calculateur!BL146*Calculateur!BN146*VLOOKUP('Données projet'!$B$11,Paramètres!$A$1:$I$89,3,0)*0.475*44/12</f>
        <v>0.77648851154686993</v>
      </c>
      <c r="BR146" s="21">
        <f>EXP(-LN(2)/2)*BR145+(1-EXP(-LN(2)/2))/(LN(2)/2)*BL146*BO146*VLOOKUP('Données projet'!$B$11,Paramètres!$A$1:$I$89,3,0)*0.475*44/12</f>
        <v>6.7043561677844949E-17</v>
      </c>
      <c r="BS146" s="22">
        <f t="shared" si="117"/>
        <v>1.1411772372746403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4.4337866711430253E-14</v>
      </c>
      <c r="CA146" s="13">
        <f t="shared" si="147"/>
        <v>7.3222115536967035E-13</v>
      </c>
      <c r="CB146" s="20">
        <f t="shared" si="118"/>
        <v>1.3525069634579169E-12</v>
      </c>
      <c r="CC146" s="59">
        <f t="shared" si="119"/>
        <v>293.33333333333468</v>
      </c>
      <c r="CD146" s="59">
        <f ca="1">AVERAGE(OFFSET($CC$3,0,0,'Données projet'!$E$12+1,1))-AVERAGE(OFFSET($H$3,0,0,'Données projet'!$E$12+1,1))</f>
        <v>216.95993967070063</v>
      </c>
      <c r="CE146" s="59">
        <f t="shared" si="148"/>
        <v>208.79744153433245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0.5512012247210597</v>
      </c>
      <c r="CL146" s="21">
        <f>EXP(-LN(2)/25)*CL145+(1-EXP(-LN(2)/25))/(LN(2)/25)*Calculateur!CG146*Calculateur!CI146*VLOOKUP('Données projet'!$B$12,Paramètres!$A$1:$I$89,3,0)*0.475*44/12</f>
        <v>0.27970521766101264</v>
      </c>
      <c r="CM146" s="21">
        <f>EXP(-LN(2)/2)*CM145+(1-EXP(-LN(2)/2))/(LN(2)/2)*CG146*CJ146*VLOOKUP('Données projet'!$B$12,Paramètres!$A$1:$I$89,3,0)*0.475*44/12</f>
        <v>1.210549485947171E-17</v>
      </c>
      <c r="CN146" s="22">
        <f t="shared" si="120"/>
        <v>0.83090644238207234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3.813056537183002E-14</v>
      </c>
      <c r="CV146" s="13">
        <f t="shared" si="149"/>
        <v>6.4086286045526829E-13</v>
      </c>
      <c r="CW146" s="20">
        <f t="shared" si="121"/>
        <v>1.1825802166488628E-12</v>
      </c>
      <c r="CX146" s="59">
        <f t="shared" si="122"/>
        <v>293.33333333333451</v>
      </c>
      <c r="CY146" s="59">
        <f ca="1">AVERAGE(OFFSET($CX$3,0,0,'Données projet'!$E$13+1,1))-AVERAGE(OFFSET($H$3,0,0,'Données projet'!$E$13+1,1))</f>
        <v>181.32837315090507</v>
      </c>
      <c r="CZ146" s="59">
        <f t="shared" si="150"/>
        <v>175.03267817980338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0.58427329820432272</v>
      </c>
      <c r="DG146" s="21">
        <f>EXP(-LN(2)/25)*DG145+(1-EXP(-LN(2)/25))/(LN(2)/25)*Calculateur!DB146*Calculateur!DD146*VLOOKUP('Données projet'!$B$13,Paramètres!$A$1:$I$89,3,0)*0.475*44/12</f>
        <v>0.29648753072067352</v>
      </c>
      <c r="DH146" s="21">
        <f>EXP(-LN(2)/2)*DH145+(1-EXP(-LN(2)/2))/(LN(2)/2)*DB146*DE146*VLOOKUP('Données projet'!$B$13,Paramètres!$A$1:$I$89,3,0)*0.475*44/12</f>
        <v>1.0410725579145666E-17</v>
      </c>
      <c r="DI146" s="22">
        <f t="shared" si="123"/>
        <v>0.88076082892499619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-2.8421709430404007E-13</v>
      </c>
      <c r="DP146" s="17">
        <f>DO146*VLOOKUP('Données projet'!$B$14,Paramètres!$A$1:$I$89,3,0)*VLOOKUP('Données projet'!$B$14,Paramètres!$A$1:$I$89,5,0)</f>
        <v>-2.2612312022829427E-13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325.72928944930294</v>
      </c>
      <c r="DU146" s="59">
        <f t="shared" si="152"/>
        <v>318.38876834819752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1.847187078073987</v>
      </c>
      <c r="EB146" s="21">
        <f>EXP(-LN(2)/25)*EB145+(1-EXP(-LN(2)/25))/(LN(2)/25)*Calculateur!DW146*Calculateur!DY146*VLOOKUP('Données projet'!$B$14,Paramètres!$A$1:$I$89,3,0)*0.475*44/12</f>
        <v>0.90134790184736024</v>
      </c>
      <c r="EC146" s="21">
        <f>EXP(-LN(2)/2)*EC145+(1-EXP(-LN(2)/2))/(LN(2)/2)*DW146*DZ146*VLOOKUP('Données projet'!$B$14,Paramètres!$A$1:$I$89,3,0)*0.475*44/12</f>
        <v>1.1608597364967638E-16</v>
      </c>
      <c r="ED146" s="22">
        <f t="shared" si="126"/>
        <v>2.748534979921347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-5.6843418860808015E-14</v>
      </c>
      <c r="EK146" s="17">
        <f>EJ146*VLOOKUP('Données projet'!$B$15,Paramètres!$A$1:$I$89,3,0)*VLOOKUP('Données projet'!$B$15,Paramètres!$A$1:$I$89,5,0)</f>
        <v>-5.7639226724859328E-14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384.50065773787549</v>
      </c>
      <c r="EP146" s="59">
        <f t="shared" si="154"/>
        <v>231.92898690465887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0.87380288869790002</v>
      </c>
      <c r="EW146" s="21">
        <f>EXP(-LN(2)/25)*EW145+(1-EXP(-LN(2)/25))/(LN(2)/25)*Calculateur!ER146*Calculateur!ET146*VLOOKUP('Données projet'!$B$15,Paramètres!$A$1:$I$89,3,0)*0.475*44/12</f>
        <v>0.45743218524121143</v>
      </c>
      <c r="EX146" s="21">
        <f>EXP(-LN(2)/2)*EX145+(1-EXP(-LN(2)/2))/(LN(2)/2)*ER146*EU146*VLOOKUP('Données projet'!$B$15,Paramètres!$A$1:$I$89,3,0)*0.475*44/12</f>
        <v>9.3861094666174265E-17</v>
      </c>
      <c r="EY146" s="22">
        <f t="shared" si="129"/>
        <v>1.3312350739391114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-1.5429577615577727E-13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326.46362829268969</v>
      </c>
      <c r="FK146" s="59">
        <f t="shared" si="156"/>
        <v>203.5274665601915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0.77970103914581779</v>
      </c>
      <c r="FR146" s="21">
        <f>EXP(-LN(2)/25)*FR145+(1-EXP(-LN(2)/25))/(LN(2)/25)*Calculateur!FM146*Calculateur!FO146*VLOOKUP('Données projet'!$B$16,Paramètres!$A$1:$I$89,3,0)*0.475*44/12</f>
        <v>0.40817025759984937</v>
      </c>
      <c r="FS146" s="21">
        <f>EXP(-LN(2)/2)*FS145+(1-EXP(-LN(2)/2))/(LN(2)/2)*FM146*FP146*VLOOKUP('Données projet'!$B$16,Paramètres!$A$1:$I$89,3,0)*0.475*44/12</f>
        <v>8.3752976779047803E-17</v>
      </c>
      <c r="FT146" s="22">
        <f t="shared" si="132"/>
        <v>1.187871296745667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-1.7053025658242404E-13</v>
      </c>
      <c r="GA146" s="17">
        <f>FZ146*VLOOKUP('Données projet'!$B$17,Paramètres!$A$1:$I$89,3,0)*VLOOKUP('Données projet'!$B$17,Paramètres!$A$1:$I$89,5,0)</f>
        <v>-1.6493686416652052E-13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353.24082990916918</v>
      </c>
      <c r="GF146" s="59">
        <f t="shared" si="158"/>
        <v>219.76562717496353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0.83347352460415047</v>
      </c>
      <c r="GM146" s="21">
        <f>EXP(-LN(2)/25)*GM145+(1-EXP(-LN(2)/25))/(LN(2)/25)*Calculateur!GH146*Calculateur!GJ146*VLOOKUP('Données projet'!$B$17,Paramètres!$A$1:$I$89,3,0)*0.475*44/12</f>
        <v>0.43631993053777091</v>
      </c>
      <c r="GN146" s="21">
        <f>EXP(-LN(2)/2)*GN145+(1-EXP(-LN(2)/2))/(LN(2)/2)*GH146*GK146*VLOOKUP('Données projet'!$B$17,Paramètres!$A$1:$I$89,3,0)*0.475*44/12</f>
        <v>8.952904414312009E-17</v>
      </c>
      <c r="GO146" s="21">
        <f t="shared" si="135"/>
        <v>1.2697934551419214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378.17323480030268</v>
      </c>
      <c r="T147" s="59">
        <f t="shared" si="142"/>
        <v>471.89239871617241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0.46071134741106212</v>
      </c>
      <c r="AA147" s="21">
        <f>EXP(-LN(2)/25)*AA146+(1-EXP(-LN(2)/25))/(LN(2)/25)*Calculateur!V147*Calculateur!X147*VLOOKUP('Données projet'!$B$9,Paramètres!$A$1:$I$89,3,0)*0.475*44/12</f>
        <v>0.8818519706514949</v>
      </c>
      <c r="AB147" s="21">
        <f>EXP(-LN(2)/2)*AB146+(1-EXP(-LN(2)/2))/(LN(2)/2)*V147*Y147*VLOOKUP('Données projet'!$B$9,Paramètres!$A$1:$I$89,3,0)*0.475*44/12</f>
        <v>7.2584930642892105E-17</v>
      </c>
      <c r="AC147" s="22">
        <f t="shared" si="111"/>
        <v>1.3425633180625569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141.22849894256314</v>
      </c>
      <c r="AO147" s="59">
        <f t="shared" si="144"/>
        <v>156.12101479343704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0.76931561301090901</v>
      </c>
      <c r="AV147" s="21">
        <f>EXP(-LN(2)/25)*AV146+(1-EXP(-LN(2)/25))/(LN(2)/25)*Calculateur!AQ147*Calculateur!AS147*VLOOKUP('Données projet'!$B$10,Paramètres!$A$1:$I$89,3,0)*0.475*44/12</f>
        <v>0.25531877337956643</v>
      </c>
      <c r="AW147" s="21">
        <f>EXP(-LN(2)/2)*AW146+(1-EXP(-LN(2)/2))/(LN(2)/2)*AQ147*AT147*VLOOKUP('Données projet'!$B$10,Paramètres!$A$1:$I$89,3,0)*0.475*44/12</f>
        <v>2.0525047149330773E-17</v>
      </c>
      <c r="AX147" s="21">
        <f t="shared" si="114"/>
        <v>1.0246343863904754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114.25511901730295</v>
      </c>
      <c r="BJ147" s="59">
        <f t="shared" si="146"/>
        <v>180.96261947642182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0.35753740225440739</v>
      </c>
      <c r="BQ147" s="21">
        <f>EXP(-LN(2)/25)*BQ146+(1-EXP(-LN(2)/25))/(LN(2)/25)*Calculateur!BL147*Calculateur!BN147*VLOOKUP('Données projet'!$B$11,Paramètres!$A$1:$I$89,3,0)*0.475*44/12</f>
        <v>0.75525539236486461</v>
      </c>
      <c r="BR147" s="21">
        <f>EXP(-LN(2)/2)*BR146+(1-EXP(-LN(2)/2))/(LN(2)/2)*BL147*BO147*VLOOKUP('Données projet'!$B$11,Paramètres!$A$1:$I$89,3,0)*0.475*44/12</f>
        <v>4.7406957097302712E-17</v>
      </c>
      <c r="BS147" s="22">
        <f t="shared" si="117"/>
        <v>1.1127927946192719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4.4337866711430253E-14</v>
      </c>
      <c r="CA147" s="13">
        <f t="shared" si="147"/>
        <v>7.3222115536967035E-13</v>
      </c>
      <c r="CB147" s="20">
        <f t="shared" si="118"/>
        <v>1.3525069634579169E-12</v>
      </c>
      <c r="CC147" s="59">
        <f t="shared" si="119"/>
        <v>293.33333333333468</v>
      </c>
      <c r="CD147" s="59">
        <f ca="1">AVERAGE(OFFSET($CC$3,0,0,'Données projet'!$E$12+1,1))-AVERAGE(OFFSET($H$3,0,0,'Données projet'!$E$12+1,1))</f>
        <v>216.95993967070063</v>
      </c>
      <c r="CE147" s="59">
        <f t="shared" si="148"/>
        <v>208.79744153433245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0.54039250490382984</v>
      </c>
      <c r="CL147" s="21">
        <f>EXP(-LN(2)/25)*CL146+(1-EXP(-LN(2)/25))/(LN(2)/25)*Calculateur!CG147*Calculateur!CI147*VLOOKUP('Données projet'!$B$12,Paramètres!$A$1:$I$89,3,0)*0.475*44/12</f>
        <v>0.27205666377501414</v>
      </c>
      <c r="CM147" s="21">
        <f>EXP(-LN(2)/2)*CM146+(1-EXP(-LN(2)/2))/(LN(2)/2)*CG147*CJ147*VLOOKUP('Données projet'!$B$12,Paramètres!$A$1:$I$89,3,0)*0.475*44/12</f>
        <v>8.5598775047513381E-18</v>
      </c>
      <c r="CN147" s="22">
        <f t="shared" si="120"/>
        <v>0.81244916867884398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3.813056537183002E-14</v>
      </c>
      <c r="CV147" s="13">
        <f t="shared" si="149"/>
        <v>6.4086286045526829E-13</v>
      </c>
      <c r="CW147" s="20">
        <f t="shared" si="121"/>
        <v>1.1825802166488628E-12</v>
      </c>
      <c r="CX147" s="59">
        <f t="shared" si="122"/>
        <v>293.33333333333451</v>
      </c>
      <c r="CY147" s="59">
        <f ca="1">AVERAGE(OFFSET($CX$3,0,0,'Données projet'!$E$13+1,1))-AVERAGE(OFFSET($H$3,0,0,'Données projet'!$E$13+1,1))</f>
        <v>181.32837315090507</v>
      </c>
      <c r="CZ147" s="59">
        <f t="shared" si="150"/>
        <v>175.03267817980338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0.57281605519805912</v>
      </c>
      <c r="DG147" s="21">
        <f>EXP(-LN(2)/25)*DG146+(1-EXP(-LN(2)/25))/(LN(2)/25)*Calculateur!DB147*Calculateur!DD147*VLOOKUP('Données projet'!$B$13,Paramètres!$A$1:$I$89,3,0)*0.475*44/12</f>
        <v>0.28838006360151508</v>
      </c>
      <c r="DH147" s="21">
        <f>EXP(-LN(2)/2)*DH146+(1-EXP(-LN(2)/2))/(LN(2)/2)*DB147*DE147*VLOOKUP('Données projet'!$B$13,Paramètres!$A$1:$I$89,3,0)*0.475*44/12</f>
        <v>7.3614946540861476E-18</v>
      </c>
      <c r="DI147" s="22">
        <f t="shared" si="123"/>
        <v>0.86119611879957425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-2.8421709430404007E-13</v>
      </c>
      <c r="DP147" s="17">
        <f>DO147*VLOOKUP('Données projet'!$B$14,Paramètres!$A$1:$I$89,3,0)*VLOOKUP('Données projet'!$B$14,Paramètres!$A$1:$I$89,5,0)</f>
        <v>-2.2612312022829427E-13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325.72928944930294</v>
      </c>
      <c r="DU147" s="59">
        <f t="shared" si="152"/>
        <v>318.38876834819752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1.810964866145824</v>
      </c>
      <c r="EB147" s="21">
        <f>EXP(-LN(2)/25)*EB146+(1-EXP(-LN(2)/25))/(LN(2)/25)*Calculateur!DW147*Calculateur!DY147*VLOOKUP('Données projet'!$B$14,Paramètres!$A$1:$I$89,3,0)*0.475*44/12</f>
        <v>0.87670049607151812</v>
      </c>
      <c r="EC147" s="21">
        <f>EXP(-LN(2)/2)*EC146+(1-EXP(-LN(2)/2))/(LN(2)/2)*DW147*DZ147*VLOOKUP('Données projet'!$B$14,Paramètres!$A$1:$I$89,3,0)*0.475*44/12</f>
        <v>8.2085179168329042E-17</v>
      </c>
      <c r="ED147" s="22">
        <f t="shared" si="126"/>
        <v>2.6876653622173423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-5.6843418860808015E-14</v>
      </c>
      <c r="EK147" s="17">
        <f>EJ147*VLOOKUP('Données projet'!$B$15,Paramètres!$A$1:$I$89,3,0)*VLOOKUP('Données projet'!$B$15,Paramètres!$A$1:$I$89,5,0)</f>
        <v>-5.7639226724859328E-14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384.50065773787549</v>
      </c>
      <c r="EP147" s="59">
        <f t="shared" si="154"/>
        <v>231.92898690465887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0.85666814701767013</v>
      </c>
      <c r="EW147" s="21">
        <f>EXP(-LN(2)/25)*EW146+(1-EXP(-LN(2)/25))/(LN(2)/25)*Calculateur!ER147*Calculateur!ET147*VLOOKUP('Données projet'!$B$15,Paramètres!$A$1:$I$89,3,0)*0.475*44/12</f>
        <v>0.44492367808047734</v>
      </c>
      <c r="EX147" s="21">
        <f>EXP(-LN(2)/2)*EX146+(1-EXP(-LN(2)/2))/(LN(2)/2)*ER147*EU147*VLOOKUP('Données projet'!$B$15,Paramètres!$A$1:$I$89,3,0)*0.475*44/12</f>
        <v>6.6369816528044309E-17</v>
      </c>
      <c r="EY147" s="22">
        <f t="shared" si="129"/>
        <v>1.3015918250981475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-1.5429577615577727E-13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326.46362829268969</v>
      </c>
      <c r="FK147" s="59">
        <f t="shared" si="156"/>
        <v>203.5274665601915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0.76441157733884346</v>
      </c>
      <c r="FR147" s="21">
        <f>EXP(-LN(2)/25)*FR146+(1-EXP(-LN(2)/25))/(LN(2)/25)*Calculateur!FM147*Calculateur!FO147*VLOOKUP('Données projet'!$B$16,Paramètres!$A$1:$I$89,3,0)*0.475*44/12</f>
        <v>0.39700882044104052</v>
      </c>
      <c r="FS147" s="21">
        <f>EXP(-LN(2)/2)*FS146+(1-EXP(-LN(2)/2))/(LN(2)/2)*FM147*FP147*VLOOKUP('Données projet'!$B$16,Paramètres!$A$1:$I$89,3,0)*0.475*44/12</f>
        <v>5.922229782502415E-17</v>
      </c>
      <c r="FT147" s="22">
        <f t="shared" si="132"/>
        <v>1.161420397779884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-1.7053025658242404E-13</v>
      </c>
      <c r="GA147" s="17">
        <f>FZ147*VLOOKUP('Données projet'!$B$17,Paramètres!$A$1:$I$89,3,0)*VLOOKUP('Données projet'!$B$17,Paramètres!$A$1:$I$89,5,0)</f>
        <v>-1.6493686416652052E-13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353.24082990916918</v>
      </c>
      <c r="GF147" s="59">
        <f t="shared" si="158"/>
        <v>219.76562717496353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0.81712961715531585</v>
      </c>
      <c r="GM147" s="21">
        <f>EXP(-LN(2)/25)*GM146+(1-EXP(-LN(2)/25))/(LN(2)/25)*Calculateur!GH147*Calculateur!GJ147*VLOOKUP('Données projet'!$B$17,Paramètres!$A$1:$I$89,3,0)*0.475*44/12</f>
        <v>0.42438873909214764</v>
      </c>
      <c r="GN147" s="21">
        <f>EXP(-LN(2)/2)*GN146+(1-EXP(-LN(2)/2))/(LN(2)/2)*GH147*GK147*VLOOKUP('Données projet'!$B$17,Paramètres!$A$1:$I$89,3,0)*0.475*44/12</f>
        <v>6.3306594226749971E-17</v>
      </c>
      <c r="GO147" s="21">
        <f t="shared" si="135"/>
        <v>1.2415183562474634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378.17323480030268</v>
      </c>
      <c r="T148" s="59">
        <f t="shared" si="142"/>
        <v>471.89239871617241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0.45167707889450603</v>
      </c>
      <c r="AA148" s="21">
        <f>EXP(-LN(2)/25)*AA147+(1-EXP(-LN(2)/25))/(LN(2)/25)*Calculateur!V148*Calculateur!X148*VLOOKUP('Données projet'!$B$9,Paramètres!$A$1:$I$89,3,0)*0.475*44/12</f>
        <v>0.85773768213945012</v>
      </c>
      <c r="AB148" s="21">
        <f>EXP(-LN(2)/2)*AB147+(1-EXP(-LN(2)/2))/(LN(2)/2)*V148*Y148*VLOOKUP('Données projet'!$B$9,Paramètres!$A$1:$I$89,3,0)*0.475*44/12</f>
        <v>5.1325296669544237E-17</v>
      </c>
      <c r="AC148" s="22">
        <f t="shared" si="111"/>
        <v>1.3094147610339562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141.22849894256314</v>
      </c>
      <c r="AO148" s="59">
        <f t="shared" si="144"/>
        <v>156.12101479343704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0.75422980307595577</v>
      </c>
      <c r="AV148" s="21">
        <f>EXP(-LN(2)/25)*AV147+(1-EXP(-LN(2)/25))/(LN(2)/25)*Calculateur!AQ148*Calculateur!AS148*VLOOKUP('Données projet'!$B$10,Paramètres!$A$1:$I$89,3,0)*0.475*44/12</f>
        <v>0.24833706809487144</v>
      </c>
      <c r="AW148" s="21">
        <f>EXP(-LN(2)/2)*AW147+(1-EXP(-LN(2)/2))/(LN(2)/2)*AQ148*AT148*VLOOKUP('Données projet'!$B$10,Paramètres!$A$1:$I$89,3,0)*0.475*44/12</f>
        <v>1.4513400023465406E-17</v>
      </c>
      <c r="AX148" s="21">
        <f t="shared" si="114"/>
        <v>1.0025668711708273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114.25511901730295</v>
      </c>
      <c r="BJ148" s="59">
        <f t="shared" si="146"/>
        <v>180.96261947642182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0.35052631187248057</v>
      </c>
      <c r="BQ148" s="21">
        <f>EXP(-LN(2)/25)*BQ147+(1-EXP(-LN(2)/25))/(LN(2)/25)*Calculateur!BL148*Calculateur!BN148*VLOOKUP('Données projet'!$B$11,Paramètres!$A$1:$I$89,3,0)*0.475*44/12</f>
        <v>0.73460289394349243</v>
      </c>
      <c r="BR148" s="21">
        <f>EXP(-LN(2)/2)*BR147+(1-EXP(-LN(2)/2))/(LN(2)/2)*BL148*BO148*VLOOKUP('Données projet'!$B$11,Paramètres!$A$1:$I$89,3,0)*0.475*44/12</f>
        <v>3.3521780838922475E-17</v>
      </c>
      <c r="BS148" s="22">
        <f t="shared" si="117"/>
        <v>1.0851292058159729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4.4337866711430253E-14</v>
      </c>
      <c r="CA148" s="13">
        <f t="shared" si="147"/>
        <v>7.3222115536967035E-13</v>
      </c>
      <c r="CB148" s="20">
        <f t="shared" si="118"/>
        <v>1.3525069634579169E-12</v>
      </c>
      <c r="CC148" s="59">
        <f t="shared" si="119"/>
        <v>293.33333333333468</v>
      </c>
      <c r="CD148" s="59">
        <f ca="1">AVERAGE(OFFSET($CC$3,0,0,'Données projet'!$E$12+1,1))-AVERAGE(OFFSET($H$3,0,0,'Données projet'!$E$12+1,1))</f>
        <v>216.95993967070063</v>
      </c>
      <c r="CE148" s="59">
        <f t="shared" si="148"/>
        <v>208.79744153433245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0.52979573748954778</v>
      </c>
      <c r="CL148" s="21">
        <f>EXP(-LN(2)/25)*CL147+(1-EXP(-LN(2)/25))/(LN(2)/25)*Calculateur!CG148*Calculateur!CI148*VLOOKUP('Données projet'!$B$12,Paramètres!$A$1:$I$89,3,0)*0.475*44/12</f>
        <v>0.26461725999724822</v>
      </c>
      <c r="CM148" s="21">
        <f>EXP(-LN(2)/2)*CM147+(1-EXP(-LN(2)/2))/(LN(2)/2)*CG148*CJ148*VLOOKUP('Données projet'!$B$12,Paramètres!$A$1:$I$89,3,0)*0.475*44/12</f>
        <v>6.052747429735855E-18</v>
      </c>
      <c r="CN148" s="22">
        <f t="shared" si="120"/>
        <v>0.79441299748679595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3.813056537183002E-14</v>
      </c>
      <c r="CV148" s="13">
        <f t="shared" si="149"/>
        <v>6.4086286045526829E-13</v>
      </c>
      <c r="CW148" s="20">
        <f t="shared" si="121"/>
        <v>1.1825802166488628E-12</v>
      </c>
      <c r="CX148" s="59">
        <f t="shared" si="122"/>
        <v>293.33333333333451</v>
      </c>
      <c r="CY148" s="59">
        <f ca="1">AVERAGE(OFFSET($CX$3,0,0,'Données projet'!$E$13+1,1))-AVERAGE(OFFSET($H$3,0,0,'Données projet'!$E$13+1,1))</f>
        <v>181.32837315090507</v>
      </c>
      <c r="CZ148" s="59">
        <f t="shared" si="150"/>
        <v>175.03267817980338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0.56158348173892014</v>
      </c>
      <c r="DG148" s="21">
        <f>EXP(-LN(2)/25)*DG147+(1-EXP(-LN(2)/25))/(LN(2)/25)*Calculateur!DB148*Calculateur!DD148*VLOOKUP('Données projet'!$B$13,Paramètres!$A$1:$I$89,3,0)*0.475*44/12</f>
        <v>0.28049429559708322</v>
      </c>
      <c r="DH148" s="21">
        <f>EXP(-LN(2)/2)*DH147+(1-EXP(-LN(2)/2))/(LN(2)/2)*DB148*DE148*VLOOKUP('Données projet'!$B$13,Paramètres!$A$1:$I$89,3,0)*0.475*44/12</f>
        <v>5.205362789572833E-18</v>
      </c>
      <c r="DI148" s="22">
        <f t="shared" si="123"/>
        <v>0.84207777733600331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-2.8421709430404007E-13</v>
      </c>
      <c r="DP148" s="17">
        <f>DO148*VLOOKUP('Données projet'!$B$14,Paramètres!$A$1:$I$89,3,0)*VLOOKUP('Données projet'!$B$14,Paramètres!$A$1:$I$89,5,0)</f>
        <v>-2.2612312022829427E-13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325.72928944930294</v>
      </c>
      <c r="DU148" s="59">
        <f t="shared" si="152"/>
        <v>318.38876834819752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1.7754529497002045</v>
      </c>
      <c r="EB148" s="21">
        <f>EXP(-LN(2)/25)*EB147+(1-EXP(-LN(2)/25))/(LN(2)/25)*Calculateur!DW148*Calculateur!DY148*VLOOKUP('Données projet'!$B$14,Paramètres!$A$1:$I$89,3,0)*0.475*44/12</f>
        <v>0.85272707490276711</v>
      </c>
      <c r="EC148" s="21">
        <f>EXP(-LN(2)/2)*EC147+(1-EXP(-LN(2)/2))/(LN(2)/2)*DW148*DZ148*VLOOKUP('Données projet'!$B$14,Paramètres!$A$1:$I$89,3,0)*0.475*44/12</f>
        <v>5.8042986824838191E-17</v>
      </c>
      <c r="ED148" s="22">
        <f t="shared" si="126"/>
        <v>2.6281800246029716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-5.6843418860808015E-14</v>
      </c>
      <c r="EK148" s="17">
        <f>EJ148*VLOOKUP('Données projet'!$B$15,Paramètres!$A$1:$I$89,3,0)*VLOOKUP('Données projet'!$B$15,Paramètres!$A$1:$I$89,5,0)</f>
        <v>-5.7639226724859328E-14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384.50065773787549</v>
      </c>
      <c r="EP148" s="59">
        <f t="shared" si="154"/>
        <v>231.92898690465887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0.83986940717062919</v>
      </c>
      <c r="EW148" s="21">
        <f>EXP(-LN(2)/25)*EW147+(1-EXP(-LN(2)/25))/(LN(2)/25)*Calculateur!ER148*Calculateur!ET148*VLOOKUP('Données projet'!$B$15,Paramètres!$A$1:$I$89,3,0)*0.475*44/12</f>
        <v>0.43275721670584733</v>
      </c>
      <c r="EX148" s="21">
        <f>EXP(-LN(2)/2)*EX147+(1-EXP(-LN(2)/2))/(LN(2)/2)*ER148*EU148*VLOOKUP('Données projet'!$B$15,Paramètres!$A$1:$I$89,3,0)*0.475*44/12</f>
        <v>4.6930547333087133E-17</v>
      </c>
      <c r="EY148" s="22">
        <f t="shared" si="129"/>
        <v>1.2726266238764765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-1.5429577615577727E-13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326.46362829268969</v>
      </c>
      <c r="FK148" s="59">
        <f t="shared" si="156"/>
        <v>203.5274665601915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0.74942193255225309</v>
      </c>
      <c r="FR148" s="21">
        <f>EXP(-LN(2)/25)*FR147+(1-EXP(-LN(2)/25))/(LN(2)/25)*Calculateur!FM148*Calculateur!FO148*VLOOKUP('Données projet'!$B$16,Paramètres!$A$1:$I$89,3,0)*0.475*44/12</f>
        <v>0.38615259336829377</v>
      </c>
      <c r="FS148" s="21">
        <f>EXP(-LN(2)/2)*FS147+(1-EXP(-LN(2)/2))/(LN(2)/2)*FM148*FP148*VLOOKUP('Données projet'!$B$16,Paramètres!$A$1:$I$89,3,0)*0.475*44/12</f>
        <v>4.1876488389523901E-17</v>
      </c>
      <c r="FT148" s="22">
        <f t="shared" si="132"/>
        <v>1.1355745259205468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-1.7053025658242404E-13</v>
      </c>
      <c r="GA148" s="17">
        <f>FZ148*VLOOKUP('Données projet'!$B$17,Paramètres!$A$1:$I$89,3,0)*VLOOKUP('Données projet'!$B$17,Paramètres!$A$1:$I$89,5,0)</f>
        <v>-1.6493686416652052E-13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353.24082990916918</v>
      </c>
      <c r="GF148" s="59">
        <f t="shared" si="158"/>
        <v>219.76562717496353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0.80110620376275365</v>
      </c>
      <c r="GM148" s="21">
        <f>EXP(-LN(2)/25)*GM147+(1-EXP(-LN(2)/25))/(LN(2)/25)*Calculateur!GH148*Calculateur!GJ148*VLOOKUP('Données projet'!$B$17,Paramètres!$A$1:$I$89,3,0)*0.475*44/12</f>
        <v>0.41278380670403902</v>
      </c>
      <c r="GN148" s="21">
        <f>EXP(-LN(2)/2)*GN147+(1-EXP(-LN(2)/2))/(LN(2)/2)*GH148*GK148*VLOOKUP('Données projet'!$B$17,Paramètres!$A$1:$I$89,3,0)*0.475*44/12</f>
        <v>4.4764522071560045E-17</v>
      </c>
      <c r="GO148" s="21">
        <f t="shared" si="135"/>
        <v>1.2138900104667927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378.17323480030268</v>
      </c>
      <c r="T149" s="59">
        <f t="shared" si="142"/>
        <v>471.89239871617241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0.44281996687319997</v>
      </c>
      <c r="AA149" s="21">
        <f>EXP(-LN(2)/25)*AA148+(1-EXP(-LN(2)/25))/(LN(2)/25)*Calculateur!V149*Calculateur!X149*VLOOKUP('Données projet'!$B$9,Paramètres!$A$1:$I$89,3,0)*0.475*44/12</f>
        <v>0.83428280011488254</v>
      </c>
      <c r="AB149" s="21">
        <f>EXP(-LN(2)/2)*AB148+(1-EXP(-LN(2)/2))/(LN(2)/2)*V149*Y149*VLOOKUP('Données projet'!$B$9,Paramètres!$A$1:$I$89,3,0)*0.475*44/12</f>
        <v>3.6292465321446053E-17</v>
      </c>
      <c r="AC149" s="22">
        <f t="shared" si="111"/>
        <v>1.2771027669880826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141.22849894256314</v>
      </c>
      <c r="AO149" s="59">
        <f t="shared" si="144"/>
        <v>156.12101479343704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0.73943981667239145</v>
      </c>
      <c r="AV149" s="21">
        <f>EXP(-LN(2)/25)*AV148+(1-EXP(-LN(2)/25))/(LN(2)/25)*Calculateur!AQ149*Calculateur!AS149*VLOOKUP('Données projet'!$B$10,Paramètres!$A$1:$I$89,3,0)*0.475*44/12</f>
        <v>0.24154627790833835</v>
      </c>
      <c r="AW149" s="21">
        <f>EXP(-LN(2)/2)*AW148+(1-EXP(-LN(2)/2))/(LN(2)/2)*AQ149*AT149*VLOOKUP('Données projet'!$B$10,Paramètres!$A$1:$I$89,3,0)*0.475*44/12</f>
        <v>1.0262523574665387E-17</v>
      </c>
      <c r="AX149" s="21">
        <f t="shared" si="114"/>
        <v>0.98098609458072983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114.25511901730295</v>
      </c>
      <c r="BJ149" s="59">
        <f t="shared" si="146"/>
        <v>180.96261947642182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0.34365270469660048</v>
      </c>
      <c r="BQ149" s="21">
        <f>EXP(-LN(2)/25)*BQ148+(1-EXP(-LN(2)/25))/(LN(2)/25)*Calculateur!BL149*Calculateur!BN149*VLOOKUP('Données projet'!$B$11,Paramètres!$A$1:$I$89,3,0)*0.475*44/12</f>
        <v>0.71451513917752041</v>
      </c>
      <c r="BR149" s="21">
        <f>EXP(-LN(2)/2)*BR148+(1-EXP(-LN(2)/2))/(LN(2)/2)*BL149*BO149*VLOOKUP('Données projet'!$B$11,Paramètres!$A$1:$I$89,3,0)*0.475*44/12</f>
        <v>2.3703478548651356E-17</v>
      </c>
      <c r="BS149" s="22">
        <f t="shared" si="117"/>
        <v>1.0581678438741209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4.4337866711430253E-14</v>
      </c>
      <c r="CA149" s="13">
        <f t="shared" si="147"/>
        <v>7.3222115536967035E-13</v>
      </c>
      <c r="CB149" s="20">
        <f t="shared" si="118"/>
        <v>1.3525069634579169E-12</v>
      </c>
      <c r="CC149" s="59">
        <f t="shared" si="119"/>
        <v>293.33333333333468</v>
      </c>
      <c r="CD149" s="59">
        <f ca="1">AVERAGE(OFFSET($CC$3,0,0,'Données projet'!$E$12+1,1))-AVERAGE(OFFSET($H$3,0,0,'Données projet'!$E$12+1,1))</f>
        <v>216.95993967070063</v>
      </c>
      <c r="CE149" s="59">
        <f t="shared" si="148"/>
        <v>208.79744153433245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0.5194067662208699</v>
      </c>
      <c r="CL149" s="21">
        <f>EXP(-LN(2)/25)*CL148+(1-EXP(-LN(2)/25))/(LN(2)/25)*Calculateur!CG149*Calculateur!CI149*VLOOKUP('Données projet'!$B$12,Paramètres!$A$1:$I$89,3,0)*0.475*44/12</f>
        <v>0.25738128710700658</v>
      </c>
      <c r="CM149" s="21">
        <f>EXP(-LN(2)/2)*CM148+(1-EXP(-LN(2)/2))/(LN(2)/2)*CG149*CJ149*VLOOKUP('Données projet'!$B$12,Paramètres!$A$1:$I$89,3,0)*0.475*44/12</f>
        <v>4.2799387523756691E-18</v>
      </c>
      <c r="CN149" s="22">
        <f t="shared" si="120"/>
        <v>0.77678805332787648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3.813056537183002E-14</v>
      </c>
      <c r="CV149" s="13">
        <f t="shared" si="149"/>
        <v>6.4086286045526829E-13</v>
      </c>
      <c r="CW149" s="20">
        <f t="shared" si="121"/>
        <v>1.1825802166488628E-12</v>
      </c>
      <c r="CX149" s="59">
        <f t="shared" si="122"/>
        <v>293.33333333333451</v>
      </c>
      <c r="CY149" s="59">
        <f ca="1">AVERAGE(OFFSET($CX$3,0,0,'Données projet'!$E$13+1,1))-AVERAGE(OFFSET($H$3,0,0,'Données projet'!$E$13+1,1))</f>
        <v>181.32837315090507</v>
      </c>
      <c r="CZ149" s="59">
        <f t="shared" si="150"/>
        <v>175.03267817980338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0.55057117219412155</v>
      </c>
      <c r="DG149" s="21">
        <f>EXP(-LN(2)/25)*DG148+(1-EXP(-LN(2)/25))/(LN(2)/25)*Calculateur!DB149*Calculateur!DD149*VLOOKUP('Données projet'!$B$13,Paramètres!$A$1:$I$89,3,0)*0.475*44/12</f>
        <v>0.27282416433342704</v>
      </c>
      <c r="DH149" s="21">
        <f>EXP(-LN(2)/2)*DH148+(1-EXP(-LN(2)/2))/(LN(2)/2)*DB149*DE149*VLOOKUP('Données projet'!$B$13,Paramètres!$A$1:$I$89,3,0)*0.475*44/12</f>
        <v>3.6807473270430738E-18</v>
      </c>
      <c r="DI149" s="22">
        <f t="shared" si="123"/>
        <v>0.82339533652754859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-2.8421709430404007E-13</v>
      </c>
      <c r="DP149" s="17">
        <f>DO149*VLOOKUP('Données projet'!$B$14,Paramètres!$A$1:$I$89,3,0)*VLOOKUP('Données projet'!$B$14,Paramètres!$A$1:$I$89,5,0)</f>
        <v>-2.2612312022829427E-13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325.72928944930294</v>
      </c>
      <c r="DU149" s="59">
        <f t="shared" si="152"/>
        <v>318.38876834819752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1.7406374002759535</v>
      </c>
      <c r="EB149" s="21">
        <f>EXP(-LN(2)/25)*EB148+(1-EXP(-LN(2)/25))/(LN(2)/25)*Calculateur!DW149*Calculateur!DY149*VLOOKUP('Données projet'!$B$14,Paramètres!$A$1:$I$89,3,0)*0.475*44/12</f>
        <v>0.82940920819658304</v>
      </c>
      <c r="EC149" s="21">
        <f>EXP(-LN(2)/2)*EC148+(1-EXP(-LN(2)/2))/(LN(2)/2)*DW149*DZ149*VLOOKUP('Données projet'!$B$14,Paramètres!$A$1:$I$89,3,0)*0.475*44/12</f>
        <v>4.1042589584164521E-17</v>
      </c>
      <c r="ED149" s="22">
        <f t="shared" si="126"/>
        <v>2.5700466084725364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-5.6843418860808015E-14</v>
      </c>
      <c r="EK149" s="17">
        <f>EJ149*VLOOKUP('Données projet'!$B$15,Paramètres!$A$1:$I$89,3,0)*VLOOKUP('Données projet'!$B$15,Paramètres!$A$1:$I$89,5,0)</f>
        <v>-5.7639226724859328E-14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384.50065773787549</v>
      </c>
      <c r="EP149" s="59">
        <f t="shared" si="154"/>
        <v>231.92898690465887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0.82340008036576906</v>
      </c>
      <c r="EW149" s="21">
        <f>EXP(-LN(2)/25)*EW148+(1-EXP(-LN(2)/25))/(LN(2)/25)*Calculateur!ER149*Calculateur!ET149*VLOOKUP('Données projet'!$B$15,Paramètres!$A$1:$I$89,3,0)*0.475*44/12</f>
        <v>0.420923447857313</v>
      </c>
      <c r="EX149" s="21">
        <f>EXP(-LN(2)/2)*EX148+(1-EXP(-LN(2)/2))/(LN(2)/2)*ER149*EU149*VLOOKUP('Données projet'!$B$15,Paramètres!$A$1:$I$89,3,0)*0.475*44/12</f>
        <v>3.3184908264022154E-17</v>
      </c>
      <c r="EY149" s="22">
        <f t="shared" si="129"/>
        <v>1.244323528223082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-1.5429577615577727E-13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326.46362829268969</v>
      </c>
      <c r="FK149" s="59">
        <f t="shared" si="156"/>
        <v>203.5274665601915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0.73472622555714717</v>
      </c>
      <c r="FR149" s="21">
        <f>EXP(-LN(2)/25)*FR148+(1-EXP(-LN(2)/25))/(LN(2)/25)*Calculateur!FM149*Calculateur!FO149*VLOOKUP('Données projet'!$B$16,Paramètres!$A$1:$I$89,3,0)*0.475*44/12</f>
        <v>0.37559323039575548</v>
      </c>
      <c r="FS149" s="21">
        <f>EXP(-LN(2)/2)*FS148+(1-EXP(-LN(2)/2))/(LN(2)/2)*FM149*FP149*VLOOKUP('Données projet'!$B$16,Paramètres!$A$1:$I$89,3,0)*0.475*44/12</f>
        <v>2.9611148912512075E-17</v>
      </c>
      <c r="FT149" s="22">
        <f t="shared" si="132"/>
        <v>1.1103194559529026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-1.7053025658242404E-13</v>
      </c>
      <c r="GA149" s="17">
        <f>FZ149*VLOOKUP('Données projet'!$B$17,Paramètres!$A$1:$I$89,3,0)*VLOOKUP('Données projet'!$B$17,Paramètres!$A$1:$I$89,5,0)</f>
        <v>-1.6493686416652052E-13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353.24082990916918</v>
      </c>
      <c r="GF149" s="59">
        <f t="shared" si="158"/>
        <v>219.76562717496353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0.78539699973350252</v>
      </c>
      <c r="GM149" s="21">
        <f>EXP(-LN(2)/25)*GM148+(1-EXP(-LN(2)/25))/(LN(2)/25)*Calculateur!GH149*Calculateur!GJ149*VLOOKUP('Données projet'!$B$17,Paramètres!$A$1:$I$89,3,0)*0.475*44/12</f>
        <v>0.40149621180236011</v>
      </c>
      <c r="GN149" s="21">
        <f>EXP(-LN(2)/2)*GN148+(1-EXP(-LN(2)/2))/(LN(2)/2)*GH149*GK149*VLOOKUP('Données projet'!$B$17,Paramètres!$A$1:$I$89,3,0)*0.475*44/12</f>
        <v>3.1653297113374985E-17</v>
      </c>
      <c r="GO149" s="21">
        <f t="shared" si="135"/>
        <v>1.1868932115358626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378.17323480030268</v>
      </c>
      <c r="T150" s="59">
        <f t="shared" si="142"/>
        <v>471.89239871617241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0.4341365374163268</v>
      </c>
      <c r="AA150" s="21">
        <f>EXP(-LN(2)/25)*AA149+(1-EXP(-LN(2)/25))/(LN(2)/25)*Calculateur!V150*Calculateur!X150*VLOOKUP('Données projet'!$B$9,Paramètres!$A$1:$I$89,3,0)*0.475*44/12</f>
        <v>0.81146929307271543</v>
      </c>
      <c r="AB150" s="21">
        <f>EXP(-LN(2)/2)*AB149+(1-EXP(-LN(2)/2))/(LN(2)/2)*V150*Y150*VLOOKUP('Données projet'!$B$9,Paramètres!$A$1:$I$89,3,0)*0.475*44/12</f>
        <v>2.5662648334772118E-17</v>
      </c>
      <c r="AC150" s="22">
        <f t="shared" si="111"/>
        <v>1.2456058304890423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141.22849894256314</v>
      </c>
      <c r="AO150" s="59">
        <f t="shared" si="144"/>
        <v>156.12101479343704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0.72493985288120011</v>
      </c>
      <c r="AV150" s="21">
        <f>EXP(-LN(2)/25)*AV149+(1-EXP(-LN(2)/25))/(LN(2)/25)*Calculateur!AQ150*Calculateur!AS150*VLOOKUP('Données projet'!$B$10,Paramètres!$A$1:$I$89,3,0)*0.475*44/12</f>
        <v>0.23494118223656815</v>
      </c>
      <c r="AW150" s="21">
        <f>EXP(-LN(2)/2)*AW149+(1-EXP(-LN(2)/2))/(LN(2)/2)*AQ150*AT150*VLOOKUP('Données projet'!$B$10,Paramètres!$A$1:$I$89,3,0)*0.475*44/12</f>
        <v>7.2567000117327029E-18</v>
      </c>
      <c r="AX150" s="21">
        <f t="shared" si="114"/>
        <v>0.95988103511776823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114.25511901730295</v>
      </c>
      <c r="BJ150" s="59">
        <f t="shared" si="146"/>
        <v>180.96261947642182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0.33691388476495299</v>
      </c>
      <c r="BQ150" s="21">
        <f>EXP(-LN(2)/25)*BQ149+(1-EXP(-LN(2)/25))/(LN(2)/25)*Calculateur!BL150*Calculateur!BN150*VLOOKUP('Données projet'!$B$11,Paramètres!$A$1:$I$89,3,0)*0.475*44/12</f>
        <v>0.69497668512199295</v>
      </c>
      <c r="BR150" s="21">
        <f>EXP(-LN(2)/2)*BR149+(1-EXP(-LN(2)/2))/(LN(2)/2)*BL150*BO150*VLOOKUP('Données projet'!$B$11,Paramètres!$A$1:$I$89,3,0)*0.475*44/12</f>
        <v>1.6760890419461237E-17</v>
      </c>
      <c r="BS150" s="22">
        <f t="shared" si="117"/>
        <v>1.0318905698869458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4.4337866711430253E-14</v>
      </c>
      <c r="CA150" s="13">
        <f t="shared" si="147"/>
        <v>7.3222115536967035E-13</v>
      </c>
      <c r="CB150" s="20">
        <f t="shared" si="118"/>
        <v>1.3525069634579169E-12</v>
      </c>
      <c r="CC150" s="59">
        <f t="shared" si="119"/>
        <v>293.33333333333468</v>
      </c>
      <c r="CD150" s="59">
        <f ca="1">AVERAGE(OFFSET($CC$3,0,0,'Données projet'!$E$12+1,1))-AVERAGE(OFFSET($H$3,0,0,'Données projet'!$E$12+1,1))</f>
        <v>216.95993967070063</v>
      </c>
      <c r="CE150" s="59">
        <f t="shared" si="148"/>
        <v>208.79744153433245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0.50922151634212398</v>
      </c>
      <c r="CL150" s="21">
        <f>EXP(-LN(2)/25)*CL149+(1-EXP(-LN(2)/25))/(LN(2)/25)*Calculateur!CG150*Calculateur!CI150*VLOOKUP('Données projet'!$B$12,Paramètres!$A$1:$I$89,3,0)*0.475*44/12</f>
        <v>0.25034318227597185</v>
      </c>
      <c r="CM150" s="21">
        <f>EXP(-LN(2)/2)*CM149+(1-EXP(-LN(2)/2))/(LN(2)/2)*CG150*CJ150*VLOOKUP('Données projet'!$B$12,Paramètres!$A$1:$I$89,3,0)*0.475*44/12</f>
        <v>3.0263737148679275E-18</v>
      </c>
      <c r="CN150" s="22">
        <f t="shared" si="120"/>
        <v>0.75956469861809583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3.813056537183002E-14</v>
      </c>
      <c r="CV150" s="13">
        <f t="shared" si="149"/>
        <v>6.4086286045526829E-13</v>
      </c>
      <c r="CW150" s="20">
        <f t="shared" si="121"/>
        <v>1.1825802166488628E-12</v>
      </c>
      <c r="CX150" s="59">
        <f t="shared" si="122"/>
        <v>293.33333333333451</v>
      </c>
      <c r="CY150" s="59">
        <f ca="1">AVERAGE(OFFSET($CX$3,0,0,'Données projet'!$E$13+1,1))-AVERAGE(OFFSET($H$3,0,0,'Données projet'!$E$13+1,1))</f>
        <v>181.32837315090507</v>
      </c>
      <c r="CZ150" s="59">
        <f t="shared" si="150"/>
        <v>175.03267817980338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0.53977480732265082</v>
      </c>
      <c r="DG150" s="21">
        <f>EXP(-LN(2)/25)*DG149+(1-EXP(-LN(2)/25))/(LN(2)/25)*Calculateur!DB150*Calculateur!DD150*VLOOKUP('Données projet'!$B$13,Paramètres!$A$1:$I$89,3,0)*0.475*44/12</f>
        <v>0.26536377321253024</v>
      </c>
      <c r="DH150" s="21">
        <f>EXP(-LN(2)/2)*DH149+(1-EXP(-LN(2)/2))/(LN(2)/2)*DB150*DE150*VLOOKUP('Données projet'!$B$13,Paramètres!$A$1:$I$89,3,0)*0.475*44/12</f>
        <v>2.6026813947864165E-18</v>
      </c>
      <c r="DI150" s="22">
        <f t="shared" si="123"/>
        <v>0.80513858053518106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-2.8421709430404007E-13</v>
      </c>
      <c r="DP150" s="17">
        <f>DO150*VLOOKUP('Données projet'!$B$14,Paramètres!$A$1:$I$89,3,0)*VLOOKUP('Données projet'!$B$14,Paramètres!$A$1:$I$89,5,0)</f>
        <v>-2.2612312022829427E-13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325.72928944930294</v>
      </c>
      <c r="DU150" s="59">
        <f t="shared" si="152"/>
        <v>318.38876834819752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1.7065045625405235</v>
      </c>
      <c r="EB150" s="21">
        <f>EXP(-LN(2)/25)*EB149+(1-EXP(-LN(2)/25))/(LN(2)/25)*Calculateur!DW150*Calculateur!DY150*VLOOKUP('Données projet'!$B$14,Paramètres!$A$1:$I$89,3,0)*0.475*44/12</f>
        <v>0.80672896978171282</v>
      </c>
      <c r="EC150" s="21">
        <f>EXP(-LN(2)/2)*EC149+(1-EXP(-LN(2)/2))/(LN(2)/2)*DW150*DZ150*VLOOKUP('Données projet'!$B$14,Paramètres!$A$1:$I$89,3,0)*0.475*44/12</f>
        <v>2.9021493412419095E-17</v>
      </c>
      <c r="ED150" s="22">
        <f t="shared" si="126"/>
        <v>2.5132335323222366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-5.6843418860808015E-14</v>
      </c>
      <c r="EK150" s="17">
        <f>EJ150*VLOOKUP('Données projet'!$B$15,Paramètres!$A$1:$I$89,3,0)*VLOOKUP('Données projet'!$B$15,Paramètres!$A$1:$I$89,5,0)</f>
        <v>-5.7639226724859328E-14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384.50065773787549</v>
      </c>
      <c r="EP150" s="59">
        <f t="shared" si="154"/>
        <v>231.92898690465887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0.80725370701425481</v>
      </c>
      <c r="EW150" s="21">
        <f>EXP(-LN(2)/25)*EW149+(1-EXP(-LN(2)/25))/(LN(2)/25)*Calculateur!ER150*Calculateur!ET150*VLOOKUP('Données projet'!$B$15,Paramètres!$A$1:$I$89,3,0)*0.475*44/12</f>
        <v>0.40941327404025268</v>
      </c>
      <c r="EX150" s="21">
        <f>EXP(-LN(2)/2)*EX149+(1-EXP(-LN(2)/2))/(LN(2)/2)*ER150*EU150*VLOOKUP('Données projet'!$B$15,Paramètres!$A$1:$I$89,3,0)*0.475*44/12</f>
        <v>2.3465273666543566E-17</v>
      </c>
      <c r="EY150" s="22">
        <f t="shared" si="129"/>
        <v>1.2166669810545074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-1.5429577615577727E-13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326.46362829268969</v>
      </c>
      <c r="FK150" s="59">
        <f t="shared" si="156"/>
        <v>203.5274665601915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0.72031869241271906</v>
      </c>
      <c r="FR150" s="21">
        <f>EXP(-LN(2)/25)*FR149+(1-EXP(-LN(2)/25))/(LN(2)/25)*Calculateur!FM150*Calculateur!FO150*VLOOKUP('Données projet'!$B$16,Paramètres!$A$1:$I$89,3,0)*0.475*44/12</f>
        <v>0.365322613758994</v>
      </c>
      <c r="FS150" s="21">
        <f>EXP(-LN(2)/2)*FS149+(1-EXP(-LN(2)/2))/(LN(2)/2)*FM150*FP150*VLOOKUP('Données projet'!$B$16,Paramètres!$A$1:$I$89,3,0)*0.475*44/12</f>
        <v>2.0938244194761951E-17</v>
      </c>
      <c r="FT150" s="22">
        <f t="shared" si="132"/>
        <v>1.0856413061717132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-1.7053025658242404E-13</v>
      </c>
      <c r="GA150" s="17">
        <f>FZ150*VLOOKUP('Données projet'!$B$17,Paramètres!$A$1:$I$89,3,0)*VLOOKUP('Données projet'!$B$17,Paramètres!$A$1:$I$89,5,0)</f>
        <v>-1.6493686416652052E-13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353.24082990916918</v>
      </c>
      <c r="GF150" s="59">
        <f t="shared" si="158"/>
        <v>219.76562717496353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0.76999584361359663</v>
      </c>
      <c r="GM150" s="21">
        <f>EXP(-LN(2)/25)*GM149+(1-EXP(-LN(2)/25))/(LN(2)/25)*Calculateur!GH150*Calculateur!GJ150*VLOOKUP('Données projet'!$B$17,Paramètres!$A$1:$I$89,3,0)*0.475*44/12</f>
        <v>0.39051727677685644</v>
      </c>
      <c r="GN150" s="21">
        <f>EXP(-LN(2)/2)*GN149+(1-EXP(-LN(2)/2))/(LN(2)/2)*GH150*GK150*VLOOKUP('Données projet'!$B$17,Paramètres!$A$1:$I$89,3,0)*0.475*44/12</f>
        <v>2.2382261035780023E-17</v>
      </c>
      <c r="GO150" s="21">
        <f t="shared" si="135"/>
        <v>1.1605131203904531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378.17323480030268</v>
      </c>
      <c r="T151" s="59">
        <f t="shared" si="142"/>
        <v>471.89239871617241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0.42562338471473393</v>
      </c>
      <c r="AA151" s="21">
        <f>EXP(-LN(2)/25)*AA150+(1-EXP(-LN(2)/25))/(LN(2)/25)*Calculateur!V151*Calculateur!X151*VLOOKUP('Données projet'!$B$9,Paramètres!$A$1:$I$89,3,0)*0.475*44/12</f>
        <v>0.78927962258032658</v>
      </c>
      <c r="AB151" s="21">
        <f>EXP(-LN(2)/2)*AB150+(1-EXP(-LN(2)/2))/(LN(2)/2)*V151*Y151*VLOOKUP('Données projet'!$B$9,Paramètres!$A$1:$I$89,3,0)*0.475*44/12</f>
        <v>1.8146232660723026E-17</v>
      </c>
      <c r="AC151" s="22">
        <f t="shared" si="111"/>
        <v>1.2149030072950606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141.22849894256314</v>
      </c>
      <c r="AO151" s="59">
        <f t="shared" si="144"/>
        <v>156.12101479343704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0.71072422453584938</v>
      </c>
      <c r="AV151" s="21">
        <f>EXP(-LN(2)/25)*AV150+(1-EXP(-LN(2)/25))/(LN(2)/25)*Calculateur!AQ151*Calculateur!AS151*VLOOKUP('Données projet'!$B$10,Paramètres!$A$1:$I$89,3,0)*0.475*44/12</f>
        <v>0.22851670325328938</v>
      </c>
      <c r="AW151" s="21">
        <f>EXP(-LN(2)/2)*AW150+(1-EXP(-LN(2)/2))/(LN(2)/2)*AQ151*AT151*VLOOKUP('Données projet'!$B$10,Paramètres!$A$1:$I$89,3,0)*0.475*44/12</f>
        <v>5.1312617873326933E-18</v>
      </c>
      <c r="AX151" s="21">
        <f t="shared" si="114"/>
        <v>0.9392409277891387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114.25511901730295</v>
      </c>
      <c r="BJ151" s="59">
        <f t="shared" si="146"/>
        <v>180.96261947642182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0.33030720898189081</v>
      </c>
      <c r="BQ151" s="21">
        <f>EXP(-LN(2)/25)*BQ150+(1-EXP(-LN(2)/25))/(LN(2)/25)*Calculateur!BL151*Calculateur!BN151*VLOOKUP('Données projet'!$B$11,Paramètres!$A$1:$I$89,3,0)*0.475*44/12</f>
        <v>0.6759725111200966</v>
      </c>
      <c r="BR151" s="21">
        <f>EXP(-LN(2)/2)*BR150+(1-EXP(-LN(2)/2))/(LN(2)/2)*BL151*BO151*VLOOKUP('Données projet'!$B$11,Paramètres!$A$1:$I$89,3,0)*0.475*44/12</f>
        <v>1.1851739274325678E-17</v>
      </c>
      <c r="BS151" s="22">
        <f t="shared" si="117"/>
        <v>1.0062797201019875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4.4337866711430253E-14</v>
      </c>
      <c r="CA151" s="13">
        <f t="shared" si="147"/>
        <v>7.3222115536967035E-13</v>
      </c>
      <c r="CB151" s="20">
        <f t="shared" si="118"/>
        <v>1.3525069634579169E-12</v>
      </c>
      <c r="CC151" s="59">
        <f t="shared" si="119"/>
        <v>293.33333333333468</v>
      </c>
      <c r="CD151" s="59">
        <f ca="1">AVERAGE(OFFSET($CC$3,0,0,'Données projet'!$E$12+1,1))-AVERAGE(OFFSET($H$3,0,0,'Données projet'!$E$12+1,1))</f>
        <v>216.95993967070063</v>
      </c>
      <c r="CE151" s="59">
        <f t="shared" si="148"/>
        <v>208.79744153433245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0.49923599300111127</v>
      </c>
      <c r="CL151" s="21">
        <f>EXP(-LN(2)/25)*CL150+(1-EXP(-LN(2)/25))/(LN(2)/25)*Calculateur!CG151*Calculateur!CI151*VLOOKUP('Données projet'!$B$12,Paramètres!$A$1:$I$89,3,0)*0.475*44/12</f>
        <v>0.24349753479165961</v>
      </c>
      <c r="CM151" s="21">
        <f>EXP(-LN(2)/2)*CM150+(1-EXP(-LN(2)/2))/(LN(2)/2)*CG151*CJ151*VLOOKUP('Données projet'!$B$12,Paramètres!$A$1:$I$89,3,0)*0.475*44/12</f>
        <v>2.1399693761878345E-18</v>
      </c>
      <c r="CN151" s="22">
        <f t="shared" si="120"/>
        <v>0.74273352779277091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3.813056537183002E-14</v>
      </c>
      <c r="CV151" s="13">
        <f t="shared" si="149"/>
        <v>6.4086286045526829E-13</v>
      </c>
      <c r="CW151" s="20">
        <f t="shared" si="121"/>
        <v>1.1825802166488628E-12</v>
      </c>
      <c r="CX151" s="59">
        <f t="shared" si="122"/>
        <v>293.33333333333451</v>
      </c>
      <c r="CY151" s="59">
        <f ca="1">AVERAGE(OFFSET($CX$3,0,0,'Données projet'!$E$13+1,1))-AVERAGE(OFFSET($H$3,0,0,'Données projet'!$E$13+1,1))</f>
        <v>181.32837315090507</v>
      </c>
      <c r="CZ151" s="59">
        <f t="shared" si="150"/>
        <v>175.03267817980338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0.5291901525811773</v>
      </c>
      <c r="DG151" s="21">
        <f>EXP(-LN(2)/25)*DG150+(1-EXP(-LN(2)/25))/(LN(2)/25)*Calculateur!DB151*Calculateur!DD151*VLOOKUP('Données projet'!$B$13,Paramètres!$A$1:$I$89,3,0)*0.475*44/12</f>
        <v>0.25810738687915924</v>
      </c>
      <c r="DH151" s="21">
        <f>EXP(-LN(2)/2)*DH150+(1-EXP(-LN(2)/2))/(LN(2)/2)*DB151*DE151*VLOOKUP('Données projet'!$B$13,Paramètres!$A$1:$I$89,3,0)*0.475*44/12</f>
        <v>1.8403736635215369E-18</v>
      </c>
      <c r="DI151" s="22">
        <f t="shared" si="123"/>
        <v>0.78729753946033654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-2.8421709430404007E-13</v>
      </c>
      <c r="DP151" s="17">
        <f>DO151*VLOOKUP('Données projet'!$B$14,Paramètres!$A$1:$I$89,3,0)*VLOOKUP('Données projet'!$B$14,Paramètres!$A$1:$I$89,5,0)</f>
        <v>-2.2612312022829427E-13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325.72928944930294</v>
      </c>
      <c r="DU151" s="59">
        <f t="shared" si="152"/>
        <v>318.38876834819752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1.6730410489341101</v>
      </c>
      <c r="EB151" s="21">
        <f>EXP(-LN(2)/25)*EB150+(1-EXP(-LN(2)/25))/(LN(2)/25)*Calculateur!DW151*Calculateur!DY151*VLOOKUP('Données projet'!$B$14,Paramètres!$A$1:$I$89,3,0)*0.475*44/12</f>
        <v>0.78466892367899921</v>
      </c>
      <c r="EC151" s="21">
        <f>EXP(-LN(2)/2)*EC150+(1-EXP(-LN(2)/2))/(LN(2)/2)*DW151*DZ151*VLOOKUP('Données projet'!$B$14,Paramètres!$A$1:$I$89,3,0)*0.475*44/12</f>
        <v>2.0521294792082261E-17</v>
      </c>
      <c r="ED151" s="22">
        <f t="shared" si="126"/>
        <v>2.4577099726131095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-5.6843418860808015E-14</v>
      </c>
      <c r="EK151" s="17">
        <f>EJ151*VLOOKUP('Données projet'!$B$15,Paramètres!$A$1:$I$89,3,0)*VLOOKUP('Données projet'!$B$15,Paramètres!$A$1:$I$89,5,0)</f>
        <v>-5.7639226724859328E-14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384.50065773787549</v>
      </c>
      <c r="EP151" s="59">
        <f t="shared" si="154"/>
        <v>231.92898690465887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0.79142395419584843</v>
      </c>
      <c r="EW151" s="21">
        <f>EXP(-LN(2)/25)*EW150+(1-EXP(-LN(2)/25))/(LN(2)/25)*Calculateur!ER151*Calculateur!ET151*VLOOKUP('Données projet'!$B$15,Paramètres!$A$1:$I$89,3,0)*0.475*44/12</f>
        <v>0.3982178465315136</v>
      </c>
      <c r="EX151" s="21">
        <f>EXP(-LN(2)/2)*EX150+(1-EXP(-LN(2)/2))/(LN(2)/2)*ER151*EU151*VLOOKUP('Données projet'!$B$15,Paramètres!$A$1:$I$89,3,0)*0.475*44/12</f>
        <v>1.6592454132011077E-17</v>
      </c>
      <c r="EY151" s="22">
        <f t="shared" si="129"/>
        <v>1.1896418007273621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-1.5429577615577727E-13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326.46362829268969</v>
      </c>
      <c r="FK151" s="59">
        <f t="shared" si="156"/>
        <v>203.5274665601915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0.7061936822055257</v>
      </c>
      <c r="FR151" s="21">
        <f>EXP(-LN(2)/25)*FR150+(1-EXP(-LN(2)/25))/(LN(2)/25)*Calculateur!FM151*Calculateur!FO151*VLOOKUP('Données projet'!$B$16,Paramètres!$A$1:$I$89,3,0)*0.475*44/12</f>
        <v>0.35533284767427298</v>
      </c>
      <c r="FS151" s="21">
        <f>EXP(-LN(2)/2)*FS150+(1-EXP(-LN(2)/2))/(LN(2)/2)*FM151*FP151*VLOOKUP('Données projet'!$B$16,Paramètres!$A$1:$I$89,3,0)*0.475*44/12</f>
        <v>1.4805574456256037E-17</v>
      </c>
      <c r="FT151" s="22">
        <f t="shared" si="132"/>
        <v>1.0615265298797987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-1.7053025658242404E-13</v>
      </c>
      <c r="GA151" s="17">
        <f>FZ151*VLOOKUP('Données projet'!$B$17,Paramètres!$A$1:$I$89,3,0)*VLOOKUP('Données projet'!$B$17,Paramètres!$A$1:$I$89,5,0)</f>
        <v>-1.6493686416652052E-13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353.24082990916918</v>
      </c>
      <c r="GF151" s="59">
        <f t="shared" si="158"/>
        <v>219.76562717496353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0.7548966947714244</v>
      </c>
      <c r="GM151" s="21">
        <f>EXP(-LN(2)/25)*GM150+(1-EXP(-LN(2)/25))/(LN(2)/25)*Calculateur!GH151*Calculateur!GJ151*VLOOKUP('Données projet'!$B$17,Paramètres!$A$1:$I$89,3,0)*0.475*44/12</f>
        <v>0.37983856130698224</v>
      </c>
      <c r="GN151" s="21">
        <f>EXP(-LN(2)/2)*GN150+(1-EXP(-LN(2)/2))/(LN(2)/2)*GH151*GK151*VLOOKUP('Données projet'!$B$17,Paramètres!$A$1:$I$89,3,0)*0.475*44/12</f>
        <v>1.5826648556687493E-17</v>
      </c>
      <c r="GO151" s="21">
        <f t="shared" si="135"/>
        <v>1.1347352560784065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378.17323480030268</v>
      </c>
      <c r="T152" s="59">
        <f t="shared" si="142"/>
        <v>471.89239871617241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0.41727716974510887</v>
      </c>
      <c r="AA152" s="21">
        <f>EXP(-LN(2)/25)*AA151+(1-EXP(-LN(2)/25))/(LN(2)/25)*Calculateur!V152*Calculateur!X152*VLOOKUP('Données projet'!$B$9,Paramètres!$A$1:$I$89,3,0)*0.475*44/12</f>
        <v>0.76769672979445613</v>
      </c>
      <c r="AB152" s="21">
        <f>EXP(-LN(2)/2)*AB151+(1-EXP(-LN(2)/2))/(LN(2)/2)*V152*Y152*VLOOKUP('Données projet'!$B$9,Paramètres!$A$1:$I$89,3,0)*0.475*44/12</f>
        <v>1.2831324167386059E-17</v>
      </c>
      <c r="AC152" s="22">
        <f t="shared" si="111"/>
        <v>1.1849738995395649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141.22849894256314</v>
      </c>
      <c r="AO152" s="59">
        <f t="shared" si="144"/>
        <v>156.12101479343704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0.69678735599167385</v>
      </c>
      <c r="AV152" s="21">
        <f>EXP(-LN(2)/25)*AV151+(1-EXP(-LN(2)/25))/(LN(2)/25)*Calculateur!AQ152*Calculateur!AS152*VLOOKUP('Données projet'!$B$10,Paramètres!$A$1:$I$89,3,0)*0.475*44/12</f>
        <v>0.22226790198565705</v>
      </c>
      <c r="AW152" s="21">
        <f>EXP(-LN(2)/2)*AW151+(1-EXP(-LN(2)/2))/(LN(2)/2)*AQ152*AT152*VLOOKUP('Données projet'!$B$10,Paramètres!$A$1:$I$89,3,0)*0.475*44/12</f>
        <v>3.6283500058663514E-18</v>
      </c>
      <c r="AX152" s="21">
        <f t="shared" si="114"/>
        <v>0.9190552579773309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114.25511901730295</v>
      </c>
      <c r="BJ152" s="59">
        <f t="shared" si="146"/>
        <v>180.96261947642182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0.32383008608126013</v>
      </c>
      <c r="BQ152" s="21">
        <f>EXP(-LN(2)/25)*BQ151+(1-EXP(-LN(2)/25))/(LN(2)/25)*Calculateur!BL152*Calculateur!BN152*VLOOKUP('Données projet'!$B$11,Paramètres!$A$1:$I$89,3,0)*0.475*44/12</f>
        <v>0.65748800725566814</v>
      </c>
      <c r="BR152" s="21">
        <f>EXP(-LN(2)/2)*BR151+(1-EXP(-LN(2)/2))/(LN(2)/2)*BL152*BO152*VLOOKUP('Données projet'!$B$11,Paramètres!$A$1:$I$89,3,0)*0.475*44/12</f>
        <v>8.3804452097306187E-18</v>
      </c>
      <c r="BS152" s="22">
        <f t="shared" si="117"/>
        <v>0.98131809333692832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4.4337866711430253E-14</v>
      </c>
      <c r="CA152" s="13">
        <f t="shared" si="147"/>
        <v>7.3222115536967035E-13</v>
      </c>
      <c r="CB152" s="20">
        <f t="shared" si="118"/>
        <v>1.3525069634579169E-12</v>
      </c>
      <c r="CC152" s="59">
        <f t="shared" si="119"/>
        <v>293.33333333333468</v>
      </c>
      <c r="CD152" s="59">
        <f ca="1">AVERAGE(OFFSET($CC$3,0,0,'Données projet'!$E$12+1,1))-AVERAGE(OFFSET($H$3,0,0,'Données projet'!$E$12+1,1))</f>
        <v>216.95993967070063</v>
      </c>
      <c r="CE152" s="59">
        <f t="shared" si="148"/>
        <v>208.79744153433245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0.48944627968224796</v>
      </c>
      <c r="CL152" s="21">
        <f>EXP(-LN(2)/25)*CL151+(1-EXP(-LN(2)/25))/(LN(2)/25)*Calculateur!CG152*Calculateur!CI152*VLOOKUP('Données projet'!$B$12,Paramètres!$A$1:$I$89,3,0)*0.475*44/12</f>
        <v>0.23683908189780284</v>
      </c>
      <c r="CM152" s="21">
        <f>EXP(-LN(2)/2)*CM151+(1-EXP(-LN(2)/2))/(LN(2)/2)*CG152*CJ152*VLOOKUP('Données projet'!$B$12,Paramètres!$A$1:$I$89,3,0)*0.475*44/12</f>
        <v>1.5131868574339637E-18</v>
      </c>
      <c r="CN152" s="22">
        <f t="shared" si="120"/>
        <v>0.72628536158005086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3.813056537183002E-14</v>
      </c>
      <c r="CV152" s="13">
        <f t="shared" si="149"/>
        <v>6.4086286045526829E-13</v>
      </c>
      <c r="CW152" s="20">
        <f t="shared" si="121"/>
        <v>1.1825802166488628E-12</v>
      </c>
      <c r="CX152" s="59">
        <f t="shared" si="122"/>
        <v>293.33333333333451</v>
      </c>
      <c r="CY152" s="59">
        <f ca="1">AVERAGE(OFFSET($CX$3,0,0,'Données projet'!$E$13+1,1))-AVERAGE(OFFSET($H$3,0,0,'Données projet'!$E$13+1,1))</f>
        <v>181.32837315090507</v>
      </c>
      <c r="CZ152" s="59">
        <f t="shared" si="150"/>
        <v>175.03267817980338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0.51881305646318221</v>
      </c>
      <c r="DG152" s="21">
        <f>EXP(-LN(2)/25)*DG151+(1-EXP(-LN(2)/25))/(LN(2)/25)*Calculateur!DB152*Calculateur!DD152*VLOOKUP('Données projet'!$B$13,Paramètres!$A$1:$I$89,3,0)*0.475*44/12</f>
        <v>0.25104942681167108</v>
      </c>
      <c r="DH152" s="21">
        <f>EXP(-LN(2)/2)*DH151+(1-EXP(-LN(2)/2))/(LN(2)/2)*DB152*DE152*VLOOKUP('Données projet'!$B$13,Paramètres!$A$1:$I$89,3,0)*0.475*44/12</f>
        <v>1.3013406973932083E-18</v>
      </c>
      <c r="DI152" s="22">
        <f t="shared" si="123"/>
        <v>0.76986248327485329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-2.8421709430404007E-13</v>
      </c>
      <c r="DP152" s="17">
        <f>DO152*VLOOKUP('Données projet'!$B$14,Paramètres!$A$1:$I$89,3,0)*VLOOKUP('Données projet'!$B$14,Paramètres!$A$1:$I$89,5,0)</f>
        <v>-2.2612312022829427E-13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325.72928944930294</v>
      </c>
      <c r="DU152" s="59">
        <f t="shared" si="152"/>
        <v>318.38876834819752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1.6402337344187905</v>
      </c>
      <c r="EB152" s="21">
        <f>EXP(-LN(2)/25)*EB151+(1-EXP(-LN(2)/25))/(LN(2)/25)*Calculateur!DW152*Calculateur!DY152*VLOOKUP('Données projet'!$B$14,Paramètres!$A$1:$I$89,3,0)*0.475*44/12</f>
        <v>0.76321211069705164</v>
      </c>
      <c r="EC152" s="21">
        <f>EXP(-LN(2)/2)*EC151+(1-EXP(-LN(2)/2))/(LN(2)/2)*DW152*DZ152*VLOOKUP('Données projet'!$B$14,Paramètres!$A$1:$I$89,3,0)*0.475*44/12</f>
        <v>1.4510746706209548E-17</v>
      </c>
      <c r="ED152" s="22">
        <f t="shared" si="126"/>
        <v>2.4034458451158422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-5.6843418860808015E-14</v>
      </c>
      <c r="EK152" s="17">
        <f>EJ152*VLOOKUP('Données projet'!$B$15,Paramètres!$A$1:$I$89,3,0)*VLOOKUP('Données projet'!$B$15,Paramètres!$A$1:$I$89,5,0)</f>
        <v>-5.7639226724859328E-14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384.50065773787549</v>
      </c>
      <c r="EP152" s="59">
        <f t="shared" si="154"/>
        <v>231.92898690465887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0.77590461317501513</v>
      </c>
      <c r="EW152" s="21">
        <f>EXP(-LN(2)/25)*EW151+(1-EXP(-LN(2)/25))/(LN(2)/25)*Calculateur!ER152*Calculateur!ET152*VLOOKUP('Données projet'!$B$15,Paramètres!$A$1:$I$89,3,0)*0.475*44/12</f>
        <v>0.38732855857674292</v>
      </c>
      <c r="EX152" s="21">
        <f>EXP(-LN(2)/2)*EX151+(1-EXP(-LN(2)/2))/(LN(2)/2)*ER152*EU152*VLOOKUP('Données projet'!$B$15,Paramètres!$A$1:$I$89,3,0)*0.475*44/12</f>
        <v>1.1732636833271783E-17</v>
      </c>
      <c r="EY152" s="22">
        <f t="shared" si="129"/>
        <v>1.1632331717517581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-1.5429577615577727E-13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326.46362829268969</v>
      </c>
      <c r="FK152" s="59">
        <f t="shared" si="156"/>
        <v>203.5274665601915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0.69234565483308985</v>
      </c>
      <c r="FR152" s="21">
        <f>EXP(-LN(2)/25)*FR151+(1-EXP(-LN(2)/25))/(LN(2)/25)*Calculateur!FM152*Calculateur!FO152*VLOOKUP('Données projet'!$B$16,Paramètres!$A$1:$I$89,3,0)*0.475*44/12</f>
        <v>0.34561625226847764</v>
      </c>
      <c r="FS152" s="21">
        <f>EXP(-LN(2)/2)*FS151+(1-EXP(-LN(2)/2))/(LN(2)/2)*FM152*FP152*VLOOKUP('Données projet'!$B$16,Paramètres!$A$1:$I$89,3,0)*0.475*44/12</f>
        <v>1.0469122097380975E-17</v>
      </c>
      <c r="FT152" s="22">
        <f t="shared" si="132"/>
        <v>1.0379619071015675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-1.7053025658242404E-13</v>
      </c>
      <c r="GA152" s="17">
        <f>FZ152*VLOOKUP('Données projet'!$B$17,Paramètres!$A$1:$I$89,3,0)*VLOOKUP('Données projet'!$B$17,Paramètres!$A$1:$I$89,5,0)</f>
        <v>-1.6493686416652052E-13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353.24082990916918</v>
      </c>
      <c r="GF152" s="59">
        <f t="shared" si="158"/>
        <v>219.76562717496353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0.74009363102847581</v>
      </c>
      <c r="GM152" s="21">
        <f>EXP(-LN(2)/25)*GM151+(1-EXP(-LN(2)/25))/(LN(2)/25)*Calculateur!GH152*Calculateur!GJ152*VLOOKUP('Données projet'!$B$17,Paramètres!$A$1:$I$89,3,0)*0.475*44/12</f>
        <v>0.36945185587320101</v>
      </c>
      <c r="GN152" s="21">
        <f>EXP(-LN(2)/2)*GN151+(1-EXP(-LN(2)/2))/(LN(2)/2)*GH152*GK152*VLOOKUP('Données projet'!$B$17,Paramètres!$A$1:$I$89,3,0)*0.475*44/12</f>
        <v>1.1191130517890011E-17</v>
      </c>
      <c r="GO152" s="21">
        <f t="shared" si="135"/>
        <v>1.1095454869016768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378.17323480030268</v>
      </c>
      <c r="T153" s="59">
        <f t="shared" si="142"/>
        <v>471.89239871617241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0.40909461896034965</v>
      </c>
      <c r="AA153" s="21">
        <f>EXP(-LN(2)/25)*AA152+(1-EXP(-LN(2)/25))/(LN(2)/25)*Calculateur!V153*Calculateur!X153*VLOOKUP('Données projet'!$B$9,Paramètres!$A$1:$I$89,3,0)*0.475*44/12</f>
        <v>0.74670402234681033</v>
      </c>
      <c r="AB153" s="21">
        <f>EXP(-LN(2)/2)*AB152+(1-EXP(-LN(2)/2))/(LN(2)/2)*V153*Y153*VLOOKUP('Données projet'!$B$9,Paramètres!$A$1:$I$89,3,0)*0.475*44/12</f>
        <v>9.0731163303615131E-18</v>
      </c>
      <c r="AC153" s="22">
        <f t="shared" si="111"/>
        <v>1.1557986413071599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141.22849894256314</v>
      </c>
      <c r="AO153" s="59">
        <f t="shared" si="144"/>
        <v>156.12101479343704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0.68312378093899917</v>
      </c>
      <c r="AV153" s="21">
        <f>EXP(-LN(2)/25)*AV152+(1-EXP(-LN(2)/25))/(LN(2)/25)*Calculateur!AQ153*Calculateur!AS153*VLOOKUP('Données projet'!$B$10,Paramètres!$A$1:$I$89,3,0)*0.475*44/12</f>
        <v>0.21618997451729829</v>
      </c>
      <c r="AW153" s="21">
        <f>EXP(-LN(2)/2)*AW152+(1-EXP(-LN(2)/2))/(LN(2)/2)*AQ153*AT153*VLOOKUP('Données projet'!$B$10,Paramètres!$A$1:$I$89,3,0)*0.475*44/12</f>
        <v>2.5656308936663466E-18</v>
      </c>
      <c r="AX153" s="21">
        <f t="shared" si="114"/>
        <v>0.89931375545629744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114.25511901730295</v>
      </c>
      <c r="BJ153" s="59">
        <f t="shared" si="146"/>
        <v>180.96261947642182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0.31747997561005598</v>
      </c>
      <c r="BQ153" s="21">
        <f>EXP(-LN(2)/25)*BQ152+(1-EXP(-LN(2)/25))/(LN(2)/25)*Calculateur!BL153*Calculateur!BN153*VLOOKUP('Données projet'!$B$11,Paramètres!$A$1:$I$89,3,0)*0.475*44/12</f>
        <v>0.63950896312147032</v>
      </c>
      <c r="BR153" s="21">
        <f>EXP(-LN(2)/2)*BR152+(1-EXP(-LN(2)/2))/(LN(2)/2)*BL153*BO153*VLOOKUP('Données projet'!$B$11,Paramètres!$A$1:$I$89,3,0)*0.475*44/12</f>
        <v>5.925869637162839E-18</v>
      </c>
      <c r="BS153" s="22">
        <f t="shared" si="117"/>
        <v>0.95698893873152624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4.4337866711430253E-14</v>
      </c>
      <c r="CA153" s="13">
        <f t="shared" si="147"/>
        <v>7.3222115536967035E-13</v>
      </c>
      <c r="CB153" s="20">
        <f t="shared" si="118"/>
        <v>1.3525069634579169E-12</v>
      </c>
      <c r="CC153" s="59">
        <f t="shared" si="119"/>
        <v>293.33333333333468</v>
      </c>
      <c r="CD153" s="59">
        <f ca="1">AVERAGE(OFFSET($CC$3,0,0,'Données projet'!$E$12+1,1))-AVERAGE(OFFSET($H$3,0,0,'Données projet'!$E$12+1,1))</f>
        <v>216.95993967070063</v>
      </c>
      <c r="CE153" s="59">
        <f t="shared" si="148"/>
        <v>208.79744153433245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0.47984853667043204</v>
      </c>
      <c r="CL153" s="21">
        <f>EXP(-LN(2)/25)*CL152+(1-EXP(-LN(2)/25))/(LN(2)/25)*Calculateur!CG153*Calculateur!CI153*VLOOKUP('Données projet'!$B$12,Paramètres!$A$1:$I$89,3,0)*0.475*44/12</f>
        <v>0.23036270474848142</v>
      </c>
      <c r="CM153" s="21">
        <f>EXP(-LN(2)/2)*CM152+(1-EXP(-LN(2)/2))/(LN(2)/2)*CG153*CJ153*VLOOKUP('Données projet'!$B$12,Paramètres!$A$1:$I$89,3,0)*0.475*44/12</f>
        <v>1.0699846880939173E-18</v>
      </c>
      <c r="CN153" s="22">
        <f t="shared" si="120"/>
        <v>0.71021124141891345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3.813056537183002E-14</v>
      </c>
      <c r="CV153" s="13">
        <f t="shared" si="149"/>
        <v>6.4086286045526829E-13</v>
      </c>
      <c r="CW153" s="20">
        <f t="shared" si="121"/>
        <v>1.1825802166488628E-12</v>
      </c>
      <c r="CX153" s="59">
        <f t="shared" si="122"/>
        <v>293.33333333333451</v>
      </c>
      <c r="CY153" s="59">
        <f ca="1">AVERAGE(OFFSET($CX$3,0,0,'Données projet'!$E$13+1,1))-AVERAGE(OFFSET($H$3,0,0,'Données projet'!$E$13+1,1))</f>
        <v>181.32837315090507</v>
      </c>
      <c r="CZ153" s="59">
        <f t="shared" si="150"/>
        <v>175.03267817980338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0.50863944887065737</v>
      </c>
      <c r="DG153" s="21">
        <f>EXP(-LN(2)/25)*DG152+(1-EXP(-LN(2)/25))/(LN(2)/25)*Calculateur!DB153*Calculateur!DD153*VLOOKUP('Données projet'!$B$13,Paramètres!$A$1:$I$89,3,0)*0.475*44/12</f>
        <v>0.24418446703339036</v>
      </c>
      <c r="DH153" s="21">
        <f>EXP(-LN(2)/2)*DH152+(1-EXP(-LN(2)/2))/(LN(2)/2)*DB153*DE153*VLOOKUP('Données projet'!$B$13,Paramètres!$A$1:$I$89,3,0)*0.475*44/12</f>
        <v>9.2018683176076846E-19</v>
      </c>
      <c r="DI153" s="22">
        <f t="shared" si="123"/>
        <v>0.75282391590404774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-2.8421709430404007E-13</v>
      </c>
      <c r="DP153" s="17">
        <f>DO153*VLOOKUP('Données projet'!$B$14,Paramètres!$A$1:$I$89,3,0)*VLOOKUP('Données projet'!$B$14,Paramètres!$A$1:$I$89,5,0)</f>
        <v>-2.2612312022829427E-13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325.72928944930294</v>
      </c>
      <c r="DU153" s="59">
        <f t="shared" si="152"/>
        <v>318.38876834819752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1.6080697513306303</v>
      </c>
      <c r="EB153" s="21">
        <f>EXP(-LN(2)/25)*EB152+(1-EXP(-LN(2)/25))/(LN(2)/25)*Calculateur!DW153*Calculateur!DY153*VLOOKUP('Données projet'!$B$14,Paramètres!$A$1:$I$89,3,0)*0.475*44/12</f>
        <v>0.7423420353944602</v>
      </c>
      <c r="EC153" s="21">
        <f>EXP(-LN(2)/2)*EC152+(1-EXP(-LN(2)/2))/(LN(2)/2)*DW153*DZ153*VLOOKUP('Données projet'!$B$14,Paramètres!$A$1:$I$89,3,0)*0.475*44/12</f>
        <v>1.026064739604113E-17</v>
      </c>
      <c r="ED153" s="22">
        <f t="shared" si="126"/>
        <v>2.3504117867250907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-5.6843418860808015E-14</v>
      </c>
      <c r="EK153" s="17">
        <f>EJ153*VLOOKUP('Données projet'!$B$15,Paramètres!$A$1:$I$89,3,0)*VLOOKUP('Données projet'!$B$15,Paramètres!$A$1:$I$89,5,0)</f>
        <v>-5.7639226724859328E-14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384.50065773787549</v>
      </c>
      <c r="EP153" s="59">
        <f t="shared" si="154"/>
        <v>231.92898690465887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0.76068959696573701</v>
      </c>
      <c r="EW153" s="21">
        <f>EXP(-LN(2)/25)*EW152+(1-EXP(-LN(2)/25))/(LN(2)/25)*Calculateur!ER153*Calculateur!ET153*VLOOKUP('Données projet'!$B$15,Paramètres!$A$1:$I$89,3,0)*0.475*44/12</f>
        <v>0.37673703877373826</v>
      </c>
      <c r="EX153" s="21">
        <f>EXP(-LN(2)/2)*EX152+(1-EXP(-LN(2)/2))/(LN(2)/2)*ER153*EU153*VLOOKUP('Données projet'!$B$15,Paramètres!$A$1:$I$89,3,0)*0.475*44/12</f>
        <v>8.2962270660055386E-18</v>
      </c>
      <c r="EY153" s="22">
        <f t="shared" si="129"/>
        <v>1.1374266357394753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-1.5429577615577727E-13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326.46362829268969</v>
      </c>
      <c r="FK153" s="59">
        <f t="shared" si="156"/>
        <v>203.5274665601915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0.67876917883096477</v>
      </c>
      <c r="FR153" s="21">
        <f>EXP(-LN(2)/25)*FR152+(1-EXP(-LN(2)/25))/(LN(2)/25)*Calculateur!FM153*Calculateur!FO153*VLOOKUP('Données projet'!$B$16,Paramètres!$A$1:$I$89,3,0)*0.475*44/12</f>
        <v>0.33616535767502731</v>
      </c>
      <c r="FS153" s="21">
        <f>EXP(-LN(2)/2)*FS152+(1-EXP(-LN(2)/2))/(LN(2)/2)*FM153*FP153*VLOOKUP('Données projet'!$B$16,Paramètres!$A$1:$I$89,3,0)*0.475*44/12</f>
        <v>7.4027872281280187E-18</v>
      </c>
      <c r="FT153" s="22">
        <f t="shared" si="132"/>
        <v>1.0149345365059921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-1.7053025658242404E-13</v>
      </c>
      <c r="GA153" s="17">
        <f>FZ153*VLOOKUP('Données projet'!$B$17,Paramètres!$A$1:$I$89,3,0)*VLOOKUP('Données projet'!$B$17,Paramètres!$A$1:$I$89,5,0)</f>
        <v>-1.6493686416652052E-13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353.24082990916918</v>
      </c>
      <c r="GF153" s="59">
        <f t="shared" si="158"/>
        <v>219.76562717496353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0.72558084633654907</v>
      </c>
      <c r="GM153" s="21">
        <f>EXP(-LN(2)/25)*GM152+(1-EXP(-LN(2)/25))/(LN(2)/25)*Calculateur!GH153*Calculateur!GJ153*VLOOKUP('Données projet'!$B$17,Paramètres!$A$1:$I$89,3,0)*0.475*44/12</f>
        <v>0.35934917544571959</v>
      </c>
      <c r="GN153" s="21">
        <f>EXP(-LN(2)/2)*GN152+(1-EXP(-LN(2)/2))/(LN(2)/2)*GH153*GK153*VLOOKUP('Données projet'!$B$17,Paramètres!$A$1:$I$89,3,0)*0.475*44/12</f>
        <v>7.9133242783437463E-18</v>
      </c>
      <c r="GO153" s="21">
        <f t="shared" si="135"/>
        <v>1.0849300217822686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378.17323480030268</v>
      </c>
      <c r="T154" s="59">
        <f t="shared" si="142"/>
        <v>471.89239871617241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0.40107252300561641</v>
      </c>
      <c r="AA154" s="21">
        <f>EXP(-LN(2)/25)*AA153+(1-EXP(-LN(2)/25))/(LN(2)/25)*Calculateur!V154*Calculateur!X154*VLOOKUP('Données projet'!$B$9,Paramètres!$A$1:$I$89,3,0)*0.475*44/12</f>
        <v>0.72628536158827883</v>
      </c>
      <c r="AB154" s="21">
        <f>EXP(-LN(2)/2)*AB153+(1-EXP(-LN(2)/2))/(LN(2)/2)*V154*Y154*VLOOKUP('Données projet'!$B$9,Paramètres!$A$1:$I$89,3,0)*0.475*44/12</f>
        <v>6.4156620836930296E-18</v>
      </c>
      <c r="AC154" s="22">
        <f t="shared" ref="AC154:AC203" si="163">SUM(Z154:AB154)</f>
        <v>1.1273578845938952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141.22849894256314</v>
      </c>
      <c r="AO154" s="59">
        <f t="shared" si="144"/>
        <v>156.12101479343704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0.66972814025914962</v>
      </c>
      <c r="AV154" s="21">
        <f>EXP(-LN(2)/25)*AV153+(1-EXP(-LN(2)/25))/(LN(2)/25)*Calculateur!AQ154*Calculateur!AS154*VLOOKUP('Données projet'!$B$10,Paramètres!$A$1:$I$89,3,0)*0.475*44/12</f>
        <v>0.21027824829518613</v>
      </c>
      <c r="AW154" s="21">
        <f>EXP(-LN(2)/2)*AW153+(1-EXP(-LN(2)/2))/(LN(2)/2)*AQ154*AT154*VLOOKUP('Données projet'!$B$10,Paramètres!$A$1:$I$89,3,0)*0.475*44/12</f>
        <v>1.8141750029331757E-18</v>
      </c>
      <c r="AX154" s="21">
        <f t="shared" ref="AX154:AX203" si="166">SUM(AU154:AW154)</f>
        <v>0.88000638855433577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114.25511901730295</v>
      </c>
      <c r="BJ154" s="59">
        <f t="shared" si="146"/>
        <v>180.96261947642182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0.31125438693200719</v>
      </c>
      <c r="BQ154" s="21">
        <f>EXP(-LN(2)/25)*BQ153+(1-EXP(-LN(2)/25))/(LN(2)/25)*Calculateur!BL154*Calculateur!BN154*VLOOKUP('Données projet'!$B$11,Paramètres!$A$1:$I$89,3,0)*0.475*44/12</f>
        <v>0.62202155689459893</v>
      </c>
      <c r="BR154" s="21">
        <f>EXP(-LN(2)/2)*BR153+(1-EXP(-LN(2)/2))/(LN(2)/2)*BL154*BO154*VLOOKUP('Données projet'!$B$11,Paramètres!$A$1:$I$89,3,0)*0.475*44/12</f>
        <v>4.1902226048653093E-18</v>
      </c>
      <c r="BS154" s="22">
        <f t="shared" ref="BS154:BS203" si="169">SUM(BP154:BR154)</f>
        <v>0.93327594382660606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4.4337866711430253E-14</v>
      </c>
      <c r="CA154" s="13">
        <f t="shared" ref="CA154:CA203" si="170">EXP(-1.0587+0.8836*LN(BZ154)+0.284)</f>
        <v>7.3222115536967035E-13</v>
      </c>
      <c r="CB154" s="20">
        <f t="shared" ref="CB154:CB203" si="171">(BZ154+CA154)*0.475*44/12</f>
        <v>1.3525069634579169E-12</v>
      </c>
      <c r="CC154" s="59">
        <f t="shared" si="119"/>
        <v>293.33333333333468</v>
      </c>
      <c r="CD154" s="59">
        <f ca="1">AVERAGE(OFFSET($CC$3,0,0,'Données projet'!$E$12+1,1))-AVERAGE(OFFSET($H$3,0,0,'Données projet'!$E$12+1,1))</f>
        <v>216.95993967070063</v>
      </c>
      <c r="CE154" s="59">
        <f t="shared" si="148"/>
        <v>208.79744153433245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0.4704389995450326</v>
      </c>
      <c r="CL154" s="21">
        <f>EXP(-LN(2)/25)*CL153+(1-EXP(-LN(2)/25))/(LN(2)/25)*Calculateur!CG154*Calculateur!CI154*VLOOKUP('Données projet'!$B$12,Paramètres!$A$1:$I$89,3,0)*0.475*44/12</f>
        <v>0.22406342447288605</v>
      </c>
      <c r="CM154" s="21">
        <f>EXP(-LN(2)/2)*CM153+(1-EXP(-LN(2)/2))/(LN(2)/2)*CG154*CJ154*VLOOKUP('Données projet'!$B$12,Paramètres!$A$1:$I$89,3,0)*0.475*44/12</f>
        <v>7.5659342871698187E-19</v>
      </c>
      <c r="CN154" s="22">
        <f t="shared" ref="CN154:CN203" si="172">SUM(CK154:CM154)</f>
        <v>0.69450242401791862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3.813056537183002E-14</v>
      </c>
      <c r="CV154" s="13">
        <f t="shared" ref="CV154:CV203" si="173">EXP(-1.0587+0.8836*LN(CU154)+0.284)</f>
        <v>6.4086286045526829E-13</v>
      </c>
      <c r="CW154" s="20">
        <f t="shared" ref="CW154:CW203" si="174">(CU154+CV154)*0.475*44/12</f>
        <v>1.1825802166488628E-12</v>
      </c>
      <c r="CX154" s="59">
        <f t="shared" si="122"/>
        <v>293.33333333333451</v>
      </c>
      <c r="CY154" s="59">
        <f ca="1">AVERAGE(OFFSET($CX$3,0,0,'Données projet'!$E$13+1,1))-AVERAGE(OFFSET($H$3,0,0,'Données projet'!$E$13+1,1))</f>
        <v>181.32837315090507</v>
      </c>
      <c r="CZ154" s="59">
        <f t="shared" si="150"/>
        <v>175.03267817980338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0.49866533951773401</v>
      </c>
      <c r="DG154" s="21">
        <f>EXP(-LN(2)/25)*DG153+(1-EXP(-LN(2)/25))/(LN(2)/25)*Calculateur!DB154*Calculateur!DD154*VLOOKUP('Données projet'!$B$13,Paramètres!$A$1:$I$89,3,0)*0.475*44/12</f>
        <v>0.23750722994125928</v>
      </c>
      <c r="DH154" s="21">
        <f>EXP(-LN(2)/2)*DH153+(1-EXP(-LN(2)/2))/(LN(2)/2)*DB154*DE154*VLOOKUP('Données projet'!$B$13,Paramètres!$A$1:$I$89,3,0)*0.475*44/12</f>
        <v>6.5067034869660413E-19</v>
      </c>
      <c r="DI154" s="22">
        <f t="shared" ref="DI154:DI203" si="175">SUM(DF154:DH154)</f>
        <v>0.73617256945899334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-2.8421709430404007E-13</v>
      </c>
      <c r="DP154" s="17">
        <f>DO154*VLOOKUP('Données projet'!$B$14,Paramètres!$A$1:$I$89,3,0)*VLOOKUP('Données projet'!$B$14,Paramètres!$A$1:$I$89,5,0)</f>
        <v>-2.2612312022829427E-13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325.72928944930294</v>
      </c>
      <c r="DU154" s="59">
        <f t="shared" si="152"/>
        <v>318.38876834819752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1.5765364843327365</v>
      </c>
      <c r="EB154" s="21">
        <f>EXP(-LN(2)/25)*EB153+(1-EXP(-LN(2)/25))/(LN(2)/25)*Calculateur!DW154*Calculateur!DY154*VLOOKUP('Données projet'!$B$14,Paramètres!$A$1:$I$89,3,0)*0.475*44/12</f>
        <v>0.72204265339852769</v>
      </c>
      <c r="EC154" s="21">
        <f>EXP(-LN(2)/2)*EC153+(1-EXP(-LN(2)/2))/(LN(2)/2)*DW154*DZ154*VLOOKUP('Données projet'!$B$14,Paramètres!$A$1:$I$89,3,0)*0.475*44/12</f>
        <v>7.2553733531047739E-18</v>
      </c>
      <c r="ED154" s="22">
        <f t="shared" ref="ED154:ED203" si="178">SUM(EA154:EC154)</f>
        <v>2.2985791377312643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-5.6843418860808015E-14</v>
      </c>
      <c r="EK154" s="17">
        <f>EJ154*VLOOKUP('Données projet'!$B$15,Paramètres!$A$1:$I$89,3,0)*VLOOKUP('Données projet'!$B$15,Paramètres!$A$1:$I$89,5,0)</f>
        <v>-5.7639226724859328E-14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384.50065773787549</v>
      </c>
      <c r="EP154" s="59">
        <f t="shared" si="154"/>
        <v>231.92898690465887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0.74577293794407939</v>
      </c>
      <c r="EW154" s="21">
        <f>EXP(-LN(2)/25)*EW153+(1-EXP(-LN(2)/25))/(LN(2)/25)*Calculateur!ER154*Calculateur!ET154*VLOOKUP('Données projet'!$B$15,Paramètres!$A$1:$I$89,3,0)*0.475*44/12</f>
        <v>0.36643514463673055</v>
      </c>
      <c r="EX154" s="21">
        <f>EXP(-LN(2)/2)*EX153+(1-EXP(-LN(2)/2))/(LN(2)/2)*ER154*EU154*VLOOKUP('Données projet'!$B$15,Paramètres!$A$1:$I$89,3,0)*0.475*44/12</f>
        <v>5.8663184166358916E-18</v>
      </c>
      <c r="EY154" s="22">
        <f t="shared" ref="EY154:EY203" si="181">SUM(EV154:EX154)</f>
        <v>1.1122080825808101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-1.5429577615577727E-13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326.46362829268969</v>
      </c>
      <c r="FK154" s="59">
        <f t="shared" si="156"/>
        <v>203.5274665601915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0.66545892924240868</v>
      </c>
      <c r="FR154" s="21">
        <f>EXP(-LN(2)/25)*FR153+(1-EXP(-LN(2)/25))/(LN(2)/25)*Calculateur!FM154*Calculateur!FO154*VLOOKUP('Données projet'!$B$16,Paramètres!$A$1:$I$89,3,0)*0.475*44/12</f>
        <v>0.32697289829123583</v>
      </c>
      <c r="FS154" s="21">
        <f>EXP(-LN(2)/2)*FS153+(1-EXP(-LN(2)/2))/(LN(2)/2)*FM154*FP154*VLOOKUP('Données projet'!$B$16,Paramètres!$A$1:$I$89,3,0)*0.475*44/12</f>
        <v>5.2345610486904877E-18</v>
      </c>
      <c r="FT154" s="22">
        <f t="shared" ref="FT154:FT203" si="184">SUM(FQ154:FS154)</f>
        <v>0.99243182753364456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-1.7053025658242404E-13</v>
      </c>
      <c r="GA154" s="17">
        <f>FZ154*VLOOKUP('Données projet'!$B$17,Paramètres!$A$1:$I$89,3,0)*VLOOKUP('Données projet'!$B$17,Paramètres!$A$1:$I$89,5,0)</f>
        <v>-1.6493686416652052E-13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353.24082990916918</v>
      </c>
      <c r="GF154" s="59">
        <f t="shared" si="158"/>
        <v>219.76562717496353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0.71135264850050639</v>
      </c>
      <c r="GM154" s="21">
        <f>EXP(-LN(2)/25)*GM153+(1-EXP(-LN(2)/25))/(LN(2)/25)*Calculateur!GH154*Calculateur!GJ154*VLOOKUP('Données projet'!$B$17,Paramètres!$A$1:$I$89,3,0)*0.475*44/12</f>
        <v>0.34952275334580457</v>
      </c>
      <c r="GN154" s="21">
        <f>EXP(-LN(2)/2)*GN153+(1-EXP(-LN(2)/2))/(LN(2)/2)*GH154*GK154*VLOOKUP('Données projet'!$B$17,Paramètres!$A$1:$I$89,3,0)*0.475*44/12</f>
        <v>5.5955652589450056E-18</v>
      </c>
      <c r="GO154" s="21">
        <f t="shared" ref="GO154:GO203" si="187">SUM(GL154:GN154)</f>
        <v>1.0608754018463109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378.17323480030268</v>
      </c>
      <c r="T155" s="59">
        <f t="shared" si="142"/>
        <v>471.89239871617241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0.39320773545956011</v>
      </c>
      <c r="AA155" s="21">
        <f>EXP(-LN(2)/25)*AA154+(1-EXP(-LN(2)/25))/(LN(2)/25)*Calculateur!V155*Calculateur!X155*VLOOKUP('Données projet'!$B$9,Paramètres!$A$1:$I$89,3,0)*0.475*44/12</f>
        <v>0.70642505018196011</v>
      </c>
      <c r="AB155" s="21">
        <f>EXP(-LN(2)/2)*AB154+(1-EXP(-LN(2)/2))/(LN(2)/2)*V155*Y155*VLOOKUP('Données projet'!$B$9,Paramètres!$A$1:$I$89,3,0)*0.475*44/12</f>
        <v>4.5365581651807566E-18</v>
      </c>
      <c r="AC155" s="22">
        <f t="shared" si="163"/>
        <v>1.0996327856415202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141.22849894256314</v>
      </c>
      <c r="AO155" s="59">
        <f t="shared" si="144"/>
        <v>156.12101479343704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0.65659517992249783</v>
      </c>
      <c r="AV155" s="21">
        <f>EXP(-LN(2)/25)*AV154+(1-EXP(-LN(2)/25))/(LN(2)/25)*Calculateur!AQ155*Calculateur!AS155*VLOOKUP('Données projet'!$B$10,Paramètres!$A$1:$I$89,3,0)*0.475*44/12</f>
        <v>0.20452817853750177</v>
      </c>
      <c r="AW155" s="21">
        <f>EXP(-LN(2)/2)*AW154+(1-EXP(-LN(2)/2))/(LN(2)/2)*AQ155*AT155*VLOOKUP('Données projet'!$B$10,Paramètres!$A$1:$I$89,3,0)*0.475*44/12</f>
        <v>1.2828154468331733E-18</v>
      </c>
      <c r="AX155" s="21">
        <f t="shared" si="166"/>
        <v>0.86112335845999954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114.25511901730295</v>
      </c>
      <c r="BJ155" s="59">
        <f t="shared" si="146"/>
        <v>180.96261947642182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0.30515087825070075</v>
      </c>
      <c r="BQ155" s="21">
        <f>EXP(-LN(2)/25)*BQ154+(1-EXP(-LN(2)/25))/(LN(2)/25)*Calculateur!BL155*Calculateur!BN155*VLOOKUP('Données projet'!$B$11,Paramètres!$A$1:$I$89,3,0)*0.475*44/12</f>
        <v>0.60501234471062404</v>
      </c>
      <c r="BR155" s="21">
        <f>EXP(-LN(2)/2)*BR154+(1-EXP(-LN(2)/2))/(LN(2)/2)*BL155*BO155*VLOOKUP('Données projet'!$B$11,Paramètres!$A$1:$I$89,3,0)*0.475*44/12</f>
        <v>2.9629348185814195E-18</v>
      </c>
      <c r="BS155" s="22">
        <f t="shared" si="169"/>
        <v>0.91016322296132479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4.4337866711430253E-14</v>
      </c>
      <c r="CA155" s="13">
        <f t="shared" si="170"/>
        <v>7.3222115536967035E-13</v>
      </c>
      <c r="CB155" s="20">
        <f t="shared" si="171"/>
        <v>1.3525069634579169E-12</v>
      </c>
      <c r="CC155" s="59">
        <f t="shared" si="119"/>
        <v>293.33333333333468</v>
      </c>
      <c r="CD155" s="59">
        <f ca="1">AVERAGE(OFFSET($CC$3,0,0,'Données projet'!$E$12+1,1))-AVERAGE(OFFSET($H$3,0,0,'Données projet'!$E$12+1,1))</f>
        <v>216.95993967070063</v>
      </c>
      <c r="CE155" s="59">
        <f t="shared" si="148"/>
        <v>208.79744153433245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0.46121397770341133</v>
      </c>
      <c r="CL155" s="21">
        <f>EXP(-LN(2)/25)*CL154+(1-EXP(-LN(2)/25))/(LN(2)/25)*Calculateur!CG155*Calculateur!CI155*VLOOKUP('Données projet'!$B$12,Paramètres!$A$1:$I$89,3,0)*0.475*44/12</f>
        <v>0.2179363983476916</v>
      </c>
      <c r="CM155" s="21">
        <f>EXP(-LN(2)/2)*CM154+(1-EXP(-LN(2)/2))/(LN(2)/2)*CG155*CJ155*VLOOKUP('Données projet'!$B$12,Paramètres!$A$1:$I$89,3,0)*0.475*44/12</f>
        <v>5.3499234404695863E-19</v>
      </c>
      <c r="CN155" s="22">
        <f t="shared" si="172"/>
        <v>0.67915037605110296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3.813056537183002E-14</v>
      </c>
      <c r="CV155" s="13">
        <f t="shared" si="173"/>
        <v>6.4086286045526829E-13</v>
      </c>
      <c r="CW155" s="20">
        <f t="shared" si="174"/>
        <v>1.1825802166488628E-12</v>
      </c>
      <c r="CX155" s="59">
        <f t="shared" si="122"/>
        <v>293.33333333333451</v>
      </c>
      <c r="CY155" s="59">
        <f ca="1">AVERAGE(OFFSET($CX$3,0,0,'Données projet'!$E$13+1,1))-AVERAGE(OFFSET($H$3,0,0,'Données projet'!$E$13+1,1))</f>
        <v>181.32837315090507</v>
      </c>
      <c r="CZ155" s="59">
        <f t="shared" si="150"/>
        <v>175.03267817980338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0.48888681636561543</v>
      </c>
      <c r="DG155" s="21">
        <f>EXP(-LN(2)/25)*DG154+(1-EXP(-LN(2)/25))/(LN(2)/25)*Calculateur!DB155*Calculateur!DD155*VLOOKUP('Données projet'!$B$13,Paramètres!$A$1:$I$89,3,0)*0.475*44/12</f>
        <v>0.23101258224855314</v>
      </c>
      <c r="DH155" s="21">
        <f>EXP(-LN(2)/2)*DH154+(1-EXP(-LN(2)/2))/(LN(2)/2)*DB155*DE155*VLOOKUP('Données projet'!$B$13,Paramètres!$A$1:$I$89,3,0)*0.475*44/12</f>
        <v>4.6009341588038423E-19</v>
      </c>
      <c r="DI155" s="22">
        <f t="shared" si="175"/>
        <v>0.71989939861416863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-2.8421709430404007E-13</v>
      </c>
      <c r="DP155" s="17">
        <f>DO155*VLOOKUP('Données projet'!$B$14,Paramètres!$A$1:$I$89,3,0)*VLOOKUP('Données projet'!$B$14,Paramètres!$A$1:$I$89,5,0)</f>
        <v>-2.2612312022829427E-13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325.72928944930294</v>
      </c>
      <c r="DU155" s="59">
        <f t="shared" si="152"/>
        <v>318.38876834819752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1.5456215654672776</v>
      </c>
      <c r="EB155" s="21">
        <f>EXP(-LN(2)/25)*EB154+(1-EXP(-LN(2)/25))/(LN(2)/25)*Calculateur!DW155*Calculateur!DY155*VLOOKUP('Données projet'!$B$14,Paramètres!$A$1:$I$89,3,0)*0.475*44/12</f>
        <v>0.70229835907077209</v>
      </c>
      <c r="EC155" s="21">
        <f>EXP(-LN(2)/2)*EC154+(1-EXP(-LN(2)/2))/(LN(2)/2)*DW155*DZ155*VLOOKUP('Données projet'!$B$14,Paramètres!$A$1:$I$89,3,0)*0.475*44/12</f>
        <v>5.1303236980205651E-18</v>
      </c>
      <c r="ED155" s="22">
        <f t="shared" si="178"/>
        <v>2.2479199245380497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-5.6843418860808015E-14</v>
      </c>
      <c r="EK155" s="17">
        <f>EJ155*VLOOKUP('Données projet'!$B$15,Paramètres!$A$1:$I$89,3,0)*VLOOKUP('Données projet'!$B$15,Paramètres!$A$1:$I$89,5,0)</f>
        <v>-5.7639226724859328E-14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384.50065773787549</v>
      </c>
      <c r="EP155" s="59">
        <f t="shared" si="154"/>
        <v>231.92898690465887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0.73114878550757278</v>
      </c>
      <c r="EW155" s="21">
        <f>EXP(-LN(2)/25)*EW154+(1-EXP(-LN(2)/25))/(LN(2)/25)*Calculateur!ER155*Calculateur!ET155*VLOOKUP('Données projet'!$B$15,Paramètres!$A$1:$I$89,3,0)*0.475*44/12</f>
        <v>0.35641495633665238</v>
      </c>
      <c r="EX155" s="21">
        <f>EXP(-LN(2)/2)*EX154+(1-EXP(-LN(2)/2))/(LN(2)/2)*ER155*EU155*VLOOKUP('Données projet'!$B$15,Paramètres!$A$1:$I$89,3,0)*0.475*44/12</f>
        <v>4.1481135330027693E-18</v>
      </c>
      <c r="EY155" s="22">
        <f t="shared" si="181"/>
        <v>1.0875637418442252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-1.5429577615577727E-13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326.46362829268969</v>
      </c>
      <c r="FK155" s="59">
        <f t="shared" si="156"/>
        <v>203.5274665601915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0.65240968552983358</v>
      </c>
      <c r="FR155" s="21">
        <f>EXP(-LN(2)/25)*FR154+(1-EXP(-LN(2)/25))/(LN(2)/25)*Calculateur!FM155*Calculateur!FO155*VLOOKUP('Données projet'!$B$16,Paramètres!$A$1:$I$89,3,0)*0.475*44/12</f>
        <v>0.31803180719270457</v>
      </c>
      <c r="FS155" s="21">
        <f>EXP(-LN(2)/2)*FS154+(1-EXP(-LN(2)/2))/(LN(2)/2)*FM155*FP155*VLOOKUP('Données projet'!$B$16,Paramètres!$A$1:$I$89,3,0)*0.475*44/12</f>
        <v>3.7013936140640094E-18</v>
      </c>
      <c r="FT155" s="22">
        <f t="shared" si="184"/>
        <v>0.97044149272253821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-1.7053025658242404E-13</v>
      </c>
      <c r="GA155" s="17">
        <f>FZ155*VLOOKUP('Données projet'!$B$17,Paramètres!$A$1:$I$89,3,0)*VLOOKUP('Données projet'!$B$17,Paramètres!$A$1:$I$89,5,0)</f>
        <v>-1.6493686416652052E-13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353.24082990916918</v>
      </c>
      <c r="GF155" s="59">
        <f t="shared" si="158"/>
        <v>219.76562717496353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0.69740345694568473</v>
      </c>
      <c r="GM155" s="21">
        <f>EXP(-LN(2)/25)*GM154+(1-EXP(-LN(2)/25))/(LN(2)/25)*Calculateur!GH155*Calculateur!GJ155*VLOOKUP('Données projet'!$B$17,Paramètres!$A$1:$I$89,3,0)*0.475*44/12</f>
        <v>0.3399650352749608</v>
      </c>
      <c r="GN155" s="21">
        <f>EXP(-LN(2)/2)*GN154+(1-EXP(-LN(2)/2))/(LN(2)/2)*GH155*GK155*VLOOKUP('Données projet'!$B$17,Paramètres!$A$1:$I$89,3,0)*0.475*44/12</f>
        <v>3.9566621391718732E-18</v>
      </c>
      <c r="GO155" s="21">
        <f t="shared" si="187"/>
        <v>1.0373684922206454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378.17323480030268</v>
      </c>
      <c r="T156" s="59">
        <f t="shared" si="142"/>
        <v>471.89239871617241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0.38549717160023522</v>
      </c>
      <c r="AA156" s="21">
        <f>EXP(-LN(2)/25)*AA155+(1-EXP(-LN(2)/25))/(LN(2)/25)*Calculateur!V156*Calculateur!X156*VLOOKUP('Données projet'!$B$9,Paramètres!$A$1:$I$89,3,0)*0.475*44/12</f>
        <v>0.68710782003545556</v>
      </c>
      <c r="AB156" s="21">
        <f>EXP(-LN(2)/2)*AB155+(1-EXP(-LN(2)/2))/(LN(2)/2)*V156*Y156*VLOOKUP('Données projet'!$B$9,Paramètres!$A$1:$I$89,3,0)*0.475*44/12</f>
        <v>3.2078310418465148E-18</v>
      </c>
      <c r="AC156" s="22">
        <f t="shared" si="163"/>
        <v>1.0726049916356908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141.22849894256314</v>
      </c>
      <c r="AO156" s="59">
        <f t="shared" si="144"/>
        <v>156.12101479343704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0.64371974892773298</v>
      </c>
      <c r="AV156" s="21">
        <f>EXP(-LN(2)/25)*AV155+(1-EXP(-LN(2)/25))/(LN(2)/25)*Calculateur!AQ156*Calculateur!AS156*VLOOKUP('Données projet'!$B$10,Paramètres!$A$1:$I$89,3,0)*0.475*44/12</f>
        <v>0.19893534473972432</v>
      </c>
      <c r="AW156" s="21">
        <f>EXP(-LN(2)/2)*AW155+(1-EXP(-LN(2)/2))/(LN(2)/2)*AQ156*AT156*VLOOKUP('Données projet'!$B$10,Paramètres!$A$1:$I$89,3,0)*0.475*44/12</f>
        <v>9.0708750146658786E-19</v>
      </c>
      <c r="AX156" s="21">
        <f t="shared" si="166"/>
        <v>0.84265509366745728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114.25511901730295</v>
      </c>
      <c r="BJ156" s="59">
        <f t="shared" si="146"/>
        <v>180.96261947642182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0.29916705565186208</v>
      </c>
      <c r="BQ156" s="21">
        <f>EXP(-LN(2)/25)*BQ155+(1-EXP(-LN(2)/25))/(LN(2)/25)*Calculateur!BL156*Calculateur!BN156*VLOOKUP('Données projet'!$B$11,Paramètres!$A$1:$I$89,3,0)*0.475*44/12</f>
        <v>0.58846825032829564</v>
      </c>
      <c r="BR156" s="21">
        <f>EXP(-LN(2)/2)*BR155+(1-EXP(-LN(2)/2))/(LN(2)/2)*BL156*BO156*VLOOKUP('Données projet'!$B$11,Paramètres!$A$1:$I$89,3,0)*0.475*44/12</f>
        <v>2.0951113024326547E-18</v>
      </c>
      <c r="BS156" s="22">
        <f t="shared" si="169"/>
        <v>0.88763530598015772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4.4337866711430253E-14</v>
      </c>
      <c r="CA156" s="13">
        <f t="shared" si="170"/>
        <v>7.3222115536967035E-13</v>
      </c>
      <c r="CB156" s="20">
        <f t="shared" si="171"/>
        <v>1.3525069634579169E-12</v>
      </c>
      <c r="CC156" s="59">
        <f t="shared" si="119"/>
        <v>293.33333333333468</v>
      </c>
      <c r="CD156" s="59">
        <f ca="1">AVERAGE(OFFSET($CC$3,0,0,'Données projet'!$E$12+1,1))-AVERAGE(OFFSET($H$3,0,0,'Données projet'!$E$12+1,1))</f>
        <v>216.95993967070063</v>
      </c>
      <c r="CE156" s="59">
        <f t="shared" si="148"/>
        <v>208.79744153433245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0.45216985291339651</v>
      </c>
      <c r="CL156" s="21">
        <f>EXP(-LN(2)/25)*CL155+(1-EXP(-LN(2)/25))/(LN(2)/25)*Calculateur!CG156*Calculateur!CI156*VLOOKUP('Données projet'!$B$12,Paramètres!$A$1:$I$89,3,0)*0.475*44/12</f>
        <v>0.21197691607409688</v>
      </c>
      <c r="CM156" s="21">
        <f>EXP(-LN(2)/2)*CM155+(1-EXP(-LN(2)/2))/(LN(2)/2)*CG156*CJ156*VLOOKUP('Données projet'!$B$12,Paramètres!$A$1:$I$89,3,0)*0.475*44/12</f>
        <v>3.7829671435849093E-19</v>
      </c>
      <c r="CN156" s="22">
        <f t="shared" si="172"/>
        <v>0.66414676898749336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3.813056537183002E-14</v>
      </c>
      <c r="CV156" s="13">
        <f t="shared" si="173"/>
        <v>6.4086286045526829E-13</v>
      </c>
      <c r="CW156" s="20">
        <f t="shared" si="174"/>
        <v>1.1825802166488628E-12</v>
      </c>
      <c r="CX156" s="59">
        <f t="shared" si="122"/>
        <v>293.33333333333451</v>
      </c>
      <c r="CY156" s="59">
        <f ca="1">AVERAGE(OFFSET($CX$3,0,0,'Données projet'!$E$13+1,1))-AVERAGE(OFFSET($H$3,0,0,'Données projet'!$E$13+1,1))</f>
        <v>181.32837315090507</v>
      </c>
      <c r="CZ156" s="59">
        <f t="shared" si="150"/>
        <v>175.03267817980338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0.47930004408819971</v>
      </c>
      <c r="DG156" s="21">
        <f>EXP(-LN(2)/25)*DG155+(1-EXP(-LN(2)/25))/(LN(2)/25)*Calculateur!DB156*Calculateur!DD156*VLOOKUP('Données projet'!$B$13,Paramètres!$A$1:$I$89,3,0)*0.475*44/12</f>
        <v>0.22469553103854276</v>
      </c>
      <c r="DH156" s="21">
        <f>EXP(-LN(2)/2)*DH155+(1-EXP(-LN(2)/2))/(LN(2)/2)*DB156*DE156*VLOOKUP('Données projet'!$B$13,Paramètres!$A$1:$I$89,3,0)*0.475*44/12</f>
        <v>3.2533517434830207E-19</v>
      </c>
      <c r="DI156" s="22">
        <f t="shared" si="175"/>
        <v>0.70399557512674249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-2.8421709430404007E-13</v>
      </c>
      <c r="DP156" s="17">
        <f>DO156*VLOOKUP('Données projet'!$B$14,Paramètres!$A$1:$I$89,3,0)*VLOOKUP('Données projet'!$B$14,Paramètres!$A$1:$I$89,5,0)</f>
        <v>-2.2612312022829427E-13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325.72928944930294</v>
      </c>
      <c r="DU156" s="59">
        <f t="shared" si="152"/>
        <v>318.38876834819752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1.5153128693045317</v>
      </c>
      <c r="EB156" s="21">
        <f>EXP(-LN(2)/25)*EB155+(1-EXP(-LN(2)/25))/(LN(2)/25)*Calculateur!DW156*Calculateur!DY156*VLOOKUP('Données projet'!$B$14,Paramètres!$A$1:$I$89,3,0)*0.475*44/12</f>
        <v>0.68309397350971623</v>
      </c>
      <c r="EC156" s="21">
        <f>EXP(-LN(2)/2)*EC155+(1-EXP(-LN(2)/2))/(LN(2)/2)*DW156*DZ156*VLOOKUP('Données projet'!$B$14,Paramètres!$A$1:$I$89,3,0)*0.475*44/12</f>
        <v>3.6276866765523869E-18</v>
      </c>
      <c r="ED156" s="22">
        <f t="shared" si="178"/>
        <v>2.198406842814248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-5.6843418860808015E-14</v>
      </c>
      <c r="EK156" s="17">
        <f>EJ156*VLOOKUP('Données projet'!$B$15,Paramètres!$A$1:$I$89,3,0)*VLOOKUP('Données projet'!$B$15,Paramètres!$A$1:$I$89,5,0)</f>
        <v>-5.7639226724859328E-14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384.50065773787549</v>
      </c>
      <c r="EP156" s="59">
        <f t="shared" si="154"/>
        <v>231.92898690465887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0.71681140378049391</v>
      </c>
      <c r="EW156" s="21">
        <f>EXP(-LN(2)/25)*EW155+(1-EXP(-LN(2)/25))/(LN(2)/25)*Calculateur!ER156*Calculateur!ET156*VLOOKUP('Données projet'!$B$15,Paramètres!$A$1:$I$89,3,0)*0.475*44/12</f>
        <v>0.34666877061257867</v>
      </c>
      <c r="EX156" s="21">
        <f>EXP(-LN(2)/2)*EX155+(1-EXP(-LN(2)/2))/(LN(2)/2)*ER156*EU156*VLOOKUP('Données projet'!$B$15,Paramètres!$A$1:$I$89,3,0)*0.475*44/12</f>
        <v>2.9331592083179458E-18</v>
      </c>
      <c r="EY156" s="22">
        <f t="shared" si="181"/>
        <v>1.0634801743930726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-1.5429577615577727E-13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326.46362829268969</v>
      </c>
      <c r="FK156" s="59">
        <f t="shared" si="156"/>
        <v>203.5274665601915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0.63961632952720937</v>
      </c>
      <c r="FR156" s="21">
        <f>EXP(-LN(2)/25)*FR155+(1-EXP(-LN(2)/25))/(LN(2)/25)*Calculateur!FM156*Calculateur!FO156*VLOOKUP('Données projet'!$B$16,Paramètres!$A$1:$I$89,3,0)*0.475*44/12</f>
        <v>0.30933521070045422</v>
      </c>
      <c r="FS156" s="21">
        <f>EXP(-LN(2)/2)*FS155+(1-EXP(-LN(2)/2))/(LN(2)/2)*FM156*FP156*VLOOKUP('Données projet'!$B$16,Paramètres!$A$1:$I$89,3,0)*0.475*44/12</f>
        <v>2.6172805243452438E-18</v>
      </c>
      <c r="FT156" s="22">
        <f t="shared" si="184"/>
        <v>0.94895154022766359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-1.7053025658242404E-13</v>
      </c>
      <c r="GA156" s="17">
        <f>FZ156*VLOOKUP('Données projet'!$B$17,Paramètres!$A$1:$I$89,3,0)*VLOOKUP('Données projet'!$B$17,Paramètres!$A$1:$I$89,5,0)</f>
        <v>-1.6493686416652052E-13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353.24082990916918</v>
      </c>
      <c r="GF156" s="59">
        <f t="shared" si="158"/>
        <v>219.76562717496353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0.68372780052908644</v>
      </c>
      <c r="GM156" s="21">
        <f>EXP(-LN(2)/25)*GM155+(1-EXP(-LN(2)/25))/(LN(2)/25)*Calculateur!GH156*Calculateur!GJ156*VLOOKUP('Données projet'!$B$17,Paramètres!$A$1:$I$89,3,0)*0.475*44/12</f>
        <v>0.33066867350738277</v>
      </c>
      <c r="GN156" s="21">
        <f>EXP(-LN(2)/2)*GN155+(1-EXP(-LN(2)/2))/(LN(2)/2)*GH156*GK156*VLOOKUP('Données projet'!$B$17,Paramètres!$A$1:$I$89,3,0)*0.475*44/12</f>
        <v>2.7977826294725028E-18</v>
      </c>
      <c r="GO156" s="21">
        <f t="shared" si="187"/>
        <v>1.0143964740364693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378.17323480030268</v>
      </c>
      <c r="T157" s="59">
        <f t="shared" si="142"/>
        <v>471.89239871617241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0.37793780719521214</v>
      </c>
      <c r="AA157" s="21">
        <f>EXP(-LN(2)/25)*AA156+(1-EXP(-LN(2)/25))/(LN(2)/25)*Calculateur!V157*Calculateur!X157*VLOOKUP('Données projet'!$B$9,Paramètres!$A$1:$I$89,3,0)*0.475*44/12</f>
        <v>0.66831882056315617</v>
      </c>
      <c r="AB157" s="21">
        <f>EXP(-LN(2)/2)*AB156+(1-EXP(-LN(2)/2))/(LN(2)/2)*V157*Y157*VLOOKUP('Données projet'!$B$9,Paramètres!$A$1:$I$89,3,0)*0.475*44/12</f>
        <v>2.2682790825903783E-18</v>
      </c>
      <c r="AC157" s="22">
        <f t="shared" si="163"/>
        <v>1.0462566277583683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141.22849894256314</v>
      </c>
      <c r="AO157" s="59">
        <f t="shared" si="144"/>
        <v>156.12101479343704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0.631096797281538</v>
      </c>
      <c r="AV157" s="21">
        <f>EXP(-LN(2)/25)*AV156+(1-EXP(-LN(2)/25))/(LN(2)/25)*Calculateur!AQ157*Calculateur!AS157*VLOOKUP('Données projet'!$B$10,Paramètres!$A$1:$I$89,3,0)*0.475*44/12</f>
        <v>0.19349544727626145</v>
      </c>
      <c r="AW157" s="21">
        <f>EXP(-LN(2)/2)*AW156+(1-EXP(-LN(2)/2))/(LN(2)/2)*AQ157*AT157*VLOOKUP('Données projet'!$B$10,Paramètres!$A$1:$I$89,3,0)*0.475*44/12</f>
        <v>6.4140772341658666E-19</v>
      </c>
      <c r="AX157" s="21">
        <f t="shared" si="166"/>
        <v>0.82459224455779945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114.25511901730295</v>
      </c>
      <c r="BJ157" s="59">
        <f t="shared" si="146"/>
        <v>180.96261947642182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0.29330057216441519</v>
      </c>
      <c r="BQ157" s="21">
        <f>EXP(-LN(2)/25)*BQ156+(1-EXP(-LN(2)/25))/(LN(2)/25)*Calculateur!BL157*Calculateur!BN157*VLOOKUP('Données projet'!$B$11,Paramètres!$A$1:$I$89,3,0)*0.475*44/12</f>
        <v>0.57237655507686802</v>
      </c>
      <c r="BR157" s="21">
        <f>EXP(-LN(2)/2)*BR156+(1-EXP(-LN(2)/2))/(LN(2)/2)*BL157*BO157*VLOOKUP('Données projet'!$B$11,Paramètres!$A$1:$I$89,3,0)*0.475*44/12</f>
        <v>1.4814674092907098E-18</v>
      </c>
      <c r="BS157" s="22">
        <f t="shared" si="169"/>
        <v>0.86567712724128321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4.4337866711430253E-14</v>
      </c>
      <c r="CA157" s="13">
        <f t="shared" si="170"/>
        <v>7.3222115536967035E-13</v>
      </c>
      <c r="CB157" s="20">
        <f t="shared" si="171"/>
        <v>1.3525069634579169E-12</v>
      </c>
      <c r="CC157" s="59">
        <f t="shared" si="119"/>
        <v>293.33333333333468</v>
      </c>
      <c r="CD157" s="59">
        <f ca="1">AVERAGE(OFFSET($CC$3,0,0,'Données projet'!$E$12+1,1))-AVERAGE(OFFSET($H$3,0,0,'Données projet'!$E$12+1,1))</f>
        <v>216.95993967070063</v>
      </c>
      <c r="CE157" s="59">
        <f t="shared" si="148"/>
        <v>208.79744153433245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0.44330307789414247</v>
      </c>
      <c r="CL157" s="21">
        <f>EXP(-LN(2)/25)*CL156+(1-EXP(-LN(2)/25))/(LN(2)/25)*Calculateur!CG157*Calculateur!CI157*VLOOKUP('Données projet'!$B$12,Paramètres!$A$1:$I$89,3,0)*0.475*44/12</f>
        <v>0.20618039615666917</v>
      </c>
      <c r="CM157" s="21">
        <f>EXP(-LN(2)/2)*CM156+(1-EXP(-LN(2)/2))/(LN(2)/2)*CG157*CJ157*VLOOKUP('Données projet'!$B$12,Paramètres!$A$1:$I$89,3,0)*0.475*44/12</f>
        <v>2.6749617202347932E-19</v>
      </c>
      <c r="CN157" s="22">
        <f t="shared" si="172"/>
        <v>0.64948347405081164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3.813056537183002E-14</v>
      </c>
      <c r="CV157" s="13">
        <f t="shared" si="173"/>
        <v>6.4086286045526829E-13</v>
      </c>
      <c r="CW157" s="20">
        <f t="shared" si="174"/>
        <v>1.1825802166488628E-12</v>
      </c>
      <c r="CX157" s="59">
        <f t="shared" si="122"/>
        <v>293.33333333333451</v>
      </c>
      <c r="CY157" s="59">
        <f ca="1">AVERAGE(OFFSET($CX$3,0,0,'Données projet'!$E$13+1,1))-AVERAGE(OFFSET($H$3,0,0,'Données projet'!$E$13+1,1))</f>
        <v>181.32837315090507</v>
      </c>
      <c r="CZ157" s="59">
        <f t="shared" si="150"/>
        <v>175.03267817980338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0.46990126256779041</v>
      </c>
      <c r="DG157" s="21">
        <f>EXP(-LN(2)/25)*DG156+(1-EXP(-LN(2)/25))/(LN(2)/25)*Calculateur!DB157*Calculateur!DD157*VLOOKUP('Données projet'!$B$13,Paramètres!$A$1:$I$89,3,0)*0.475*44/12</f>
        <v>0.21855121992606938</v>
      </c>
      <c r="DH157" s="21">
        <f>EXP(-LN(2)/2)*DH156+(1-EXP(-LN(2)/2))/(LN(2)/2)*DB157*DE157*VLOOKUP('Données projet'!$B$13,Paramètres!$A$1:$I$89,3,0)*0.475*44/12</f>
        <v>2.3004670794019211E-19</v>
      </c>
      <c r="DI157" s="22">
        <f t="shared" si="175"/>
        <v>0.68845248249385982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-2.8421709430404007E-13</v>
      </c>
      <c r="DP157" s="17">
        <f>DO157*VLOOKUP('Données projet'!$B$14,Paramètres!$A$1:$I$89,3,0)*VLOOKUP('Données projet'!$B$14,Paramètres!$A$1:$I$89,5,0)</f>
        <v>-2.2612312022829427E-13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325.72928944930294</v>
      </c>
      <c r="DU157" s="59">
        <f t="shared" si="152"/>
        <v>318.38876834819752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1.485598508187058</v>
      </c>
      <c r="EB157" s="21">
        <f>EXP(-LN(2)/25)*EB156+(1-EXP(-LN(2)/25))/(LN(2)/25)*Calculateur!DW157*Calculateur!DY157*VLOOKUP('Données projet'!$B$14,Paramètres!$A$1:$I$89,3,0)*0.475*44/12</f>
        <v>0.66441473288174224</v>
      </c>
      <c r="EC157" s="21">
        <f>EXP(-LN(2)/2)*EC156+(1-EXP(-LN(2)/2))/(LN(2)/2)*DW157*DZ157*VLOOKUP('Données projet'!$B$14,Paramètres!$A$1:$I$89,3,0)*0.475*44/12</f>
        <v>2.5651618490102826E-18</v>
      </c>
      <c r="ED157" s="22">
        <f t="shared" si="178"/>
        <v>2.1500132410688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-5.7639226724859328E-14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384.50065773787549</v>
      </c>
      <c r="EP157" s="59">
        <f t="shared" si="154"/>
        <v>231.92898690465887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0.70275516936414362</v>
      </c>
      <c r="EW157" s="21">
        <f>EXP(-LN(2)/25)*EW156+(1-EXP(-LN(2)/25))/(LN(2)/25)*Calculateur!ER157*Calculateur!ET157*VLOOKUP('Données projet'!$B$15,Paramètres!$A$1:$I$89,3,0)*0.475*44/12</f>
        <v>0.33718909484965937</v>
      </c>
      <c r="EX157" s="21">
        <f>EXP(-LN(2)/2)*EX156+(1-EXP(-LN(2)/2))/(LN(2)/2)*ER157*EU157*VLOOKUP('Données projet'!$B$15,Paramètres!$A$1:$I$89,3,0)*0.475*44/12</f>
        <v>2.0740567665013846E-18</v>
      </c>
      <c r="EY157" s="22">
        <f t="shared" si="181"/>
        <v>1.039944264213803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-1.5429577615577727E-13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326.46362829268969</v>
      </c>
      <c r="FK157" s="59">
        <f t="shared" si="156"/>
        <v>203.5274665601915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0.62707384343261996</v>
      </c>
      <c r="FR157" s="21">
        <f>EXP(-LN(2)/25)*FR156+(1-EXP(-LN(2)/25))/(LN(2)/25)*Calculateur!FM157*Calculateur!FO157*VLOOKUP('Données projet'!$B$16,Paramètres!$A$1:$I$89,3,0)*0.475*44/12</f>
        <v>0.30087642309661855</v>
      </c>
      <c r="FS157" s="21">
        <f>EXP(-LN(2)/2)*FS156+(1-EXP(-LN(2)/2))/(LN(2)/2)*FM157*FP157*VLOOKUP('Données projet'!$B$16,Paramètres!$A$1:$I$89,3,0)*0.475*44/12</f>
        <v>1.8506968070320047E-18</v>
      </c>
      <c r="FT157" s="22">
        <f t="shared" si="184"/>
        <v>0.92795026652923851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-1.7053025658242404E-13</v>
      </c>
      <c r="GA157" s="17">
        <f>FZ157*VLOOKUP('Données projet'!$B$17,Paramètres!$A$1:$I$89,3,0)*VLOOKUP('Données projet'!$B$17,Paramètres!$A$1:$I$89,5,0)</f>
        <v>-1.6493686416652052E-13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353.24082990916918</v>
      </c>
      <c r="GF157" s="59">
        <f t="shared" si="158"/>
        <v>219.76562717496353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0.6703203153934908</v>
      </c>
      <c r="GM157" s="21">
        <f>EXP(-LN(2)/25)*GM156+(1-EXP(-LN(2)/25))/(LN(2)/25)*Calculateur!GH157*Calculateur!GJ157*VLOOKUP('Données projet'!$B$17,Paramètres!$A$1:$I$89,3,0)*0.475*44/12</f>
        <v>0.3216265212412136</v>
      </c>
      <c r="GN157" s="21">
        <f>EXP(-LN(2)/2)*GN156+(1-EXP(-LN(2)/2))/(LN(2)/2)*GH157*GK157*VLOOKUP('Données projet'!$B$17,Paramètres!$A$1:$I$89,3,0)*0.475*44/12</f>
        <v>1.9783310695859366E-18</v>
      </c>
      <c r="GO157" s="21">
        <f t="shared" si="187"/>
        <v>0.9919468366347044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378.17323480030268</v>
      </c>
      <c r="T158" s="59">
        <f t="shared" si="142"/>
        <v>471.89239871617241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0.37052667731541455</v>
      </c>
      <c r="AA158" s="21">
        <f>EXP(-LN(2)/25)*AA157+(1-EXP(-LN(2)/25))/(LN(2)/25)*Calculateur!V158*Calculateur!X158*VLOOKUP('Données projet'!$B$9,Paramètres!$A$1:$I$89,3,0)*0.475*44/12</f>
        <v>0.65004360726949739</v>
      </c>
      <c r="AB158" s="21">
        <f>EXP(-LN(2)/2)*AB157+(1-EXP(-LN(2)/2))/(LN(2)/2)*V158*Y158*VLOOKUP('Données projet'!$B$9,Paramètres!$A$1:$I$89,3,0)*0.475*44/12</f>
        <v>1.6039155209232574E-18</v>
      </c>
      <c r="AC158" s="22">
        <f t="shared" si="163"/>
        <v>1.0205702845849118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141.22849894256314</v>
      </c>
      <c r="AO158" s="59">
        <f t="shared" si="144"/>
        <v>156.12101479343704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0.61872137401788463</v>
      </c>
      <c r="AV158" s="21">
        <f>EXP(-LN(2)/25)*AV157+(1-EXP(-LN(2)/25))/(LN(2)/25)*Calculateur!AQ158*Calculateur!AS158*VLOOKUP('Données projet'!$B$10,Paramètres!$A$1:$I$89,3,0)*0.475*44/12</f>
        <v>0.18820430409500874</v>
      </c>
      <c r="AW158" s="21">
        <f>EXP(-LN(2)/2)*AW157+(1-EXP(-LN(2)/2))/(LN(2)/2)*AQ158*AT158*VLOOKUP('Données projet'!$B$10,Paramètres!$A$1:$I$89,3,0)*0.475*44/12</f>
        <v>4.5354375073329393E-19</v>
      </c>
      <c r="AX158" s="21">
        <f t="shared" si="166"/>
        <v>0.8069256781128934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114.25511901730295</v>
      </c>
      <c r="BJ158" s="59">
        <f t="shared" si="146"/>
        <v>180.96261947642182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0.28754912683995554</v>
      </c>
      <c r="BQ158" s="21">
        <f>EXP(-LN(2)/25)*BQ157+(1-EXP(-LN(2)/25))/(LN(2)/25)*Calculateur!BL158*Calculateur!BN158*VLOOKUP('Données projet'!$B$11,Paramètres!$A$1:$I$89,3,0)*0.475*44/12</f>
        <v>0.55672488807831622</v>
      </c>
      <c r="BR158" s="21">
        <f>EXP(-LN(2)/2)*BR157+(1-EXP(-LN(2)/2))/(LN(2)/2)*BL158*BO158*VLOOKUP('Données projet'!$B$11,Paramètres!$A$1:$I$89,3,0)*0.475*44/12</f>
        <v>1.0475556512163273E-18</v>
      </c>
      <c r="BS158" s="22">
        <f t="shared" si="169"/>
        <v>0.8442740149182717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4.4337866711430253E-14</v>
      </c>
      <c r="CA158" s="13">
        <f t="shared" si="170"/>
        <v>7.3222115536967035E-13</v>
      </c>
      <c r="CB158" s="20">
        <f t="shared" si="171"/>
        <v>1.3525069634579169E-12</v>
      </c>
      <c r="CC158" s="59">
        <f t="shared" si="119"/>
        <v>293.33333333333468</v>
      </c>
      <c r="CD158" s="59">
        <f ca="1">AVERAGE(OFFSET($CC$3,0,0,'Données projet'!$E$12+1,1))-AVERAGE(OFFSET($H$3,0,0,'Données projet'!$E$12+1,1))</f>
        <v>216.95993967070063</v>
      </c>
      <c r="CE158" s="59">
        <f t="shared" si="148"/>
        <v>208.79744153433245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0.43461017492481724</v>
      </c>
      <c r="CL158" s="21">
        <f>EXP(-LN(2)/25)*CL157+(1-EXP(-LN(2)/25))/(LN(2)/25)*Calculateur!CG158*Calculateur!CI158*VLOOKUP('Données projet'!$B$12,Paramètres!$A$1:$I$89,3,0)*0.475*44/12</f>
        <v>0.20054238238120925</v>
      </c>
      <c r="CM158" s="21">
        <f>EXP(-LN(2)/2)*CM157+(1-EXP(-LN(2)/2))/(LN(2)/2)*CG158*CJ158*VLOOKUP('Données projet'!$B$12,Paramètres!$A$1:$I$89,3,0)*0.475*44/12</f>
        <v>1.8914835717924547E-19</v>
      </c>
      <c r="CN158" s="22">
        <f t="shared" si="172"/>
        <v>0.63515255730602649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3.813056537183002E-14</v>
      </c>
      <c r="CV158" s="13">
        <f t="shared" si="173"/>
        <v>6.4086286045526829E-13</v>
      </c>
      <c r="CW158" s="20">
        <f t="shared" si="174"/>
        <v>1.1825802166488628E-12</v>
      </c>
      <c r="CX158" s="59">
        <f t="shared" si="122"/>
        <v>293.33333333333451</v>
      </c>
      <c r="CY158" s="59">
        <f ca="1">AVERAGE(OFFSET($CX$3,0,0,'Données projet'!$E$13+1,1))-AVERAGE(OFFSET($H$3,0,0,'Données projet'!$E$13+1,1))</f>
        <v>181.32837315090507</v>
      </c>
      <c r="CZ158" s="59">
        <f t="shared" si="150"/>
        <v>175.03267817980338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0.46068678542030567</v>
      </c>
      <c r="DG158" s="21">
        <f>EXP(-LN(2)/25)*DG157+(1-EXP(-LN(2)/25))/(LN(2)/25)*Calculateur!DB158*Calculateur!DD158*VLOOKUP('Données projet'!$B$13,Paramètres!$A$1:$I$89,3,0)*0.475*44/12</f>
        <v>0.21257492532408187</v>
      </c>
      <c r="DH158" s="21">
        <f>EXP(-LN(2)/2)*DH157+(1-EXP(-LN(2)/2))/(LN(2)/2)*DB158*DE158*VLOOKUP('Données projet'!$B$13,Paramètres!$A$1:$I$89,3,0)*0.475*44/12</f>
        <v>1.6266758717415103E-19</v>
      </c>
      <c r="DI158" s="22">
        <f t="shared" si="175"/>
        <v>0.67326171074438756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-2.8421709430404007E-13</v>
      </c>
      <c r="DP158" s="17">
        <f>DO158*VLOOKUP('Données projet'!$B$14,Paramètres!$A$1:$I$89,3,0)*VLOOKUP('Données projet'!$B$14,Paramètres!$A$1:$I$89,5,0)</f>
        <v>-2.2612312022829427E-13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325.72928944930294</v>
      </c>
      <c r="DU158" s="59">
        <f t="shared" si="152"/>
        <v>318.38876834819752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1.4564668275671273</v>
      </c>
      <c r="EB158" s="21">
        <f>EXP(-LN(2)/25)*EB157+(1-EXP(-LN(2)/25))/(LN(2)/25)*Calculateur!DW158*Calculateur!DY158*VLOOKUP('Données projet'!$B$14,Paramètres!$A$1:$I$89,3,0)*0.475*44/12</f>
        <v>0.64624627707103877</v>
      </c>
      <c r="EC158" s="21">
        <f>EXP(-LN(2)/2)*EC157+(1-EXP(-LN(2)/2))/(LN(2)/2)*DW158*DZ158*VLOOKUP('Données projet'!$B$14,Paramètres!$A$1:$I$89,3,0)*0.475*44/12</f>
        <v>1.8138433382761935E-18</v>
      </c>
      <c r="ED158" s="22">
        <f t="shared" si="178"/>
        <v>2.1027131046381662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-5.7639226724859328E-14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384.50065773787549</v>
      </c>
      <c r="EP158" s="59">
        <f t="shared" si="154"/>
        <v>231.92898690465887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0.68897456913124155</v>
      </c>
      <c r="EW158" s="21">
        <f>EXP(-LN(2)/25)*EW157+(1-EXP(-LN(2)/25))/(LN(2)/25)*Calculateur!ER158*Calculateur!ET158*VLOOKUP('Données projet'!$B$15,Paramètres!$A$1:$I$89,3,0)*0.475*44/12</f>
        <v>0.32796864131899156</v>
      </c>
      <c r="EX158" s="21">
        <f>EXP(-LN(2)/2)*EX157+(1-EXP(-LN(2)/2))/(LN(2)/2)*ER158*EU158*VLOOKUP('Données projet'!$B$15,Paramètres!$A$1:$I$89,3,0)*0.475*44/12</f>
        <v>1.4665796041589729E-18</v>
      </c>
      <c r="EY158" s="22">
        <f t="shared" si="181"/>
        <v>1.0169432104502332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-1.5429577615577727E-13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326.46362829268969</v>
      </c>
      <c r="FK158" s="59">
        <f t="shared" si="156"/>
        <v>203.5274665601915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0.61477730784018425</v>
      </c>
      <c r="FR158" s="21">
        <f>EXP(-LN(2)/25)*FR157+(1-EXP(-LN(2)/25))/(LN(2)/25)*Calculateur!FM158*Calculateur!FO158*VLOOKUP('Données projet'!$B$16,Paramètres!$A$1:$I$89,3,0)*0.475*44/12</f>
        <v>0.2926489414846381</v>
      </c>
      <c r="FS158" s="21">
        <f>EXP(-LN(2)/2)*FS157+(1-EXP(-LN(2)/2))/(LN(2)/2)*FM158*FP158*VLOOKUP('Données projet'!$B$16,Paramètres!$A$1:$I$89,3,0)*0.475*44/12</f>
        <v>1.3086402621726219E-18</v>
      </c>
      <c r="FT158" s="22">
        <f t="shared" si="184"/>
        <v>0.90742624932482241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-1.7053025658242404E-13</v>
      </c>
      <c r="GA158" s="17">
        <f>FZ158*VLOOKUP('Données projet'!$B$17,Paramètres!$A$1:$I$89,3,0)*VLOOKUP('Données projet'!$B$17,Paramètres!$A$1:$I$89,5,0)</f>
        <v>-1.6493686416652052E-13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353.24082990916918</v>
      </c>
      <c r="GF158" s="59">
        <f t="shared" si="158"/>
        <v>219.76562717496353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0.65717574286364577</v>
      </c>
      <c r="GM158" s="21">
        <f>EXP(-LN(2)/25)*GM157+(1-EXP(-LN(2)/25))/(LN(2)/25)*Calculateur!GH158*Calculateur!GJ158*VLOOKUP('Données projet'!$B$17,Paramètres!$A$1:$I$89,3,0)*0.475*44/12</f>
        <v>0.31283162710426893</v>
      </c>
      <c r="GN158" s="21">
        <f>EXP(-LN(2)/2)*GN157+(1-EXP(-LN(2)/2))/(LN(2)/2)*GH158*GK158*VLOOKUP('Données projet'!$B$17,Paramètres!$A$1:$I$89,3,0)*0.475*44/12</f>
        <v>1.3988913147362514E-18</v>
      </c>
      <c r="GO158" s="21">
        <f t="shared" si="187"/>
        <v>0.9700073699679147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378.17323480030268</v>
      </c>
      <c r="T159" s="59">
        <f t="shared" si="142"/>
        <v>471.89239871617241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0.36326087517221689</v>
      </c>
      <c r="AA159" s="21">
        <f>EXP(-LN(2)/25)*AA158+(1-EXP(-LN(2)/25))/(LN(2)/25)*Calculateur!V159*Calculateur!X159*VLOOKUP('Données projet'!$B$9,Paramètres!$A$1:$I$89,3,0)*0.475*44/12</f>
        <v>0.63226813064440535</v>
      </c>
      <c r="AB159" s="21">
        <f>EXP(-LN(2)/2)*AB158+(1-EXP(-LN(2)/2))/(LN(2)/2)*V159*Y159*VLOOKUP('Données projet'!$B$9,Paramètres!$A$1:$I$89,3,0)*0.475*44/12</f>
        <v>1.1341395412951891E-18</v>
      </c>
      <c r="AC159" s="22">
        <f t="shared" si="163"/>
        <v>0.99552900581662218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141.22849894256314</v>
      </c>
      <c r="AO159" s="59">
        <f t="shared" si="144"/>
        <v>156.12101479343704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0.60658862525616863</v>
      </c>
      <c r="AV159" s="21">
        <f>EXP(-LN(2)/25)*AV158+(1-EXP(-LN(2)/25))/(LN(2)/25)*Calculateur!AQ159*Calculateur!AS159*VLOOKUP('Données projet'!$B$10,Paramètres!$A$1:$I$89,3,0)*0.475*44/12</f>
        <v>0.18305784750229653</v>
      </c>
      <c r="AW159" s="21">
        <f>EXP(-LN(2)/2)*AW158+(1-EXP(-LN(2)/2))/(LN(2)/2)*AQ159*AT159*VLOOKUP('Données projet'!$B$10,Paramètres!$A$1:$I$89,3,0)*0.475*44/12</f>
        <v>3.2070386170829333E-19</v>
      </c>
      <c r="AX159" s="21">
        <f t="shared" si="166"/>
        <v>0.78964647275846511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114.25511901730295</v>
      </c>
      <c r="BJ159" s="59">
        <f t="shared" si="146"/>
        <v>180.96261947642182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0.2819104638502733</v>
      </c>
      <c r="BQ159" s="21">
        <f>EXP(-LN(2)/25)*BQ158+(1-EXP(-LN(2)/25))/(LN(2)/25)*Calculateur!BL159*Calculateur!BN159*VLOOKUP('Données projet'!$B$11,Paramètres!$A$1:$I$89,3,0)*0.475*44/12</f>
        <v>0.54150121673692519</v>
      </c>
      <c r="BR159" s="21">
        <f>EXP(-LN(2)/2)*BR158+(1-EXP(-LN(2)/2))/(LN(2)/2)*BL159*BO159*VLOOKUP('Données projet'!$B$11,Paramètres!$A$1:$I$89,3,0)*0.475*44/12</f>
        <v>7.4073370464535488E-19</v>
      </c>
      <c r="BS159" s="22">
        <f t="shared" si="169"/>
        <v>0.82341168058719849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4.4337866711430253E-14</v>
      </c>
      <c r="CA159" s="13">
        <f t="shared" si="170"/>
        <v>7.3222115536967035E-13</v>
      </c>
      <c r="CB159" s="20">
        <f t="shared" si="171"/>
        <v>1.3525069634579169E-12</v>
      </c>
      <c r="CC159" s="59">
        <f t="shared" si="119"/>
        <v>293.33333333333468</v>
      </c>
      <c r="CD159" s="59">
        <f ca="1">AVERAGE(OFFSET($CC$3,0,0,'Données projet'!$E$12+1,1))-AVERAGE(OFFSET($H$3,0,0,'Données projet'!$E$12+1,1))</f>
        <v>216.95993967070063</v>
      </c>
      <c r="CE159" s="59">
        <f t="shared" si="148"/>
        <v>208.79744153433245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0.42608773448057319</v>
      </c>
      <c r="CL159" s="21">
        <f>EXP(-LN(2)/25)*CL158+(1-EXP(-LN(2)/25))/(LN(2)/25)*Calculateur!CG159*Calculateur!CI159*VLOOKUP('Données projet'!$B$12,Paramètres!$A$1:$I$89,3,0)*0.475*44/12</f>
        <v>0.19505854038892953</v>
      </c>
      <c r="CM159" s="21">
        <f>EXP(-LN(2)/2)*CM158+(1-EXP(-LN(2)/2))/(LN(2)/2)*CG159*CJ159*VLOOKUP('Données projet'!$B$12,Paramètres!$A$1:$I$89,3,0)*0.475*44/12</f>
        <v>1.3374808601173966E-19</v>
      </c>
      <c r="CN159" s="22">
        <f t="shared" si="172"/>
        <v>0.62114627486950269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3.813056537183002E-14</v>
      </c>
      <c r="CV159" s="13">
        <f t="shared" si="173"/>
        <v>6.4086286045526829E-13</v>
      </c>
      <c r="CW159" s="20">
        <f t="shared" si="174"/>
        <v>1.1825802166488628E-12</v>
      </c>
      <c r="CX159" s="59">
        <f t="shared" si="122"/>
        <v>293.33333333333451</v>
      </c>
      <c r="CY159" s="59">
        <f ca="1">AVERAGE(OFFSET($CX$3,0,0,'Données projet'!$E$13+1,1))-AVERAGE(OFFSET($H$3,0,0,'Données projet'!$E$13+1,1))</f>
        <v>181.32837315090507</v>
      </c>
      <c r="CZ159" s="59">
        <f t="shared" si="150"/>
        <v>175.03267817980338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0.45165299854940699</v>
      </c>
      <c r="DG159" s="21">
        <f>EXP(-LN(2)/25)*DG158+(1-EXP(-LN(2)/25))/(LN(2)/25)*Calculateur!DB159*Calculateur!DD159*VLOOKUP('Données projet'!$B$13,Paramètres!$A$1:$I$89,3,0)*0.475*44/12</f>
        <v>0.20676205281226537</v>
      </c>
      <c r="DH159" s="21">
        <f>EXP(-LN(2)/2)*DH158+(1-EXP(-LN(2)/2))/(LN(2)/2)*DB159*DE159*VLOOKUP('Données projet'!$B$13,Paramètres!$A$1:$I$89,3,0)*0.475*44/12</f>
        <v>1.1502335397009606E-19</v>
      </c>
      <c r="DI159" s="22">
        <f t="shared" si="175"/>
        <v>0.65841505136167233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-2.8421709430404007E-13</v>
      </c>
      <c r="DP159" s="17">
        <f>DO159*VLOOKUP('Données projet'!$B$14,Paramètres!$A$1:$I$89,3,0)*VLOOKUP('Données projet'!$B$14,Paramètres!$A$1:$I$89,5,0)</f>
        <v>-2.2612312022829427E-13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325.72928944930294</v>
      </c>
      <c r="DU159" s="59">
        <f t="shared" si="152"/>
        <v>318.38876834819752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1.4279064014355829</v>
      </c>
      <c r="EB159" s="21">
        <f>EXP(-LN(2)/25)*EB158+(1-EXP(-LN(2)/25))/(LN(2)/25)*Calculateur!DW159*Calculateur!DY159*VLOOKUP('Données projet'!$B$14,Paramètres!$A$1:$I$89,3,0)*0.475*44/12</f>
        <v>0.62857463863991647</v>
      </c>
      <c r="EC159" s="21">
        <f>EXP(-LN(2)/2)*EC158+(1-EXP(-LN(2)/2))/(LN(2)/2)*DW159*DZ159*VLOOKUP('Données projet'!$B$14,Paramètres!$A$1:$I$89,3,0)*0.475*44/12</f>
        <v>1.2825809245051413E-18</v>
      </c>
      <c r="ED159" s="22">
        <f t="shared" si="178"/>
        <v>2.0564810400754991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-5.7639226724859328E-14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384.50065773787549</v>
      </c>
      <c r="EP159" s="59">
        <f t="shared" si="154"/>
        <v>231.92898690465887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0.6754641980635705</v>
      </c>
      <c r="EW159" s="21">
        <f>EXP(-LN(2)/25)*EW158+(1-EXP(-LN(2)/25))/(LN(2)/25)*Calculateur!ER159*Calculateur!ET159*VLOOKUP('Données projet'!$B$15,Paramètres!$A$1:$I$89,3,0)*0.475*44/12</f>
        <v>0.31900032157500247</v>
      </c>
      <c r="EX159" s="21">
        <f>EXP(-LN(2)/2)*EX158+(1-EXP(-LN(2)/2))/(LN(2)/2)*ER159*EU159*VLOOKUP('Données projet'!$B$15,Paramètres!$A$1:$I$89,3,0)*0.475*44/12</f>
        <v>1.0370283832506923E-18</v>
      </c>
      <c r="EY159" s="22">
        <f t="shared" si="181"/>
        <v>0.99446451963857296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-1.5429577615577727E-13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326.46362829268969</v>
      </c>
      <c r="FK159" s="59">
        <f t="shared" si="156"/>
        <v>203.5274665601915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0.60272189981057012</v>
      </c>
      <c r="FR159" s="21">
        <f>EXP(-LN(2)/25)*FR158+(1-EXP(-LN(2)/25))/(LN(2)/25)*Calculateur!FM159*Calculateur!FO159*VLOOKUP('Données projet'!$B$16,Paramètres!$A$1:$I$89,3,0)*0.475*44/12</f>
        <v>0.28464644079000168</v>
      </c>
      <c r="FS159" s="21">
        <f>EXP(-LN(2)/2)*FS158+(1-EXP(-LN(2)/2))/(LN(2)/2)*FM159*FP159*VLOOKUP('Données projet'!$B$16,Paramètres!$A$1:$I$89,3,0)*0.475*44/12</f>
        <v>9.2534840351600234E-19</v>
      </c>
      <c r="FT159" s="22">
        <f t="shared" si="184"/>
        <v>0.88736834060057179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-1.7053025658242404E-13</v>
      </c>
      <c r="GA159" s="17">
        <f>FZ159*VLOOKUP('Données projet'!$B$17,Paramètres!$A$1:$I$89,3,0)*VLOOKUP('Données projet'!$B$17,Paramètres!$A$1:$I$89,5,0)</f>
        <v>-1.6493686416652052E-13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353.24082990916918</v>
      </c>
      <c r="GF159" s="59">
        <f t="shared" si="158"/>
        <v>219.76562717496353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0.64428892738371335</v>
      </c>
      <c r="GM159" s="21">
        <f>EXP(-LN(2)/25)*GM158+(1-EXP(-LN(2)/25))/(LN(2)/25)*Calculateur!GH159*Calculateur!GJ159*VLOOKUP('Données projet'!$B$17,Paramètres!$A$1:$I$89,3,0)*0.475*44/12</f>
        <v>0.30427722981000244</v>
      </c>
      <c r="GN159" s="21">
        <f>EXP(-LN(2)/2)*GN158+(1-EXP(-LN(2)/2))/(LN(2)/2)*GH159*GK159*VLOOKUP('Données projet'!$B$17,Paramètres!$A$1:$I$89,3,0)*0.475*44/12</f>
        <v>9.8916553479296829E-19</v>
      </c>
      <c r="GO159" s="21">
        <f t="shared" si="187"/>
        <v>0.94856615719371584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378.17323480030268</v>
      </c>
      <c r="T160" s="59">
        <f t="shared" si="142"/>
        <v>471.89239871617241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0.35613755097734562</v>
      </c>
      <c r="AA160" s="21">
        <f>EXP(-LN(2)/25)*AA159+(1-EXP(-LN(2)/25))/(LN(2)/25)*Calculateur!V160*Calculateur!X160*VLOOKUP('Données projet'!$B$9,Paramètres!$A$1:$I$89,3,0)*0.475*44/12</f>
        <v>0.61497872536239817</v>
      </c>
      <c r="AB160" s="21">
        <f>EXP(-LN(2)/2)*AB159+(1-EXP(-LN(2)/2))/(LN(2)/2)*V160*Y160*VLOOKUP('Données projet'!$B$9,Paramètres!$A$1:$I$89,3,0)*0.475*44/12</f>
        <v>8.019577604616287E-19</v>
      </c>
      <c r="AC160" s="22">
        <f t="shared" si="163"/>
        <v>0.97111627633974384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141.22849894256314</v>
      </c>
      <c r="AO160" s="59">
        <f t="shared" si="144"/>
        <v>156.12101479343704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0.59469379229742381</v>
      </c>
      <c r="AV160" s="21">
        <f>EXP(-LN(2)/25)*AV159+(1-EXP(-LN(2)/25))/(LN(2)/25)*Calculateur!AQ160*Calculateur!AS160*VLOOKUP('Données projet'!$B$10,Paramètres!$A$1:$I$89,3,0)*0.475*44/12</f>
        <v>0.17805212103575241</v>
      </c>
      <c r="AW160" s="21">
        <f>EXP(-LN(2)/2)*AW159+(1-EXP(-LN(2)/2))/(LN(2)/2)*AQ160*AT160*VLOOKUP('Données projet'!$B$10,Paramètres!$A$1:$I$89,3,0)*0.475*44/12</f>
        <v>2.2677187536664697E-19</v>
      </c>
      <c r="AX160" s="21">
        <f t="shared" si="166"/>
        <v>0.77274591333317622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114.25511901730295</v>
      </c>
      <c r="BJ160" s="59">
        <f t="shared" si="146"/>
        <v>180.96261947642182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0.2763823716025739</v>
      </c>
      <c r="BQ160" s="21">
        <f>EXP(-LN(2)/25)*BQ159+(1-EXP(-LN(2)/25))/(LN(2)/25)*Calculateur!BL160*Calculateur!BN160*VLOOKUP('Données projet'!$B$11,Paramètres!$A$1:$I$89,3,0)*0.475*44/12</f>
        <v>0.52669383748894261</v>
      </c>
      <c r="BR160" s="21">
        <f>EXP(-LN(2)/2)*BR159+(1-EXP(-LN(2)/2))/(LN(2)/2)*BL160*BO160*VLOOKUP('Données projet'!$B$11,Paramètres!$A$1:$I$89,3,0)*0.475*44/12</f>
        <v>5.2377782560816367E-19</v>
      </c>
      <c r="BS160" s="22">
        <f t="shared" si="169"/>
        <v>0.80307620909151645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4.4337866711430253E-14</v>
      </c>
      <c r="CA160" s="13">
        <f t="shared" si="170"/>
        <v>7.3222115536967035E-13</v>
      </c>
      <c r="CB160" s="20">
        <f t="shared" si="171"/>
        <v>1.3525069634579169E-12</v>
      </c>
      <c r="CC160" s="59">
        <f t="shared" si="119"/>
        <v>293.33333333333468</v>
      </c>
      <c r="CD160" s="59">
        <f ca="1">AVERAGE(OFFSET($CC$3,0,0,'Données projet'!$E$12+1,1))-AVERAGE(OFFSET($H$3,0,0,'Données projet'!$E$12+1,1))</f>
        <v>216.95993967070063</v>
      </c>
      <c r="CE160" s="59">
        <f t="shared" si="148"/>
        <v>208.79744153433245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0.41773241389526539</v>
      </c>
      <c r="CL160" s="21">
        <f>EXP(-LN(2)/25)*CL159+(1-EXP(-LN(2)/25))/(LN(2)/25)*Calculateur!CG160*Calculateur!CI160*VLOOKUP('Données projet'!$B$12,Paramètres!$A$1:$I$89,3,0)*0.475*44/12</f>
        <v>0.18972465434431143</v>
      </c>
      <c r="CM160" s="21">
        <f>EXP(-LN(2)/2)*CM159+(1-EXP(-LN(2)/2))/(LN(2)/2)*CG160*CJ160*VLOOKUP('Données projet'!$B$12,Paramètres!$A$1:$I$89,3,0)*0.475*44/12</f>
        <v>9.4574178589622734E-20</v>
      </c>
      <c r="CN160" s="22">
        <f t="shared" si="172"/>
        <v>0.60745706823957679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3.813056537183002E-14</v>
      </c>
      <c r="CV160" s="13">
        <f t="shared" si="173"/>
        <v>6.4086286045526829E-13</v>
      </c>
      <c r="CW160" s="20">
        <f t="shared" si="174"/>
        <v>1.1825802166488628E-12</v>
      </c>
      <c r="CX160" s="59">
        <f t="shared" si="122"/>
        <v>293.33333333333451</v>
      </c>
      <c r="CY160" s="59">
        <f ca="1">AVERAGE(OFFSET($CX$3,0,0,'Données projet'!$E$13+1,1))-AVERAGE(OFFSET($H$3,0,0,'Données projet'!$E$13+1,1))</f>
        <v>181.32837315090507</v>
      </c>
      <c r="CZ160" s="59">
        <f t="shared" si="150"/>
        <v>175.03267817980338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0.44279635872898071</v>
      </c>
      <c r="DG160" s="21">
        <f>EXP(-LN(2)/25)*DG159+(1-EXP(-LN(2)/25))/(LN(2)/25)*Calculateur!DB160*Calculateur!DD160*VLOOKUP('Données projet'!$B$13,Paramètres!$A$1:$I$89,3,0)*0.475*44/12</f>
        <v>0.20110813360497018</v>
      </c>
      <c r="DH160" s="21">
        <f>EXP(-LN(2)/2)*DH159+(1-EXP(-LN(2)/2))/(LN(2)/2)*DB160*DE160*VLOOKUP('Données projet'!$B$13,Paramètres!$A$1:$I$89,3,0)*0.475*44/12</f>
        <v>8.1333793587075516E-20</v>
      </c>
      <c r="DI160" s="22">
        <f t="shared" si="175"/>
        <v>0.64390449233395086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-2.8421709430404007E-13</v>
      </c>
      <c r="DP160" s="17">
        <f>DO160*VLOOKUP('Données projet'!$B$14,Paramètres!$A$1:$I$89,3,0)*VLOOKUP('Données projet'!$B$14,Paramètres!$A$1:$I$89,5,0)</f>
        <v>-2.2612312022829427E-13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325.72928944930294</v>
      </c>
      <c r="DU160" s="59">
        <f t="shared" si="152"/>
        <v>318.38876834819752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1.3999060278403381</v>
      </c>
      <c r="EB160" s="21">
        <f>EXP(-LN(2)/25)*EB159+(1-EXP(-LN(2)/25))/(LN(2)/25)*Calculateur!DW160*Calculateur!DY160*VLOOKUP('Données projet'!$B$14,Paramètres!$A$1:$I$89,3,0)*0.475*44/12</f>
        <v>0.61138623209100429</v>
      </c>
      <c r="EC160" s="21">
        <f>EXP(-LN(2)/2)*EC159+(1-EXP(-LN(2)/2))/(LN(2)/2)*DW160*DZ160*VLOOKUP('Données projet'!$B$14,Paramètres!$A$1:$I$89,3,0)*0.475*44/12</f>
        <v>9.0692166913809673E-19</v>
      </c>
      <c r="ED160" s="22">
        <f t="shared" si="178"/>
        <v>2.0112922599313423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-5.7639226724859328E-14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384.50065773787549</v>
      </c>
      <c r="EP160" s="59">
        <f t="shared" si="154"/>
        <v>231.92898690465887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0.66221875713202383</v>
      </c>
      <c r="EW160" s="21">
        <f>EXP(-LN(2)/25)*EW159+(1-EXP(-LN(2)/25))/(LN(2)/25)*Calculateur!ER160*Calculateur!ET160*VLOOKUP('Données projet'!$B$15,Paramètres!$A$1:$I$89,3,0)*0.475*44/12</f>
        <v>0.31027724100603621</v>
      </c>
      <c r="EX160" s="21">
        <f>EXP(-LN(2)/2)*EX159+(1-EXP(-LN(2)/2))/(LN(2)/2)*ER160*EU160*VLOOKUP('Données projet'!$B$15,Paramètres!$A$1:$I$89,3,0)*0.475*44/12</f>
        <v>7.3328980207948645E-19</v>
      </c>
      <c r="EY160" s="22">
        <f t="shared" si="181"/>
        <v>0.97249599813806009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-1.5429577615577727E-13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326.46362829268969</v>
      </c>
      <c r="FK160" s="59">
        <f t="shared" si="156"/>
        <v>203.5274665601915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0.5909028909793439</v>
      </c>
      <c r="FR160" s="21">
        <f>EXP(-LN(2)/25)*FR159+(1-EXP(-LN(2)/25))/(LN(2)/25)*Calculateur!FM160*Calculateur!FO160*VLOOKUP('Données projet'!$B$16,Paramètres!$A$1:$I$89,3,0)*0.475*44/12</f>
        <v>0.27686276889769335</v>
      </c>
      <c r="FS160" s="21">
        <f>EXP(-LN(2)/2)*FS159+(1-EXP(-LN(2)/2))/(LN(2)/2)*FM160*FP160*VLOOKUP('Données projet'!$B$16,Paramètres!$A$1:$I$89,3,0)*0.475*44/12</f>
        <v>6.5432013108631096E-19</v>
      </c>
      <c r="FT160" s="22">
        <f t="shared" si="184"/>
        <v>0.86776565987703724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-1.7053025658242404E-13</v>
      </c>
      <c r="GA160" s="17">
        <f>FZ160*VLOOKUP('Données projet'!$B$17,Paramètres!$A$1:$I$89,3,0)*VLOOKUP('Données projet'!$B$17,Paramètres!$A$1:$I$89,5,0)</f>
        <v>-1.6493686416652052E-13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353.24082990916918</v>
      </c>
      <c r="GF160" s="59">
        <f t="shared" si="158"/>
        <v>219.76562717496353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0.63165481449516114</v>
      </c>
      <c r="GM160" s="21">
        <f>EXP(-LN(2)/25)*GM159+(1-EXP(-LN(2)/25))/(LN(2)/25)*Calculateur!GH160*Calculateur!GJ160*VLOOKUP('Données projet'!$B$17,Paramètres!$A$1:$I$89,3,0)*0.475*44/12</f>
        <v>0.29595675295960383</v>
      </c>
      <c r="GN160" s="21">
        <f>EXP(-LN(2)/2)*GN159+(1-EXP(-LN(2)/2))/(LN(2)/2)*GH160*GK160*VLOOKUP('Données projet'!$B$17,Paramètres!$A$1:$I$89,3,0)*0.475*44/12</f>
        <v>6.994456573681257E-19</v>
      </c>
      <c r="GO160" s="21">
        <f t="shared" si="187"/>
        <v>0.92761156745476492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378.17323480030268</v>
      </c>
      <c r="T161" s="59">
        <f t="shared" si="142"/>
        <v>471.89239871617241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0.34915391082513703</v>
      </c>
      <c r="AA161" s="21">
        <f>EXP(-LN(2)/25)*AA160+(1-EXP(-LN(2)/25))/(LN(2)/25)*Calculateur!V161*Calculateur!X161*VLOOKUP('Données projet'!$B$9,Paramètres!$A$1:$I$89,3,0)*0.475*44/12</f>
        <v>0.59816209977703783</v>
      </c>
      <c r="AB161" s="21">
        <f>EXP(-LN(2)/2)*AB160+(1-EXP(-LN(2)/2))/(LN(2)/2)*V161*Y161*VLOOKUP('Données projet'!$B$9,Paramètres!$A$1:$I$89,3,0)*0.475*44/12</f>
        <v>5.6706977064759457E-19</v>
      </c>
      <c r="AC161" s="22">
        <f t="shared" si="163"/>
        <v>0.94731601060217485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141.22849894256314</v>
      </c>
      <c r="AO161" s="59">
        <f t="shared" si="144"/>
        <v>156.12101479343704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0.58303220975786829</v>
      </c>
      <c r="AV161" s="21">
        <f>EXP(-LN(2)/25)*AV160+(1-EXP(-LN(2)/25))/(LN(2)/25)*Calculateur!AQ161*Calculateur!AS161*VLOOKUP('Données projet'!$B$10,Paramètres!$A$1:$I$89,3,0)*0.475*44/12</f>
        <v>0.17318327642267567</v>
      </c>
      <c r="AW161" s="21">
        <f>EXP(-LN(2)/2)*AW160+(1-EXP(-LN(2)/2))/(LN(2)/2)*AQ161*AT161*VLOOKUP('Données projet'!$B$10,Paramètres!$A$1:$I$89,3,0)*0.475*44/12</f>
        <v>1.6035193085414666E-19</v>
      </c>
      <c r="AX161" s="21">
        <f t="shared" si="166"/>
        <v>0.75621548618054391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114.25511901730295</v>
      </c>
      <c r="BJ161" s="59">
        <f t="shared" si="146"/>
        <v>180.96261947642182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0.27096268187204853</v>
      </c>
      <c r="BQ161" s="21">
        <f>EXP(-LN(2)/25)*BQ160+(1-EXP(-LN(2)/25))/(LN(2)/25)*Calculateur!BL161*Calculateur!BN161*VLOOKUP('Données projet'!$B$11,Paramètres!$A$1:$I$89,3,0)*0.475*44/12</f>
        <v>0.51229136680518228</v>
      </c>
      <c r="BR161" s="21">
        <f>EXP(-LN(2)/2)*BR160+(1-EXP(-LN(2)/2))/(LN(2)/2)*BL161*BO161*VLOOKUP('Données projet'!$B$11,Paramètres!$A$1:$I$89,3,0)*0.475*44/12</f>
        <v>3.7036685232267744E-19</v>
      </c>
      <c r="BS161" s="22">
        <f t="shared" si="169"/>
        <v>0.78325404867723081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4.4337866711430253E-14</v>
      </c>
      <c r="CA161" s="13">
        <f t="shared" si="170"/>
        <v>7.3222115536967035E-13</v>
      </c>
      <c r="CB161" s="20">
        <f t="shared" si="171"/>
        <v>1.3525069634579169E-12</v>
      </c>
      <c r="CC161" s="59">
        <f t="shared" si="119"/>
        <v>293.33333333333468</v>
      </c>
      <c r="CD161" s="59">
        <f ca="1">AVERAGE(OFFSET($CC$3,0,0,'Données projet'!$E$12+1,1))-AVERAGE(OFFSET($H$3,0,0,'Données projet'!$E$12+1,1))</f>
        <v>216.95993967070063</v>
      </c>
      <c r="CE161" s="59">
        <f t="shared" si="148"/>
        <v>208.79744153433245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0.4095409360503931</v>
      </c>
      <c r="CL161" s="21">
        <f>EXP(-LN(2)/25)*CL160+(1-EXP(-LN(2)/25))/(LN(2)/25)*Calculateur!CG161*Calculateur!CI161*VLOOKUP('Données projet'!$B$12,Paramètres!$A$1:$I$89,3,0)*0.475*44/12</f>
        <v>0.18453662369408028</v>
      </c>
      <c r="CM161" s="21">
        <f>EXP(-LN(2)/2)*CM160+(1-EXP(-LN(2)/2))/(LN(2)/2)*CG161*CJ161*VLOOKUP('Données projet'!$B$12,Paramètres!$A$1:$I$89,3,0)*0.475*44/12</f>
        <v>6.6874043005869829E-20</v>
      </c>
      <c r="CN161" s="22">
        <f t="shared" si="172"/>
        <v>0.5940775597444734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3.813056537183002E-14</v>
      </c>
      <c r="CV161" s="13">
        <f t="shared" si="173"/>
        <v>6.4086286045526829E-13</v>
      </c>
      <c r="CW161" s="20">
        <f t="shared" si="174"/>
        <v>1.1825802166488628E-12</v>
      </c>
      <c r="CX161" s="59">
        <f t="shared" si="122"/>
        <v>293.33333333333451</v>
      </c>
      <c r="CY161" s="59">
        <f ca="1">AVERAGE(OFFSET($CX$3,0,0,'Données projet'!$E$13+1,1))-AVERAGE(OFFSET($H$3,0,0,'Données projet'!$E$13+1,1))</f>
        <v>181.32837315090507</v>
      </c>
      <c r="CZ161" s="59">
        <f t="shared" si="150"/>
        <v>175.03267817980338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0.4341133922134161</v>
      </c>
      <c r="DG161" s="21">
        <f>EXP(-LN(2)/25)*DG160+(1-EXP(-LN(2)/25))/(LN(2)/25)*Calculateur!DB161*Calculateur!DD161*VLOOKUP('Données projet'!$B$13,Paramètres!$A$1:$I$89,3,0)*0.475*44/12</f>
        <v>0.19560882111572517</v>
      </c>
      <c r="DH161" s="21">
        <f>EXP(-LN(2)/2)*DH160+(1-EXP(-LN(2)/2))/(LN(2)/2)*DB161*DE161*VLOOKUP('Données projet'!$B$13,Paramètres!$A$1:$I$89,3,0)*0.475*44/12</f>
        <v>5.7511676985048028E-20</v>
      </c>
      <c r="DI161" s="22">
        <f t="shared" si="175"/>
        <v>0.62972221332914124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-2.8421709430404007E-13</v>
      </c>
      <c r="DP161" s="17">
        <f>DO161*VLOOKUP('Données projet'!$B$14,Paramètres!$A$1:$I$89,3,0)*VLOOKUP('Données projet'!$B$14,Paramètres!$A$1:$I$89,5,0)</f>
        <v>-2.2612312022829427E-13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325.72928944930294</v>
      </c>
      <c r="DU161" s="59">
        <f t="shared" si="152"/>
        <v>318.38876834819752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1.3724547244927545</v>
      </c>
      <c r="EB161" s="21">
        <f>EXP(-LN(2)/25)*EB160+(1-EXP(-LN(2)/25))/(LN(2)/25)*Calculateur!DW161*Calculateur!DY161*VLOOKUP('Données projet'!$B$14,Paramètres!$A$1:$I$89,3,0)*0.475*44/12</f>
        <v>0.59466784342307122</v>
      </c>
      <c r="EC161" s="21">
        <f>EXP(-LN(2)/2)*EC160+(1-EXP(-LN(2)/2))/(LN(2)/2)*DW161*DZ161*VLOOKUP('Données projet'!$B$14,Paramètres!$A$1:$I$89,3,0)*0.475*44/12</f>
        <v>6.4129046225257064E-19</v>
      </c>
      <c r="ED161" s="22">
        <f t="shared" si="178"/>
        <v>1.9671225679158257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-5.7639226724859328E-14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384.50065773787549</v>
      </c>
      <c r="EP161" s="59">
        <f t="shared" si="154"/>
        <v>231.92898690465887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0.6492330512182235</v>
      </c>
      <c r="EW161" s="21">
        <f>EXP(-LN(2)/25)*EW160+(1-EXP(-LN(2)/25))/(LN(2)/25)*Calculateur!ER161*Calculateur!ET161*VLOOKUP('Données projet'!$B$15,Paramètres!$A$1:$I$89,3,0)*0.475*44/12</f>
        <v>0.30179269353395521</v>
      </c>
      <c r="EX161" s="21">
        <f>EXP(-LN(2)/2)*EX160+(1-EXP(-LN(2)/2))/(LN(2)/2)*ER161*EU161*VLOOKUP('Données projet'!$B$15,Paramètres!$A$1:$I$89,3,0)*0.475*44/12</f>
        <v>5.1851419162534616E-19</v>
      </c>
      <c r="EY161" s="22">
        <f t="shared" si="181"/>
        <v>0.95102574475217871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-1.5429577615577727E-13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326.46362829268969</v>
      </c>
      <c r="FK161" s="59">
        <f t="shared" si="156"/>
        <v>203.5274665601915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0.57931564570241445</v>
      </c>
      <c r="FR161" s="21">
        <f>EXP(-LN(2)/25)*FR160+(1-EXP(-LN(2)/25))/(LN(2)/25)*Calculateur!FM161*Calculateur!FO161*VLOOKUP('Données projet'!$B$16,Paramètres!$A$1:$I$89,3,0)*0.475*44/12</f>
        <v>0.26929194192260569</v>
      </c>
      <c r="FS161" s="21">
        <f>EXP(-LN(2)/2)*FS160+(1-EXP(-LN(2)/2))/(LN(2)/2)*FM161*FP161*VLOOKUP('Données projet'!$B$16,Paramètres!$A$1:$I$89,3,0)*0.475*44/12</f>
        <v>4.6267420175800117E-19</v>
      </c>
      <c r="FT161" s="22">
        <f t="shared" si="184"/>
        <v>0.84860758762502009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-1.7053025658242404E-13</v>
      </c>
      <c r="GA161" s="17">
        <f>FZ161*VLOOKUP('Données projet'!$B$17,Paramètres!$A$1:$I$89,3,0)*VLOOKUP('Données projet'!$B$17,Paramètres!$A$1:$I$89,5,0)</f>
        <v>-1.6493686416652052E-13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353.24082990916918</v>
      </c>
      <c r="GF161" s="59">
        <f t="shared" si="158"/>
        <v>219.76562717496353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0.61926844885430543</v>
      </c>
      <c r="GM161" s="21">
        <f>EXP(-LN(2)/25)*GM160+(1-EXP(-LN(2)/25))/(LN(2)/25)*Calculateur!GH161*Calculateur!GJ161*VLOOKUP('Données projet'!$B$17,Paramètres!$A$1:$I$89,3,0)*0.475*44/12</f>
        <v>0.28786379998623424</v>
      </c>
      <c r="GN161" s="21">
        <f>EXP(-LN(2)/2)*GN160+(1-EXP(-LN(2)/2))/(LN(2)/2)*GH161*GK161*VLOOKUP('Données projet'!$B$17,Paramètres!$A$1:$I$89,3,0)*0.475*44/12</f>
        <v>4.9458276739648415E-19</v>
      </c>
      <c r="GO161" s="21">
        <f t="shared" si="187"/>
        <v>0.90713224884053967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378.17323480030268</v>
      </c>
      <c r="T162" s="59">
        <f t="shared" si="142"/>
        <v>471.89239871617241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0.34230721559671334</v>
      </c>
      <c r="AA162" s="21">
        <f>EXP(-LN(2)/25)*AA161+(1-EXP(-LN(2)/25))/(LN(2)/25)*Calculateur!V162*Calculateur!X162*VLOOKUP('Données projet'!$B$9,Paramètres!$A$1:$I$89,3,0)*0.475*44/12</f>
        <v>0.58180532570265697</v>
      </c>
      <c r="AB162" s="21">
        <f>EXP(-LN(2)/2)*AB161+(1-EXP(-LN(2)/2))/(LN(2)/2)*V162*Y162*VLOOKUP('Données projet'!$B$9,Paramètres!$A$1:$I$89,3,0)*0.475*44/12</f>
        <v>4.0097888023081435E-19</v>
      </c>
      <c r="AC162" s="22">
        <f t="shared" si="163"/>
        <v>0.92411254129937026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141.22849894256314</v>
      </c>
      <c r="AO162" s="59">
        <f t="shared" si="144"/>
        <v>156.12101479343704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0.57159930373905043</v>
      </c>
      <c r="AV162" s="21">
        <f>EXP(-LN(2)/25)*AV161+(1-EXP(-LN(2)/25))/(LN(2)/25)*Calculateur!AQ162*Calculateur!AS162*VLOOKUP('Données projet'!$B$10,Paramètres!$A$1:$I$89,3,0)*0.475*44/12</f>
        <v>0.16844757062158491</v>
      </c>
      <c r="AW162" s="21">
        <f>EXP(-LN(2)/2)*AW161+(1-EXP(-LN(2)/2))/(LN(2)/2)*AQ162*AT162*VLOOKUP('Données projet'!$B$10,Paramètres!$A$1:$I$89,3,0)*0.475*44/12</f>
        <v>1.1338593768332348E-19</v>
      </c>
      <c r="AX162" s="21">
        <f t="shared" si="166"/>
        <v>0.74004687436063532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114.25511901730295</v>
      </c>
      <c r="BJ162" s="59">
        <f t="shared" si="146"/>
        <v>180.96261947642182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0.26564926895145446</v>
      </c>
      <c r="BQ162" s="21">
        <f>EXP(-LN(2)/25)*BQ161+(1-EXP(-LN(2)/25))/(LN(2)/25)*Calculateur!BL162*Calculateur!BN162*VLOOKUP('Données projet'!$B$11,Paramètres!$A$1:$I$89,3,0)*0.475*44/12</f>
        <v>0.49828273243966242</v>
      </c>
      <c r="BR162" s="21">
        <f>EXP(-LN(2)/2)*BR161+(1-EXP(-LN(2)/2))/(LN(2)/2)*BL162*BO162*VLOOKUP('Données projet'!$B$11,Paramètres!$A$1:$I$89,3,0)*0.475*44/12</f>
        <v>2.6188891280408183E-19</v>
      </c>
      <c r="BS162" s="22">
        <f t="shared" si="169"/>
        <v>0.76393200139111683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4.4337866711430253E-14</v>
      </c>
      <c r="CA162" s="13">
        <f t="shared" si="170"/>
        <v>7.3222115536967035E-13</v>
      </c>
      <c r="CB162" s="20">
        <f t="shared" si="171"/>
        <v>1.3525069634579169E-12</v>
      </c>
      <c r="CC162" s="59">
        <f t="shared" si="119"/>
        <v>293.33333333333468</v>
      </c>
      <c r="CD162" s="59">
        <f ca="1">AVERAGE(OFFSET($CC$3,0,0,'Données projet'!$E$12+1,1))-AVERAGE(OFFSET($H$3,0,0,'Données projet'!$E$12+1,1))</f>
        <v>216.95993967070063</v>
      </c>
      <c r="CE162" s="59">
        <f t="shared" si="148"/>
        <v>208.79744153433245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0.40151008808975064</v>
      </c>
      <c r="CL162" s="21">
        <f>EXP(-LN(2)/25)*CL161+(1-EXP(-LN(2)/25))/(LN(2)/25)*Calculateur!CG162*Calculateur!CI162*VLOOKUP('Données projet'!$B$12,Paramètres!$A$1:$I$89,3,0)*0.475*44/12</f>
        <v>0.17949046001480637</v>
      </c>
      <c r="CM162" s="21">
        <f>EXP(-LN(2)/2)*CM161+(1-EXP(-LN(2)/2))/(LN(2)/2)*CG162*CJ162*VLOOKUP('Données projet'!$B$12,Paramètres!$A$1:$I$89,3,0)*0.475*44/12</f>
        <v>4.7287089294811367E-20</v>
      </c>
      <c r="CN162" s="22">
        <f t="shared" si="172"/>
        <v>0.58100054810455704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3.813056537183002E-14</v>
      </c>
      <c r="CV162" s="13">
        <f t="shared" si="173"/>
        <v>6.4086286045526829E-13</v>
      </c>
      <c r="CW162" s="20">
        <f t="shared" si="174"/>
        <v>1.1825802166488628E-12</v>
      </c>
      <c r="CX162" s="59">
        <f t="shared" si="122"/>
        <v>293.33333333333451</v>
      </c>
      <c r="CY162" s="59">
        <f ca="1">AVERAGE(OFFSET($CX$3,0,0,'Données projet'!$E$13+1,1))-AVERAGE(OFFSET($H$3,0,0,'Données projet'!$E$13+1,1))</f>
        <v>181.32837315090507</v>
      </c>
      <c r="CZ162" s="59">
        <f t="shared" si="150"/>
        <v>175.03267817980338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0.42560069337513512</v>
      </c>
      <c r="DG162" s="21">
        <f>EXP(-LN(2)/25)*DG161+(1-EXP(-LN(2)/25))/(LN(2)/25)*Calculateur!DB162*Calculateur!DD162*VLOOKUP('Données projet'!$B$13,Paramètres!$A$1:$I$89,3,0)*0.475*44/12</f>
        <v>0.19025988761569482</v>
      </c>
      <c r="DH162" s="21">
        <f>EXP(-LN(2)/2)*DH161+(1-EXP(-LN(2)/2))/(LN(2)/2)*DB162*DE162*VLOOKUP('Données projet'!$B$13,Paramètres!$A$1:$I$89,3,0)*0.475*44/12</f>
        <v>4.0666896793537758E-20</v>
      </c>
      <c r="DI162" s="22">
        <f t="shared" si="175"/>
        <v>0.61586058099082996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-2.8421709430404007E-13</v>
      </c>
      <c r="DP162" s="17">
        <f>DO162*VLOOKUP('Données projet'!$B$14,Paramètres!$A$1:$I$89,3,0)*VLOOKUP('Données projet'!$B$14,Paramètres!$A$1:$I$89,5,0)</f>
        <v>-2.2612312022829427E-13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325.72928944930294</v>
      </c>
      <c r="DU162" s="59">
        <f t="shared" si="152"/>
        <v>318.38876834819752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1.3455417244601753</v>
      </c>
      <c r="EB162" s="21">
        <f>EXP(-LN(2)/25)*EB161+(1-EXP(-LN(2)/25))/(LN(2)/25)*Calculateur!DW162*Calculateur!DY162*VLOOKUP('Données projet'!$B$14,Paramètres!$A$1:$I$89,3,0)*0.475*44/12</f>
        <v>0.57840661997244458</v>
      </c>
      <c r="EC162" s="21">
        <f>EXP(-LN(2)/2)*EC161+(1-EXP(-LN(2)/2))/(LN(2)/2)*DW162*DZ162*VLOOKUP('Données projet'!$B$14,Paramètres!$A$1:$I$89,3,0)*0.475*44/12</f>
        <v>4.5346083456904837E-19</v>
      </c>
      <c r="ED162" s="22">
        <f t="shared" si="178"/>
        <v>1.92394834443262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-5.7639226724859328E-14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384.50065773787549</v>
      </c>
      <c r="EP162" s="59">
        <f t="shared" si="154"/>
        <v>231.92898690465887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0.63650198707689432</v>
      </c>
      <c r="EW162" s="21">
        <f>EXP(-LN(2)/25)*EW161+(1-EXP(-LN(2)/25))/(LN(2)/25)*Calculateur!ER162*Calculateur!ET162*VLOOKUP('Données projet'!$B$15,Paramètres!$A$1:$I$89,3,0)*0.475*44/12</f>
        <v>0.2935401564586812</v>
      </c>
      <c r="EX162" s="21">
        <f>EXP(-LN(2)/2)*EX161+(1-EXP(-LN(2)/2))/(LN(2)/2)*ER162*EU162*VLOOKUP('Données projet'!$B$15,Paramètres!$A$1:$I$89,3,0)*0.475*44/12</f>
        <v>3.6664490103974322E-19</v>
      </c>
      <c r="EY162" s="22">
        <f t="shared" si="181"/>
        <v>0.93004214353557546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-1.5429577615577727E-13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326.46362829268969</v>
      </c>
      <c r="FK162" s="59">
        <f t="shared" si="156"/>
        <v>203.5274665601915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0.56795561923784377</v>
      </c>
      <c r="FR162" s="21">
        <f>EXP(-LN(2)/25)*FR161+(1-EXP(-LN(2)/25))/(LN(2)/25)*Calculateur!FM162*Calculateur!FO162*VLOOKUP('Données projet'!$B$16,Paramètres!$A$1:$I$89,3,0)*0.475*44/12</f>
        <v>0.26192813960928429</v>
      </c>
      <c r="FS162" s="21">
        <f>EXP(-LN(2)/2)*FS161+(1-EXP(-LN(2)/2))/(LN(2)/2)*FM162*FP162*VLOOKUP('Données projet'!$B$16,Paramètres!$A$1:$I$89,3,0)*0.475*44/12</f>
        <v>3.2716006554315548E-19</v>
      </c>
      <c r="FT162" s="22">
        <f t="shared" si="184"/>
        <v>0.82988375884712806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-1.7053025658242404E-13</v>
      </c>
      <c r="GA162" s="17">
        <f>FZ162*VLOOKUP('Données projet'!$B$17,Paramètres!$A$1:$I$89,3,0)*VLOOKUP('Données projet'!$B$17,Paramètres!$A$1:$I$89,5,0)</f>
        <v>-1.6493686416652052E-13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353.24082990916918</v>
      </c>
      <c r="GF162" s="59">
        <f t="shared" si="158"/>
        <v>219.76562717496353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0.60712497228872986</v>
      </c>
      <c r="GM162" s="21">
        <f>EXP(-LN(2)/25)*GM161+(1-EXP(-LN(2)/25))/(LN(2)/25)*Calculateur!GH162*Calculateur!GJ162*VLOOKUP('Données projet'!$B$17,Paramètres!$A$1:$I$89,3,0)*0.475*44/12</f>
        <v>0.27999214923751137</v>
      </c>
      <c r="GN162" s="21">
        <f>EXP(-LN(2)/2)*GN161+(1-EXP(-LN(2)/2))/(LN(2)/2)*GH162*GK162*VLOOKUP('Données projet'!$B$17,Paramètres!$A$1:$I$89,3,0)*0.475*44/12</f>
        <v>3.4972282868406285E-19</v>
      </c>
      <c r="GO162" s="21">
        <f t="shared" si="187"/>
        <v>0.88711712152624123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378.17323480030268</v>
      </c>
      <c r="T163" s="59">
        <f t="shared" si="142"/>
        <v>471.89239871617241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0.33559477988564734</v>
      </c>
      <c r="AA163" s="21">
        <f>EXP(-LN(2)/25)*AA162+(1-EXP(-LN(2)/25))/(LN(2)/25)*Calculateur!V163*Calculateur!X163*VLOOKUP('Données projet'!$B$9,Paramètres!$A$1:$I$89,3,0)*0.475*44/12</f>
        <v>0.56589582847550546</v>
      </c>
      <c r="AB163" s="21">
        <f>EXP(-LN(2)/2)*AB162+(1-EXP(-LN(2)/2))/(LN(2)/2)*V163*Y163*VLOOKUP('Données projet'!$B$9,Paramètres!$A$1:$I$89,3,0)*0.475*44/12</f>
        <v>2.8353488532379729E-19</v>
      </c>
      <c r="AC163" s="22">
        <f t="shared" si="163"/>
        <v>0.9014906083611528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141.22849894256314</v>
      </c>
      <c r="AO163" s="59">
        <f t="shared" si="144"/>
        <v>156.12101479343704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0.56039059003387748</v>
      </c>
      <c r="AV163" s="21">
        <f>EXP(-LN(2)/25)*AV162+(1-EXP(-LN(2)/25))/(LN(2)/25)*Calculateur!AQ163*Calculateur!AS163*VLOOKUP('Données projet'!$B$10,Paramètres!$A$1:$I$89,3,0)*0.475*44/12</f>
        <v>0.16384136294466492</v>
      </c>
      <c r="AW163" s="21">
        <f>EXP(-LN(2)/2)*AW162+(1-EXP(-LN(2)/2))/(LN(2)/2)*AQ163*AT163*VLOOKUP('Données projet'!$B$10,Paramètres!$A$1:$I$89,3,0)*0.475*44/12</f>
        <v>8.0175965427073332E-20</v>
      </c>
      <c r="AX163" s="21">
        <f t="shared" si="166"/>
        <v>0.72423195297854237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114.25511901730295</v>
      </c>
      <c r="BJ163" s="59">
        <f t="shared" si="146"/>
        <v>180.96261947642182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0.26044004881737137</v>
      </c>
      <c r="BQ163" s="21">
        <f>EXP(-LN(2)/25)*BQ162+(1-EXP(-LN(2)/25))/(LN(2)/25)*Calculateur!BL163*Calculateur!BN163*VLOOKUP('Données projet'!$B$11,Paramètres!$A$1:$I$89,3,0)*0.475*44/12</f>
        <v>0.48465716491754979</v>
      </c>
      <c r="BR163" s="21">
        <f>EXP(-LN(2)/2)*BR162+(1-EXP(-LN(2)/2))/(LN(2)/2)*BL163*BO163*VLOOKUP('Données projet'!$B$11,Paramètres!$A$1:$I$89,3,0)*0.475*44/12</f>
        <v>1.8518342616133872E-19</v>
      </c>
      <c r="BS163" s="22">
        <f t="shared" si="169"/>
        <v>0.74509721373492122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4.4337866711430253E-14</v>
      </c>
      <c r="CA163" s="13">
        <f t="shared" si="170"/>
        <v>7.3222115536967035E-13</v>
      </c>
      <c r="CB163" s="20">
        <f t="shared" si="171"/>
        <v>1.3525069634579169E-12</v>
      </c>
      <c r="CC163" s="59">
        <f t="shared" si="119"/>
        <v>293.33333333333468</v>
      </c>
      <c r="CD163" s="59">
        <f ca="1">AVERAGE(OFFSET($CC$3,0,0,'Données projet'!$E$12+1,1))-AVERAGE(OFFSET($H$3,0,0,'Données projet'!$E$12+1,1))</f>
        <v>216.95993967070063</v>
      </c>
      <c r="CE163" s="59">
        <f t="shared" si="148"/>
        <v>208.79744153433245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0.3936367201592828</v>
      </c>
      <c r="CL163" s="21">
        <f>EXP(-LN(2)/25)*CL162+(1-EXP(-LN(2)/25))/(LN(2)/25)*Calculateur!CG163*Calculateur!CI163*VLOOKUP('Données projet'!$B$12,Paramètres!$A$1:$I$89,3,0)*0.475*44/12</f>
        <v>0.17458228394670844</v>
      </c>
      <c r="CM163" s="21">
        <f>EXP(-LN(2)/2)*CM162+(1-EXP(-LN(2)/2))/(LN(2)/2)*CG163*CJ163*VLOOKUP('Données projet'!$B$12,Paramètres!$A$1:$I$89,3,0)*0.475*44/12</f>
        <v>3.3437021502934915E-20</v>
      </c>
      <c r="CN163" s="22">
        <f t="shared" si="172"/>
        <v>0.56821900410599124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3.813056537183002E-14</v>
      </c>
      <c r="CV163" s="13">
        <f t="shared" si="173"/>
        <v>6.4086286045526829E-13</v>
      </c>
      <c r="CW163" s="20">
        <f t="shared" si="174"/>
        <v>1.1825802166488628E-12</v>
      </c>
      <c r="CX163" s="59">
        <f t="shared" si="122"/>
        <v>293.33333333333451</v>
      </c>
      <c r="CY163" s="59">
        <f ca="1">AVERAGE(OFFSET($CX$3,0,0,'Données projet'!$E$13+1,1))-AVERAGE(OFFSET($H$3,0,0,'Données projet'!$E$13+1,1))</f>
        <v>181.32837315090507</v>
      </c>
      <c r="CZ163" s="59">
        <f t="shared" si="150"/>
        <v>175.03267817980338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0.41725492336883924</v>
      </c>
      <c r="DG163" s="21">
        <f>EXP(-LN(2)/25)*DG162+(1-EXP(-LN(2)/25))/(LN(2)/25)*Calculateur!DB163*Calculateur!DD163*VLOOKUP('Données projet'!$B$13,Paramètres!$A$1:$I$89,3,0)*0.475*44/12</f>
        <v>0.18505722098351099</v>
      </c>
      <c r="DH163" s="21">
        <f>EXP(-LN(2)/2)*DH162+(1-EXP(-LN(2)/2))/(LN(2)/2)*DB163*DE163*VLOOKUP('Données projet'!$B$13,Paramètres!$A$1:$I$89,3,0)*0.475*44/12</f>
        <v>2.8755838492524014E-20</v>
      </c>
      <c r="DI163" s="22">
        <f t="shared" si="175"/>
        <v>0.60231214435235025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-2.8421709430404007E-13</v>
      </c>
      <c r="DP163" s="17">
        <f>DO163*VLOOKUP('Données projet'!$B$14,Paramètres!$A$1:$I$89,3,0)*VLOOKUP('Données projet'!$B$14,Paramètres!$A$1:$I$89,5,0)</f>
        <v>-2.2612312022829427E-13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325.72928944930294</v>
      </c>
      <c r="DU163" s="59">
        <f t="shared" si="152"/>
        <v>318.38876834819752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1.3191564719429258</v>
      </c>
      <c r="EB163" s="21">
        <f>EXP(-LN(2)/25)*EB162+(1-EXP(-LN(2)/25))/(LN(2)/25)*Calculateur!DW163*Calculateur!DY163*VLOOKUP('Données projet'!$B$14,Paramètres!$A$1:$I$89,3,0)*0.475*44/12</f>
        <v>0.56259006053221594</v>
      </c>
      <c r="EC163" s="21">
        <f>EXP(-LN(2)/2)*EC162+(1-EXP(-LN(2)/2))/(LN(2)/2)*DW163*DZ163*VLOOKUP('Données projet'!$B$14,Paramètres!$A$1:$I$89,3,0)*0.475*44/12</f>
        <v>3.2064523112628532E-19</v>
      </c>
      <c r="ED163" s="22">
        <f t="shared" si="178"/>
        <v>1.8817465324751419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-5.7639226724859328E-14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384.50065773787549</v>
      </c>
      <c r="EP163" s="59">
        <f t="shared" si="154"/>
        <v>231.92898690465887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0.62402057133819422</v>
      </c>
      <c r="EW163" s="21">
        <f>EXP(-LN(2)/25)*EW162+(1-EXP(-LN(2)/25))/(LN(2)/25)*Calculateur!ER163*Calculateur!ET163*VLOOKUP('Données projet'!$B$15,Paramètres!$A$1:$I$89,3,0)*0.475*44/12</f>
        <v>0.28551328544371263</v>
      </c>
      <c r="EX163" s="21">
        <f>EXP(-LN(2)/2)*EX162+(1-EXP(-LN(2)/2))/(LN(2)/2)*ER163*EU163*VLOOKUP('Données projet'!$B$15,Paramètres!$A$1:$I$89,3,0)*0.475*44/12</f>
        <v>2.5925709581267308E-19</v>
      </c>
      <c r="EY163" s="22">
        <f t="shared" si="181"/>
        <v>0.9095338567819069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-1.5429577615577727E-13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326.46362829268969</v>
      </c>
      <c r="FK163" s="59">
        <f t="shared" si="156"/>
        <v>203.5274665601915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0.55681835596331142</v>
      </c>
      <c r="FR163" s="21">
        <f>EXP(-LN(2)/25)*FR162+(1-EXP(-LN(2)/25))/(LN(2)/25)*Calculateur!FM163*Calculateur!FO163*VLOOKUP('Données projet'!$B$16,Paramètres!$A$1:$I$89,3,0)*0.475*44/12</f>
        <v>0.25476570085746619</v>
      </c>
      <c r="FS163" s="21">
        <f>EXP(-LN(2)/2)*FS162+(1-EXP(-LN(2)/2))/(LN(2)/2)*FM163*FP163*VLOOKUP('Données projet'!$B$16,Paramètres!$A$1:$I$89,3,0)*0.475*44/12</f>
        <v>2.3133710087900059E-19</v>
      </c>
      <c r="FT163" s="22">
        <f t="shared" si="184"/>
        <v>0.81158405682077761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-1.7053025658242404E-13</v>
      </c>
      <c r="GA163" s="17">
        <f>FZ163*VLOOKUP('Données projet'!$B$17,Paramètres!$A$1:$I$89,3,0)*VLOOKUP('Données projet'!$B$17,Paramètres!$A$1:$I$89,5,0)</f>
        <v>-1.6493686416652052E-13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353.24082990916918</v>
      </c>
      <c r="GF163" s="59">
        <f t="shared" si="158"/>
        <v>219.76562717496353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0.59521962189181588</v>
      </c>
      <c r="GM163" s="21">
        <f>EXP(-LN(2)/25)*GM162+(1-EXP(-LN(2)/25))/(LN(2)/25)*Calculateur!GH163*Calculateur!GJ163*VLOOKUP('Données projet'!$B$17,Paramètres!$A$1:$I$89,3,0)*0.475*44/12</f>
        <v>0.27233574919246445</v>
      </c>
      <c r="GN163" s="21">
        <f>EXP(-LN(2)/2)*GN162+(1-EXP(-LN(2)/2))/(LN(2)/2)*GH163*GK163*VLOOKUP('Données projet'!$B$17,Paramètres!$A$1:$I$89,3,0)*0.475*44/12</f>
        <v>2.4729138369824207E-19</v>
      </c>
      <c r="GO163" s="21">
        <f t="shared" si="187"/>
        <v>0.86755537108428027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378.17323480030268</v>
      </c>
      <c r="T164" s="59">
        <f t="shared" si="142"/>
        <v>471.89239871617241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0.32901397094469381</v>
      </c>
      <c r="AA164" s="21">
        <f>EXP(-LN(2)/25)*AA163+(1-EXP(-LN(2)/25))/(LN(2)/25)*Calculateur!V164*Calculateur!X164*VLOOKUP('Données projet'!$B$9,Paramètres!$A$1:$I$89,3,0)*0.475*44/12</f>
        <v>0.55042137728667451</v>
      </c>
      <c r="AB164" s="21">
        <f>EXP(-LN(2)/2)*AB163+(1-EXP(-LN(2)/2))/(LN(2)/2)*V164*Y164*VLOOKUP('Données projet'!$B$9,Paramètres!$A$1:$I$89,3,0)*0.475*44/12</f>
        <v>2.0048944011540718E-19</v>
      </c>
      <c r="AC164" s="22">
        <f t="shared" si="163"/>
        <v>0.87943534823136837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141.22849894256314</v>
      </c>
      <c r="AO164" s="59">
        <f t="shared" si="144"/>
        <v>156.12101479343704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0.54940167236782267</v>
      </c>
      <c r="AV164" s="21">
        <f>EXP(-LN(2)/25)*AV163+(1-EXP(-LN(2)/25))/(LN(2)/25)*Calculateur!AQ164*Calculateur!AS164*VLOOKUP('Données projet'!$B$10,Paramètres!$A$1:$I$89,3,0)*0.475*44/12</f>
        <v>0.15936111225890023</v>
      </c>
      <c r="AW164" s="21">
        <f>EXP(-LN(2)/2)*AW163+(1-EXP(-LN(2)/2))/(LN(2)/2)*AQ164*AT164*VLOOKUP('Données projet'!$B$10,Paramètres!$A$1:$I$89,3,0)*0.475*44/12</f>
        <v>5.6692968841661741E-20</v>
      </c>
      <c r="AX164" s="21">
        <f t="shared" si="166"/>
        <v>0.70876278462672293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114.25511901730295</v>
      </c>
      <c r="BJ164" s="59">
        <f t="shared" si="146"/>
        <v>180.96261947642182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0.2553329783128071</v>
      </c>
      <c r="BQ164" s="21">
        <f>EXP(-LN(2)/25)*BQ163+(1-EXP(-LN(2)/25))/(LN(2)/25)*Calculateur!BL164*Calculateur!BN164*VLOOKUP('Données projet'!$B$11,Paramètres!$A$1:$I$89,3,0)*0.475*44/12</f>
        <v>0.4714041892558668</v>
      </c>
      <c r="BR164" s="21">
        <f>EXP(-LN(2)/2)*BR163+(1-EXP(-LN(2)/2))/(LN(2)/2)*BL164*BO164*VLOOKUP('Données projet'!$B$11,Paramètres!$A$1:$I$89,3,0)*0.475*44/12</f>
        <v>1.3094445640204092E-19</v>
      </c>
      <c r="BS164" s="22">
        <f t="shared" si="169"/>
        <v>0.7267371675686739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4.4337866711430253E-14</v>
      </c>
      <c r="CA164" s="13">
        <f t="shared" si="170"/>
        <v>7.3222115536967035E-13</v>
      </c>
      <c r="CB164" s="20">
        <f t="shared" si="171"/>
        <v>1.3525069634579169E-12</v>
      </c>
      <c r="CC164" s="59">
        <f t="shared" si="119"/>
        <v>293.33333333333468</v>
      </c>
      <c r="CD164" s="59">
        <f ca="1">AVERAGE(OFFSET($CC$3,0,0,'Données projet'!$E$12+1,1))-AVERAGE(OFFSET($H$3,0,0,'Données projet'!$E$12+1,1))</f>
        <v>216.95993967070063</v>
      </c>
      <c r="CE164" s="59">
        <f t="shared" si="148"/>
        <v>208.79744153433245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0.3859177441716512</v>
      </c>
      <c r="CL164" s="21">
        <f>EXP(-LN(2)/25)*CL163+(1-EXP(-LN(2)/25))/(LN(2)/25)*Calculateur!CG164*Calculateur!CI164*VLOOKUP('Données projet'!$B$12,Paramètres!$A$1:$I$89,3,0)*0.475*44/12</f>
        <v>0.1698083222113024</v>
      </c>
      <c r="CM164" s="21">
        <f>EXP(-LN(2)/2)*CM163+(1-EXP(-LN(2)/2))/(LN(2)/2)*CG164*CJ164*VLOOKUP('Données projet'!$B$12,Paramètres!$A$1:$I$89,3,0)*0.475*44/12</f>
        <v>2.3643544647405683E-20</v>
      </c>
      <c r="CN164" s="22">
        <f t="shared" si="172"/>
        <v>0.55572606638295363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3.813056537183002E-14</v>
      </c>
      <c r="CV164" s="13">
        <f t="shared" si="173"/>
        <v>6.4086286045526829E-13</v>
      </c>
      <c r="CW164" s="20">
        <f t="shared" si="174"/>
        <v>1.1825802166488628E-12</v>
      </c>
      <c r="CX164" s="59">
        <f t="shared" si="122"/>
        <v>293.33333333333451</v>
      </c>
      <c r="CY164" s="59">
        <f ca="1">AVERAGE(OFFSET($CX$3,0,0,'Données projet'!$E$13+1,1))-AVERAGE(OFFSET($H$3,0,0,'Données projet'!$E$13+1,1))</f>
        <v>181.32837315090507</v>
      </c>
      <c r="CZ164" s="59">
        <f t="shared" si="150"/>
        <v>175.03267817980338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0.40907280882194974</v>
      </c>
      <c r="DG164" s="21">
        <f>EXP(-LN(2)/25)*DG163+(1-EXP(-LN(2)/25))/(LN(2)/25)*Calculateur!DB164*Calculateur!DD164*VLOOKUP('Données projet'!$B$13,Paramètres!$A$1:$I$89,3,0)*0.475*44/12</f>
        <v>0.17999682154398058</v>
      </c>
      <c r="DH164" s="21">
        <f>EXP(-LN(2)/2)*DH163+(1-EXP(-LN(2)/2))/(LN(2)/2)*DB164*DE164*VLOOKUP('Données projet'!$B$13,Paramètres!$A$1:$I$89,3,0)*0.475*44/12</f>
        <v>2.0333448396768879E-20</v>
      </c>
      <c r="DI164" s="22">
        <f t="shared" si="175"/>
        <v>0.5890696303659303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-2.8421709430404007E-13</v>
      </c>
      <c r="DP164" s="17">
        <f>DO164*VLOOKUP('Données projet'!$B$14,Paramètres!$A$1:$I$89,3,0)*VLOOKUP('Données projet'!$B$14,Paramètres!$A$1:$I$89,5,0)</f>
        <v>-2.2612312022829427E-13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325.72928944930294</v>
      </c>
      <c r="DU164" s="59">
        <f t="shared" si="152"/>
        <v>318.38876834819752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1.2932886181341248</v>
      </c>
      <c r="EB164" s="21">
        <f>EXP(-LN(2)/25)*EB163+(1-EXP(-LN(2)/25))/(LN(2)/25)*Calculateur!DW164*Calculateur!DY164*VLOOKUP('Données projet'!$B$14,Paramètres!$A$1:$I$89,3,0)*0.475*44/12</f>
        <v>0.54720600574163702</v>
      </c>
      <c r="EC164" s="21">
        <f>EXP(-LN(2)/2)*EC163+(1-EXP(-LN(2)/2))/(LN(2)/2)*DW164*DZ164*VLOOKUP('Données projet'!$B$14,Paramètres!$A$1:$I$89,3,0)*0.475*44/12</f>
        <v>2.2673041728452418E-19</v>
      </c>
      <c r="ED164" s="22">
        <f t="shared" si="178"/>
        <v>1.8404946238757618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-5.7639226724859328E-14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384.50065773787549</v>
      </c>
      <c r="EP164" s="59">
        <f t="shared" si="154"/>
        <v>231.92898690465887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0.61178390854921816</v>
      </c>
      <c r="EW164" s="21">
        <f>EXP(-LN(2)/25)*EW163+(1-EXP(-LN(2)/25))/(LN(2)/25)*Calculateur!ER164*Calculateur!ET164*VLOOKUP('Données projet'!$B$15,Paramètres!$A$1:$I$89,3,0)*0.475*44/12</f>
        <v>0.27770590963876318</v>
      </c>
      <c r="EX164" s="21">
        <f>EXP(-LN(2)/2)*EX163+(1-EXP(-LN(2)/2))/(LN(2)/2)*ER164*EU164*VLOOKUP('Données projet'!$B$15,Paramètres!$A$1:$I$89,3,0)*0.475*44/12</f>
        <v>1.8332245051987161E-19</v>
      </c>
      <c r="EY164" s="22">
        <f t="shared" si="181"/>
        <v>0.88948981818798134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-1.5429577615577727E-13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326.46362829268969</v>
      </c>
      <c r="FK164" s="59">
        <f t="shared" si="156"/>
        <v>203.5274665601915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0.5458994876285328</v>
      </c>
      <c r="FR164" s="21">
        <f>EXP(-LN(2)/25)*FR163+(1-EXP(-LN(2)/25))/(LN(2)/25)*Calculateur!FM164*Calculateur!FO164*VLOOKUP('Données projet'!$B$16,Paramètres!$A$1:$I$89,3,0)*0.475*44/12</f>
        <v>0.24779911936997284</v>
      </c>
      <c r="FS164" s="21">
        <f>EXP(-LN(2)/2)*FS163+(1-EXP(-LN(2)/2))/(LN(2)/2)*FM164*FP164*VLOOKUP('Données projet'!$B$16,Paramètres!$A$1:$I$89,3,0)*0.475*44/12</f>
        <v>1.6358003277157774E-19</v>
      </c>
      <c r="FT164" s="22">
        <f t="shared" si="184"/>
        <v>0.7936986069985057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-1.7053025658242404E-13</v>
      </c>
      <c r="GA164" s="17">
        <f>FZ164*VLOOKUP('Données projet'!$B$17,Paramètres!$A$1:$I$89,3,0)*VLOOKUP('Données projet'!$B$17,Paramètres!$A$1:$I$89,5,0)</f>
        <v>-1.6493686416652052E-13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353.24082990916918</v>
      </c>
      <c r="GF164" s="59">
        <f t="shared" si="158"/>
        <v>219.76562717496353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0.58354772815463873</v>
      </c>
      <c r="GM164" s="21">
        <f>EXP(-LN(2)/25)*GM163+(1-EXP(-LN(2)/25))/(LN(2)/25)*Calculateur!GH164*Calculateur!GJ164*VLOOKUP('Données projet'!$B$17,Paramètres!$A$1:$I$89,3,0)*0.475*44/12</f>
        <v>0.26488871380928192</v>
      </c>
      <c r="GN164" s="21">
        <f>EXP(-LN(2)/2)*GN163+(1-EXP(-LN(2)/2))/(LN(2)/2)*GH164*GK164*VLOOKUP('Données projet'!$B$17,Paramètres!$A$1:$I$89,3,0)*0.475*44/12</f>
        <v>1.7486141434203143E-19</v>
      </c>
      <c r="GO164" s="21">
        <f t="shared" si="187"/>
        <v>0.84843644196392065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378.17323480030268</v>
      </c>
      <c r="T165" s="59">
        <f t="shared" si="142"/>
        <v>471.89239871617241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0.32256220765317528</v>
      </c>
      <c r="AA165" s="21">
        <f>EXP(-LN(2)/25)*AA164+(1-EXP(-LN(2)/25))/(LN(2)/25)*Calculateur!V165*Calculateur!X165*VLOOKUP('Données projet'!$B$9,Paramètres!$A$1:$I$89,3,0)*0.475*44/12</f>
        <v>0.53537007577936813</v>
      </c>
      <c r="AB165" s="21">
        <f>EXP(-LN(2)/2)*AB164+(1-EXP(-LN(2)/2))/(LN(2)/2)*V165*Y165*VLOOKUP('Données projet'!$B$9,Paramètres!$A$1:$I$89,3,0)*0.475*44/12</f>
        <v>1.4176744266189864E-19</v>
      </c>
      <c r="AC165" s="22">
        <f t="shared" si="163"/>
        <v>0.85793228343254335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141.22849894256314</v>
      </c>
      <c r="AO165" s="59">
        <f t="shared" si="144"/>
        <v>156.12101479343704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0.53862824067462123</v>
      </c>
      <c r="AV165" s="21">
        <f>EXP(-LN(2)/25)*AV164+(1-EXP(-LN(2)/25))/(LN(2)/25)*Calculateur!AQ165*Calculateur!AS165*VLOOKUP('Données projet'!$B$10,Paramètres!$A$1:$I$89,3,0)*0.475*44/12</f>
        <v>0.15500337426374394</v>
      </c>
      <c r="AW165" s="21">
        <f>EXP(-LN(2)/2)*AW164+(1-EXP(-LN(2)/2))/(LN(2)/2)*AQ165*AT165*VLOOKUP('Données projet'!$B$10,Paramètres!$A$1:$I$89,3,0)*0.475*44/12</f>
        <v>4.0087982713536666E-20</v>
      </c>
      <c r="AX165" s="21">
        <f t="shared" si="166"/>
        <v>0.69363161493836523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114.25511901730295</v>
      </c>
      <c r="BJ165" s="59">
        <f t="shared" si="146"/>
        <v>180.96261947642182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0.25032605434583188</v>
      </c>
      <c r="BQ165" s="21">
        <f>EXP(-LN(2)/25)*BQ164+(1-EXP(-LN(2)/25))/(LN(2)/25)*Calculateur!BL165*Calculateur!BN165*VLOOKUP('Données projet'!$B$11,Paramètres!$A$1:$I$89,3,0)*0.475*44/12</f>
        <v>0.45851361691059622</v>
      </c>
      <c r="BR165" s="21">
        <f>EXP(-LN(2)/2)*BR164+(1-EXP(-LN(2)/2))/(LN(2)/2)*BL165*BO165*VLOOKUP('Données projet'!$B$11,Paramètres!$A$1:$I$89,3,0)*0.475*44/12</f>
        <v>9.259171308066936E-20</v>
      </c>
      <c r="BS165" s="22">
        <f t="shared" si="169"/>
        <v>0.70883967125642811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4.4337866711430253E-14</v>
      </c>
      <c r="CA165" s="13">
        <f t="shared" si="170"/>
        <v>7.3222115536967035E-13</v>
      </c>
      <c r="CB165" s="20">
        <f t="shared" si="171"/>
        <v>1.3525069634579169E-12</v>
      </c>
      <c r="CC165" s="59">
        <f t="shared" si="119"/>
        <v>293.33333333333468</v>
      </c>
      <c r="CD165" s="59">
        <f ca="1">AVERAGE(OFFSET($CC$3,0,0,'Données projet'!$E$12+1,1))-AVERAGE(OFFSET($H$3,0,0,'Données projet'!$E$12+1,1))</f>
        <v>216.95993967070063</v>
      </c>
      <c r="CE165" s="59">
        <f t="shared" si="148"/>
        <v>208.79744153433245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0.37835013259502659</v>
      </c>
      <c r="CL165" s="21">
        <f>EXP(-LN(2)/25)*CL164+(1-EXP(-LN(2)/25))/(LN(2)/25)*Calculateur!CG165*Calculateur!CI165*VLOOKUP('Données projet'!$B$12,Paramètres!$A$1:$I$89,3,0)*0.475*44/12</f>
        <v>0.16516490471060277</v>
      </c>
      <c r="CM165" s="21">
        <f>EXP(-LN(2)/2)*CM164+(1-EXP(-LN(2)/2))/(LN(2)/2)*CG165*CJ165*VLOOKUP('Données projet'!$B$12,Paramètres!$A$1:$I$89,3,0)*0.475*44/12</f>
        <v>1.6718510751467457E-20</v>
      </c>
      <c r="CN165" s="22">
        <f t="shared" si="172"/>
        <v>0.54351503730562933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3.813056537183002E-14</v>
      </c>
      <c r="CV165" s="13">
        <f t="shared" si="173"/>
        <v>6.4086286045526829E-13</v>
      </c>
      <c r="CW165" s="20">
        <f t="shared" si="174"/>
        <v>1.1825802166488628E-12</v>
      </c>
      <c r="CX165" s="59">
        <f t="shared" si="122"/>
        <v>293.33333333333451</v>
      </c>
      <c r="CY165" s="59">
        <f ca="1">AVERAGE(OFFSET($CX$3,0,0,'Données projet'!$E$13+1,1))-AVERAGE(OFFSET($H$3,0,0,'Données projet'!$E$13+1,1))</f>
        <v>181.32837315090507</v>
      </c>
      <c r="CZ165" s="59">
        <f t="shared" si="150"/>
        <v>175.03267817980338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0.40105114055072766</v>
      </c>
      <c r="DG165" s="21">
        <f>EXP(-LN(2)/25)*DG164+(1-EXP(-LN(2)/25))/(LN(2)/25)*Calculateur!DB165*Calculateur!DD165*VLOOKUP('Données projet'!$B$13,Paramètres!$A$1:$I$89,3,0)*0.475*44/12</f>
        <v>0.17507479899323897</v>
      </c>
      <c r="DH165" s="21">
        <f>EXP(-LN(2)/2)*DH164+(1-EXP(-LN(2)/2))/(LN(2)/2)*DB165*DE165*VLOOKUP('Données projet'!$B$13,Paramètres!$A$1:$I$89,3,0)*0.475*44/12</f>
        <v>1.4377919246262007E-20</v>
      </c>
      <c r="DI165" s="22">
        <f t="shared" si="175"/>
        <v>0.57612593954396663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-2.8421709430404007E-13</v>
      </c>
      <c r="DP165" s="17">
        <f>DO165*VLOOKUP('Données projet'!$B$14,Paramètres!$A$1:$I$89,3,0)*VLOOKUP('Données projet'!$B$14,Paramètres!$A$1:$I$89,5,0)</f>
        <v>-2.2612312022829427E-13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325.72928944930294</v>
      </c>
      <c r="DU165" s="59">
        <f t="shared" si="152"/>
        <v>318.38876834819752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1.2679280171606813</v>
      </c>
      <c r="EB165" s="21">
        <f>EXP(-LN(2)/25)*EB164+(1-EXP(-LN(2)/25))/(LN(2)/25)*Calculateur!DW165*Calculateur!DY165*VLOOKUP('Données projet'!$B$14,Paramètres!$A$1:$I$89,3,0)*0.475*44/12</f>
        <v>0.53224262873831873</v>
      </c>
      <c r="EC165" s="21">
        <f>EXP(-LN(2)/2)*EC164+(1-EXP(-LN(2)/2))/(LN(2)/2)*DW165*DZ165*VLOOKUP('Données projet'!$B$14,Paramètres!$A$1:$I$89,3,0)*0.475*44/12</f>
        <v>1.6032261556314266E-19</v>
      </c>
      <c r="ED165" s="22">
        <f t="shared" si="178"/>
        <v>1.8001706458990001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-5.7639226724859328E-14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384.50065773787549</v>
      </c>
      <c r="EP165" s="59">
        <f t="shared" si="154"/>
        <v>231.92898690465887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0.59978719925390656</v>
      </c>
      <c r="EW165" s="21">
        <f>EXP(-LN(2)/25)*EW164+(1-EXP(-LN(2)/25))/(LN(2)/25)*Calculateur!ER165*Calculateur!ET165*VLOOKUP('Données projet'!$B$15,Paramètres!$A$1:$I$89,3,0)*0.475*44/12</f>
        <v>0.27011202693577213</v>
      </c>
      <c r="EX165" s="21">
        <f>EXP(-LN(2)/2)*EX164+(1-EXP(-LN(2)/2))/(LN(2)/2)*ER165*EU165*VLOOKUP('Données projet'!$B$15,Paramètres!$A$1:$I$89,3,0)*0.475*44/12</f>
        <v>1.2962854790633654E-19</v>
      </c>
      <c r="EY165" s="22">
        <f t="shared" si="181"/>
        <v>0.86989922618967874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-1.5429577615577727E-13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326.46362829268969</v>
      </c>
      <c r="FK165" s="59">
        <f t="shared" si="156"/>
        <v>203.5274665601915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0.53519473164194709</v>
      </c>
      <c r="FR165" s="21">
        <f>EXP(-LN(2)/25)*FR164+(1-EXP(-LN(2)/25))/(LN(2)/25)*Calculateur!FM165*Calculateur!FO165*VLOOKUP('Données projet'!$B$16,Paramètres!$A$1:$I$89,3,0)*0.475*44/12</f>
        <v>0.24102303941961159</v>
      </c>
      <c r="FS165" s="21">
        <f>EXP(-LN(2)/2)*FS164+(1-EXP(-LN(2)/2))/(LN(2)/2)*FM165*FP165*VLOOKUP('Données projet'!$B$16,Paramètres!$A$1:$I$89,3,0)*0.475*44/12</f>
        <v>1.1566855043950029E-19</v>
      </c>
      <c r="FT165" s="22">
        <f t="shared" si="184"/>
        <v>0.77621777106155865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-1.7053025658242404E-13</v>
      </c>
      <c r="GA165" s="17">
        <f>FZ165*VLOOKUP('Données projet'!$B$17,Paramètres!$A$1:$I$89,3,0)*VLOOKUP('Données projet'!$B$17,Paramètres!$A$1:$I$89,5,0)</f>
        <v>-1.6493686416652052E-13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353.24082990916918</v>
      </c>
      <c r="GF165" s="59">
        <f t="shared" si="158"/>
        <v>219.76562717496353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0.5721047131344954</v>
      </c>
      <c r="GM165" s="21">
        <f>EXP(-LN(2)/25)*GM164+(1-EXP(-LN(2)/25))/(LN(2)/25)*Calculateur!GH165*Calculateur!GJ165*VLOOKUP('Données projet'!$B$17,Paramètres!$A$1:$I$89,3,0)*0.475*44/12</f>
        <v>0.25764531800027507</v>
      </c>
      <c r="GN165" s="21">
        <f>EXP(-LN(2)/2)*GN164+(1-EXP(-LN(2)/2))/(LN(2)/2)*GH165*GK165*VLOOKUP('Données projet'!$B$17,Paramètres!$A$1:$I$89,3,0)*0.475*44/12</f>
        <v>1.2364569184912104E-19</v>
      </c>
      <c r="GO165" s="21">
        <f t="shared" si="187"/>
        <v>0.82975003113477053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378.17323480030268</v>
      </c>
      <c r="T166" s="59">
        <f t="shared" si="142"/>
        <v>471.89239871617241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0.31623695950461639</v>
      </c>
      <c r="AA166" s="21">
        <f>EXP(-LN(2)/25)*AA165+(1-EXP(-LN(2)/25))/(LN(2)/25)*Calculateur!V166*Calculateur!X166*VLOOKUP('Données projet'!$B$9,Paramètres!$A$1:$I$89,3,0)*0.475*44/12</f>
        <v>0.52073035290329261</v>
      </c>
      <c r="AB166" s="21">
        <f>EXP(-LN(2)/2)*AB165+(1-EXP(-LN(2)/2))/(LN(2)/2)*V166*Y166*VLOOKUP('Données projet'!$B$9,Paramètres!$A$1:$I$89,3,0)*0.475*44/12</f>
        <v>1.0024472005770359E-19</v>
      </c>
      <c r="AC166" s="22">
        <f t="shared" si="163"/>
        <v>0.836967312407909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141.22849894256314</v>
      </c>
      <c r="AO166" s="59">
        <f t="shared" si="144"/>
        <v>156.12101479343704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0.52806606940577905</v>
      </c>
      <c r="AV166" s="21">
        <f>EXP(-LN(2)/25)*AV165+(1-EXP(-LN(2)/25))/(LN(2)/25)*Calculateur!AQ166*Calculateur!AS166*VLOOKUP('Données projet'!$B$10,Paramètres!$A$1:$I$89,3,0)*0.475*44/12</f>
        <v>0.15076479884322869</v>
      </c>
      <c r="AW166" s="21">
        <f>EXP(-LN(2)/2)*AW165+(1-EXP(-LN(2)/2))/(LN(2)/2)*AQ166*AT166*VLOOKUP('Données projet'!$B$10,Paramètres!$A$1:$I$89,3,0)*0.475*44/12</f>
        <v>2.8346484420830871E-20</v>
      </c>
      <c r="AX166" s="21">
        <f t="shared" si="166"/>
        <v>0.67883086824900774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114.25511901730295</v>
      </c>
      <c r="BJ166" s="59">
        <f t="shared" si="146"/>
        <v>180.96261947642182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0.245417313103927</v>
      </c>
      <c r="BQ166" s="21">
        <f>EXP(-LN(2)/25)*BQ165+(1-EXP(-LN(2)/25))/(LN(2)/25)*Calculateur!BL166*Calculateur!BN166*VLOOKUP('Données projet'!$B$11,Paramètres!$A$1:$I$89,3,0)*0.475*44/12</f>
        <v>0.44597553794399281</v>
      </c>
      <c r="BR166" s="21">
        <f>EXP(-LN(2)/2)*BR165+(1-EXP(-LN(2)/2))/(LN(2)/2)*BL166*BO166*VLOOKUP('Données projet'!$B$11,Paramètres!$A$1:$I$89,3,0)*0.475*44/12</f>
        <v>6.5472228201020458E-20</v>
      </c>
      <c r="BS166" s="22">
        <f t="shared" si="169"/>
        <v>0.69139285104791981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4.4337866711430253E-14</v>
      </c>
      <c r="CA166" s="13">
        <f t="shared" si="170"/>
        <v>7.3222115536967035E-13</v>
      </c>
      <c r="CB166" s="20">
        <f t="shared" si="171"/>
        <v>1.3525069634579169E-12</v>
      </c>
      <c r="CC166" s="59">
        <f t="shared" si="119"/>
        <v>293.33333333333468</v>
      </c>
      <c r="CD166" s="59">
        <f ca="1">AVERAGE(OFFSET($CC$3,0,0,'Données projet'!$E$12+1,1))-AVERAGE(OFFSET($H$3,0,0,'Données projet'!$E$12+1,1))</f>
        <v>216.95993967070063</v>
      </c>
      <c r="CE166" s="59">
        <f t="shared" si="148"/>
        <v>208.79744153433245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0.37093091726563227</v>
      </c>
      <c r="CL166" s="21">
        <f>EXP(-LN(2)/25)*CL165+(1-EXP(-LN(2)/25))/(LN(2)/25)*Calculateur!CG166*Calculateur!CI166*VLOOKUP('Données projet'!$B$12,Paramètres!$A$1:$I$89,3,0)*0.475*44/12</f>
        <v>0.16064846170564648</v>
      </c>
      <c r="CM166" s="21">
        <f>EXP(-LN(2)/2)*CM165+(1-EXP(-LN(2)/2))/(LN(2)/2)*CG166*CJ166*VLOOKUP('Données projet'!$B$12,Paramètres!$A$1:$I$89,3,0)*0.475*44/12</f>
        <v>1.1821772323702842E-20</v>
      </c>
      <c r="CN166" s="22">
        <f t="shared" si="172"/>
        <v>0.53157937897127872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3.813056537183002E-14</v>
      </c>
      <c r="CV166" s="13">
        <f t="shared" si="173"/>
        <v>6.4086286045526829E-13</v>
      </c>
      <c r="CW166" s="20">
        <f t="shared" si="174"/>
        <v>1.1825802166488628E-12</v>
      </c>
      <c r="CX166" s="59">
        <f t="shared" si="122"/>
        <v>293.33333333333451</v>
      </c>
      <c r="CY166" s="59">
        <f ca="1">AVERAGE(OFFSET($CX$3,0,0,'Données projet'!$E$13+1,1))-AVERAGE(OFFSET($H$3,0,0,'Données projet'!$E$13+1,1))</f>
        <v>181.32837315090507</v>
      </c>
      <c r="CZ166" s="59">
        <f t="shared" si="150"/>
        <v>175.03267817980338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0.39318677230156968</v>
      </c>
      <c r="DG166" s="21">
        <f>EXP(-LN(2)/25)*DG165+(1-EXP(-LN(2)/25))/(LN(2)/25)*Calculateur!DB166*Calculateur!DD166*VLOOKUP('Données projet'!$B$13,Paramètres!$A$1:$I$89,3,0)*0.475*44/12</f>
        <v>0.17028736940798531</v>
      </c>
      <c r="DH166" s="21">
        <f>EXP(-LN(2)/2)*DH165+(1-EXP(-LN(2)/2))/(LN(2)/2)*DB166*DE166*VLOOKUP('Données projet'!$B$13,Paramètres!$A$1:$I$89,3,0)*0.475*44/12</f>
        <v>1.016672419838444E-20</v>
      </c>
      <c r="DI166" s="22">
        <f t="shared" si="175"/>
        <v>0.56347414170955501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-2.8421709430404007E-13</v>
      </c>
      <c r="DP166" s="17">
        <f>DO166*VLOOKUP('Données projet'!$B$14,Paramètres!$A$1:$I$89,3,0)*VLOOKUP('Données projet'!$B$14,Paramètres!$A$1:$I$89,5,0)</f>
        <v>-2.2612312022829427E-13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325.72928944930294</v>
      </c>
      <c r="DU166" s="59">
        <f t="shared" si="152"/>
        <v>318.38876834819752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1.2430647221038877</v>
      </c>
      <c r="EB166" s="21">
        <f>EXP(-LN(2)/25)*EB165+(1-EXP(-LN(2)/25))/(LN(2)/25)*Calculateur!DW166*Calculateur!DY166*VLOOKUP('Données projet'!$B$14,Paramètres!$A$1:$I$89,3,0)*0.475*44/12</f>
        <v>0.51768842606604604</v>
      </c>
      <c r="EC166" s="21">
        <f>EXP(-LN(2)/2)*EC165+(1-EXP(-LN(2)/2))/(LN(2)/2)*DW166*DZ166*VLOOKUP('Données projet'!$B$14,Paramètres!$A$1:$I$89,3,0)*0.475*44/12</f>
        <v>1.1336520864226209E-19</v>
      </c>
      <c r="ED166" s="22">
        <f t="shared" si="178"/>
        <v>1.7607531481699339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-5.7639226724859328E-14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384.50065773787549</v>
      </c>
      <c r="EP166" s="59">
        <f t="shared" si="154"/>
        <v>231.92898690465887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0.58802573811060588</v>
      </c>
      <c r="EW166" s="21">
        <f>EXP(-LN(2)/25)*EW165+(1-EXP(-LN(2)/25))/(LN(2)/25)*Calculateur!ER166*Calculateur!ET166*VLOOKUP('Données projet'!$B$15,Paramètres!$A$1:$I$89,3,0)*0.475*44/12</f>
        <v>0.2627257993546393</v>
      </c>
      <c r="EX166" s="21">
        <f>EXP(-LN(2)/2)*EX165+(1-EXP(-LN(2)/2))/(LN(2)/2)*ER166*EU166*VLOOKUP('Données projet'!$B$15,Paramètres!$A$1:$I$89,3,0)*0.475*44/12</f>
        <v>9.1661225259935806E-20</v>
      </c>
      <c r="EY166" s="22">
        <f t="shared" si="181"/>
        <v>0.85075153746524523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-1.5429577615577727E-13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326.46362829268969</v>
      </c>
      <c r="FK166" s="59">
        <f t="shared" si="156"/>
        <v>203.5274665601915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0.52469988939100187</v>
      </c>
      <c r="FR166" s="21">
        <f>EXP(-LN(2)/25)*FR165+(1-EXP(-LN(2)/25))/(LN(2)/25)*Calculateur!FM166*Calculateur!FO166*VLOOKUP('Données projet'!$B$16,Paramètres!$A$1:$I$89,3,0)*0.475*44/12</f>
        <v>0.23443225173183152</v>
      </c>
      <c r="FS166" s="21">
        <f>EXP(-LN(2)/2)*FS165+(1-EXP(-LN(2)/2))/(LN(2)/2)*FM166*FP166*VLOOKUP('Données projet'!$B$16,Paramètres!$A$1:$I$89,3,0)*0.475*44/12</f>
        <v>8.179001638578887E-20</v>
      </c>
      <c r="FT166" s="22">
        <f t="shared" si="184"/>
        <v>0.75913214112283334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-1.7053025658242404E-13</v>
      </c>
      <c r="GA166" s="17">
        <f>FZ166*VLOOKUP('Données projet'!$B$17,Paramètres!$A$1:$I$89,3,0)*VLOOKUP('Données projet'!$B$17,Paramètres!$A$1:$I$89,5,0)</f>
        <v>-1.6493686416652052E-13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353.24082990916918</v>
      </c>
      <c r="GF166" s="59">
        <f t="shared" si="158"/>
        <v>219.76562717496353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0.56088608865934708</v>
      </c>
      <c r="GM166" s="21">
        <f>EXP(-LN(2)/25)*GM165+(1-EXP(-LN(2)/25))/(LN(2)/25)*Calculateur!GH166*Calculateur!GJ166*VLOOKUP('Données projet'!$B$17,Paramètres!$A$1:$I$89,3,0)*0.475*44/12</f>
        <v>0.25059999323057913</v>
      </c>
      <c r="GN166" s="21">
        <f>EXP(-LN(2)/2)*GN165+(1-EXP(-LN(2)/2))/(LN(2)/2)*GH166*GK166*VLOOKUP('Données projet'!$B$17,Paramètres!$A$1:$I$89,3,0)*0.475*44/12</f>
        <v>8.7430707171015713E-20</v>
      </c>
      <c r="GO166" s="21">
        <f t="shared" si="187"/>
        <v>0.81148608188992621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378.17323480030268</v>
      </c>
      <c r="T167" s="59">
        <f t="shared" si="142"/>
        <v>471.89239871617241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0.31003574561423031</v>
      </c>
      <c r="AA167" s="21">
        <f>EXP(-LN(2)/25)*AA166+(1-EXP(-LN(2)/25))/(LN(2)/25)*Calculateur!V167*Calculateur!X167*VLOOKUP('Données projet'!$B$9,Paramètres!$A$1:$I$89,3,0)*0.475*44/12</f>
        <v>0.50649095401913291</v>
      </c>
      <c r="AB167" s="21">
        <f>EXP(-LN(2)/2)*AB166+(1-EXP(-LN(2)/2))/(LN(2)/2)*V167*Y167*VLOOKUP('Données projet'!$B$9,Paramètres!$A$1:$I$89,3,0)*0.475*44/12</f>
        <v>7.0883721330949321E-20</v>
      </c>
      <c r="AC167" s="22">
        <f t="shared" si="163"/>
        <v>0.81652669963336322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141.22849894256314</v>
      </c>
      <c r="AO167" s="59">
        <f t="shared" si="144"/>
        <v>156.12101479343704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0.51771101587323043</v>
      </c>
      <c r="AV167" s="21">
        <f>EXP(-LN(2)/25)*AV166+(1-EXP(-LN(2)/25))/(LN(2)/25)*Calculateur!AQ167*Calculateur!AS167*VLOOKUP('Données projet'!$B$10,Paramètres!$A$1:$I$89,3,0)*0.475*44/12</f>
        <v>0.14664212749048441</v>
      </c>
      <c r="AW167" s="21">
        <f>EXP(-LN(2)/2)*AW166+(1-EXP(-LN(2)/2))/(LN(2)/2)*AQ167*AT167*VLOOKUP('Données projet'!$B$10,Paramètres!$A$1:$I$89,3,0)*0.475*44/12</f>
        <v>2.0043991356768333E-20</v>
      </c>
      <c r="AX167" s="21">
        <f t="shared" si="166"/>
        <v>0.66435314336371487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114.25511901730295</v>
      </c>
      <c r="BJ167" s="59">
        <f t="shared" si="146"/>
        <v>180.96261947642182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0.24060482928373936</v>
      </c>
      <c r="BQ167" s="21">
        <f>EXP(-LN(2)/25)*BQ166+(1-EXP(-LN(2)/25))/(LN(2)/25)*Calculateur!BL167*Calculateur!BN167*VLOOKUP('Données projet'!$B$11,Paramètres!$A$1:$I$89,3,0)*0.475*44/12</f>
        <v>0.43378031340608009</v>
      </c>
      <c r="BR167" s="21">
        <f>EXP(-LN(2)/2)*BR166+(1-EXP(-LN(2)/2))/(LN(2)/2)*BL167*BO167*VLOOKUP('Données projet'!$B$11,Paramètres!$A$1:$I$89,3,0)*0.475*44/12</f>
        <v>4.629585654033468E-20</v>
      </c>
      <c r="BS167" s="22">
        <f t="shared" si="169"/>
        <v>0.67438514268981942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4.4337866711430253E-14</v>
      </c>
      <c r="CA167" s="13">
        <f t="shared" si="170"/>
        <v>7.3222115536967035E-13</v>
      </c>
      <c r="CB167" s="20">
        <f t="shared" si="171"/>
        <v>1.3525069634579169E-12</v>
      </c>
      <c r="CC167" s="59">
        <f t="shared" si="119"/>
        <v>293.33333333333468</v>
      </c>
      <c r="CD167" s="59">
        <f ca="1">AVERAGE(OFFSET($CC$3,0,0,'Données projet'!$E$12+1,1))-AVERAGE(OFFSET($H$3,0,0,'Données projet'!$E$12+1,1))</f>
        <v>216.95993967070063</v>
      </c>
      <c r="CE167" s="59">
        <f t="shared" si="148"/>
        <v>208.79744153433245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0.36365718822357285</v>
      </c>
      <c r="CL167" s="21">
        <f>EXP(-LN(2)/25)*CL166+(1-EXP(-LN(2)/25))/(LN(2)/25)*Calculateur!CG167*Calculateur!CI167*VLOOKUP('Données projet'!$B$12,Paramètres!$A$1:$I$89,3,0)*0.475*44/12</f>
        <v>0.15625552107217014</v>
      </c>
      <c r="CM167" s="21">
        <f>EXP(-LN(2)/2)*CM166+(1-EXP(-LN(2)/2))/(LN(2)/2)*CG167*CJ167*VLOOKUP('Données projet'!$B$12,Paramètres!$A$1:$I$89,3,0)*0.475*44/12</f>
        <v>8.3592553757337286E-21</v>
      </c>
      <c r="CN167" s="22">
        <f t="shared" si="172"/>
        <v>0.51991270929574296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3.813056537183002E-14</v>
      </c>
      <c r="CV167" s="13">
        <f t="shared" si="173"/>
        <v>6.4086286045526829E-13</v>
      </c>
      <c r="CW167" s="20">
        <f t="shared" si="174"/>
        <v>1.1825802166488628E-12</v>
      </c>
      <c r="CX167" s="59">
        <f t="shared" si="122"/>
        <v>293.33333333333451</v>
      </c>
      <c r="CY167" s="59">
        <f ca="1">AVERAGE(OFFSET($CX$3,0,0,'Données projet'!$E$13+1,1))-AVERAGE(OFFSET($H$3,0,0,'Données projet'!$E$13+1,1))</f>
        <v>181.32837315090507</v>
      </c>
      <c r="CZ167" s="59">
        <f t="shared" si="150"/>
        <v>175.03267817980338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0.3854766195169867</v>
      </c>
      <c r="DG167" s="21">
        <f>EXP(-LN(2)/25)*DG166+(1-EXP(-LN(2)/25))/(LN(2)/25)*Calculateur!DB167*Calculateur!DD167*VLOOKUP('Données projet'!$B$13,Paramètres!$A$1:$I$89,3,0)*0.475*44/12</f>
        <v>0.16563085233650038</v>
      </c>
      <c r="DH167" s="21">
        <f>EXP(-LN(2)/2)*DH166+(1-EXP(-LN(2)/2))/(LN(2)/2)*DB167*DE167*VLOOKUP('Données projet'!$B$13,Paramètres!$A$1:$I$89,3,0)*0.475*44/12</f>
        <v>7.1889596231310036E-21</v>
      </c>
      <c r="DI167" s="22">
        <f t="shared" si="175"/>
        <v>0.55110747185348707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-2.8421709430404007E-13</v>
      </c>
      <c r="DP167" s="17">
        <f>DO167*VLOOKUP('Données projet'!$B$14,Paramètres!$A$1:$I$89,3,0)*VLOOKUP('Données projet'!$B$14,Paramètres!$A$1:$I$89,5,0)</f>
        <v>-2.2612312022829427E-13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325.72928944930294</v>
      </c>
      <c r="DU167" s="59">
        <f t="shared" si="152"/>
        <v>318.38876834819752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1.2186889810980455</v>
      </c>
      <c r="EB167" s="21">
        <f>EXP(-LN(2)/25)*EB166+(1-EXP(-LN(2)/25))/(LN(2)/25)*Calculateur!DW167*Calculateur!DY167*VLOOKUP('Données projet'!$B$14,Paramètres!$A$1:$I$89,3,0)*0.475*44/12</f>
        <v>0.50353220883121885</v>
      </c>
      <c r="EC167" s="21">
        <f>EXP(-LN(2)/2)*EC166+(1-EXP(-LN(2)/2))/(LN(2)/2)*DW167*DZ167*VLOOKUP('Données projet'!$B$14,Paramètres!$A$1:$I$89,3,0)*0.475*44/12</f>
        <v>8.016130778157133E-20</v>
      </c>
      <c r="ED167" s="22">
        <f t="shared" si="178"/>
        <v>1.7222211899292643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-5.7639226724859328E-14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384.50065773787549</v>
      </c>
      <c r="EP167" s="59">
        <f t="shared" si="154"/>
        <v>231.92898690465887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0.57649491204654235</v>
      </c>
      <c r="EW167" s="21">
        <f>EXP(-LN(2)/25)*EW166+(1-EXP(-LN(2)/25))/(LN(2)/25)*Calculateur!ER167*Calculateur!ET167*VLOOKUP('Données projet'!$B$15,Paramètres!$A$1:$I$89,3,0)*0.475*44/12</f>
        <v>0.25554154855513739</v>
      </c>
      <c r="EX167" s="21">
        <f>EXP(-LN(2)/2)*EX166+(1-EXP(-LN(2)/2))/(LN(2)/2)*ER167*EU167*VLOOKUP('Données projet'!$B$15,Paramètres!$A$1:$I$89,3,0)*0.475*44/12</f>
        <v>6.481427395316827E-20</v>
      </c>
      <c r="EY167" s="22">
        <f t="shared" si="181"/>
        <v>0.83203646060167968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-1.5429577615577727E-13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326.46362829268969</v>
      </c>
      <c r="FK167" s="59">
        <f t="shared" si="156"/>
        <v>203.5274665601915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0.514410844595376</v>
      </c>
      <c r="FR167" s="21">
        <f>EXP(-LN(2)/25)*FR166+(1-EXP(-LN(2)/25))/(LN(2)/25)*Calculateur!FM167*Calculateur!FO167*VLOOKUP('Données projet'!$B$16,Paramètres!$A$1:$I$89,3,0)*0.475*44/12</f>
        <v>0.22802168947996826</v>
      </c>
      <c r="FS167" s="21">
        <f>EXP(-LN(2)/2)*FS166+(1-EXP(-LN(2)/2))/(LN(2)/2)*FM167*FP167*VLOOKUP('Données projet'!$B$16,Paramètres!$A$1:$I$89,3,0)*0.475*44/12</f>
        <v>5.7834275219750146E-20</v>
      </c>
      <c r="FT167" s="22">
        <f t="shared" si="184"/>
        <v>0.74243253407534426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-1.7053025658242404E-13</v>
      </c>
      <c r="GA167" s="17">
        <f>FZ167*VLOOKUP('Données projet'!$B$17,Paramètres!$A$1:$I$89,3,0)*VLOOKUP('Données projet'!$B$17,Paramètres!$A$1:$I$89,5,0)</f>
        <v>-1.6493686416652052E-13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353.24082990916918</v>
      </c>
      <c r="GF167" s="59">
        <f t="shared" si="158"/>
        <v>219.76562717496353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0.54988745456747112</v>
      </c>
      <c r="GM167" s="21">
        <f>EXP(-LN(2)/25)*GM166+(1-EXP(-LN(2)/25))/(LN(2)/25)*Calculateur!GH167*Calculateur!GJ167*VLOOKUP('Données projet'!$B$17,Paramètres!$A$1:$I$89,3,0)*0.475*44/12</f>
        <v>0.24374732323720805</v>
      </c>
      <c r="GN167" s="21">
        <f>EXP(-LN(2)/2)*GN166+(1-EXP(-LN(2)/2))/(LN(2)/2)*GH167*GK167*VLOOKUP('Données projet'!$B$17,Paramètres!$A$1:$I$89,3,0)*0.475*44/12</f>
        <v>6.1822845924560518E-20</v>
      </c>
      <c r="GO167" s="21">
        <f t="shared" si="187"/>
        <v>0.79363477780467917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378.17323480030268</v>
      </c>
      <c r="T168" s="59">
        <f t="shared" si="142"/>
        <v>471.89239871617241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0.30395613374586772</v>
      </c>
      <c r="AA168" s="21">
        <f>EXP(-LN(2)/25)*AA167+(1-EXP(-LN(2)/25))/(LN(2)/25)*Calculateur!V168*Calculateur!X168*VLOOKUP('Données projet'!$B$9,Paramètres!$A$1:$I$89,3,0)*0.475*44/12</f>
        <v>0.49264093224627803</v>
      </c>
      <c r="AB168" s="21">
        <f>EXP(-LN(2)/2)*AB167+(1-EXP(-LN(2)/2))/(LN(2)/2)*V168*Y168*VLOOKUP('Données projet'!$B$9,Paramètres!$A$1:$I$89,3,0)*0.475*44/12</f>
        <v>5.0122360028851794E-20</v>
      </c>
      <c r="AC168" s="22">
        <f t="shared" si="163"/>
        <v>0.79659706599214575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141.22849894256314</v>
      </c>
      <c r="AO168" s="59">
        <f t="shared" si="144"/>
        <v>156.12101479343704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0.50755901862449615</v>
      </c>
      <c r="AV168" s="21">
        <f>EXP(-LN(2)/25)*AV167+(1-EXP(-LN(2)/25))/(LN(2)/25)*Calculateur!AQ168*Calculateur!AS168*VLOOKUP('Données projet'!$B$10,Paramètres!$A$1:$I$89,3,0)*0.475*44/12</f>
        <v>0.1426321908026828</v>
      </c>
      <c r="AW168" s="21">
        <f>EXP(-LN(2)/2)*AW167+(1-EXP(-LN(2)/2))/(LN(2)/2)*AQ168*AT168*VLOOKUP('Données projet'!$B$10,Paramètres!$A$1:$I$89,3,0)*0.475*44/12</f>
        <v>1.4173242210415435E-20</v>
      </c>
      <c r="AX168" s="21">
        <f t="shared" si="166"/>
        <v>0.6501912094271789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114.25511901730295</v>
      </c>
      <c r="BJ168" s="59">
        <f t="shared" si="146"/>
        <v>180.96261947642182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0.2358867153359403</v>
      </c>
      <c r="BQ168" s="21">
        <f>EXP(-LN(2)/25)*BQ167+(1-EXP(-LN(2)/25))/(LN(2)/25)*Calculateur!BL168*Calculateur!BN168*VLOOKUP('Données projet'!$B$11,Paramètres!$A$1:$I$89,3,0)*0.475*44/12</f>
        <v>0.42191856792447557</v>
      </c>
      <c r="BR168" s="21">
        <f>EXP(-LN(2)/2)*BR167+(1-EXP(-LN(2)/2))/(LN(2)/2)*BL168*BO168*VLOOKUP('Données projet'!$B$11,Paramètres!$A$1:$I$89,3,0)*0.475*44/12</f>
        <v>3.2736114100510229E-20</v>
      </c>
      <c r="BS168" s="22">
        <f t="shared" si="169"/>
        <v>0.65780528326041587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4.4337866711430253E-14</v>
      </c>
      <c r="CA168" s="13">
        <f t="shared" si="170"/>
        <v>7.3222115536967035E-13</v>
      </c>
      <c r="CB168" s="20">
        <f t="shared" si="171"/>
        <v>1.3525069634579169E-12</v>
      </c>
      <c r="CC168" s="59">
        <f t="shared" si="119"/>
        <v>293.33333333333468</v>
      </c>
      <c r="CD168" s="59">
        <f ca="1">AVERAGE(OFFSET($CC$3,0,0,'Données projet'!$E$12+1,1))-AVERAGE(OFFSET($H$3,0,0,'Données projet'!$E$12+1,1))</f>
        <v>216.95993967070063</v>
      </c>
      <c r="CE168" s="59">
        <f t="shared" si="148"/>
        <v>208.79744153433245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0.35652609257149159</v>
      </c>
      <c r="CL168" s="21">
        <f>EXP(-LN(2)/25)*CL167+(1-EXP(-LN(2)/25))/(LN(2)/25)*Calculateur!CG168*Calculateur!CI168*VLOOKUP('Données projet'!$B$12,Paramètres!$A$1:$I$89,3,0)*0.475*44/12</f>
        <v>0.15198270563133093</v>
      </c>
      <c r="CM168" s="21">
        <f>EXP(-LN(2)/2)*CM167+(1-EXP(-LN(2)/2))/(LN(2)/2)*CG168*CJ168*VLOOKUP('Données projet'!$B$12,Paramètres!$A$1:$I$89,3,0)*0.475*44/12</f>
        <v>5.9108861618514209E-21</v>
      </c>
      <c r="CN168" s="22">
        <f t="shared" si="172"/>
        <v>0.50850879820282247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3.813056537183002E-14</v>
      </c>
      <c r="CV168" s="13">
        <f t="shared" si="173"/>
        <v>6.4086286045526829E-13</v>
      </c>
      <c r="CW168" s="20">
        <f t="shared" si="174"/>
        <v>1.1825802166488628E-12</v>
      </c>
      <c r="CX168" s="59">
        <f t="shared" si="122"/>
        <v>293.33333333333451</v>
      </c>
      <c r="CY168" s="59">
        <f ca="1">AVERAGE(OFFSET($CX$3,0,0,'Données projet'!$E$13+1,1))-AVERAGE(OFFSET($H$3,0,0,'Données projet'!$E$13+1,1))</f>
        <v>181.32837315090507</v>
      </c>
      <c r="CZ168" s="59">
        <f t="shared" si="150"/>
        <v>175.03267817980338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0.37791765812578054</v>
      </c>
      <c r="DG168" s="21">
        <f>EXP(-LN(2)/25)*DG167+(1-EXP(-LN(2)/25))/(LN(2)/25)*Calculateur!DB168*Calculateur!DD168*VLOOKUP('Données projet'!$B$13,Paramètres!$A$1:$I$89,3,0)*0.475*44/12</f>
        <v>0.1611016679692108</v>
      </c>
      <c r="DH168" s="21">
        <f>EXP(-LN(2)/2)*DH167+(1-EXP(-LN(2)/2))/(LN(2)/2)*DB168*DE168*VLOOKUP('Données projet'!$B$13,Paramètres!$A$1:$I$89,3,0)*0.475*44/12</f>
        <v>5.0833620991922198E-21</v>
      </c>
      <c r="DI168" s="22">
        <f t="shared" si="175"/>
        <v>0.53901932609499137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-2.8421709430404007E-13</v>
      </c>
      <c r="DP168" s="17">
        <f>DO168*VLOOKUP('Données projet'!$B$14,Paramètres!$A$1:$I$89,3,0)*VLOOKUP('Données projet'!$B$14,Paramètres!$A$1:$I$89,5,0)</f>
        <v>-2.2612312022829427E-13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325.72928944930294</v>
      </c>
      <c r="DU168" s="59">
        <f t="shared" si="152"/>
        <v>318.38876834819752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1.1947912335055939</v>
      </c>
      <c r="EB168" s="21">
        <f>EXP(-LN(2)/25)*EB167+(1-EXP(-LN(2)/25))/(LN(2)/25)*Calculateur!DW168*Calculateur!DY168*VLOOKUP('Données projet'!$B$14,Paramètres!$A$1:$I$89,3,0)*0.475*44/12</f>
        <v>0.48976309410112118</v>
      </c>
      <c r="EC168" s="21">
        <f>EXP(-LN(2)/2)*EC167+(1-EXP(-LN(2)/2))/(LN(2)/2)*DW168*DZ168*VLOOKUP('Données projet'!$B$14,Paramètres!$A$1:$I$89,3,0)*0.475*44/12</f>
        <v>5.6682604321131046E-20</v>
      </c>
      <c r="ED168" s="22">
        <f t="shared" si="178"/>
        <v>1.684554327606715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-5.7639226724859328E-14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384.50065773787549</v>
      </c>
      <c r="EP168" s="59">
        <f t="shared" si="154"/>
        <v>231.92898690465887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0.56519019844848573</v>
      </c>
      <c r="EW168" s="21">
        <f>EXP(-LN(2)/25)*EW167+(1-EXP(-LN(2)/25))/(LN(2)/25)*Calculateur!ER168*Calculateur!ET168*VLOOKUP('Données projet'!$B$15,Paramètres!$A$1:$I$89,3,0)*0.475*44/12</f>
        <v>0.24855375147155118</v>
      </c>
      <c r="EX168" s="21">
        <f>EXP(-LN(2)/2)*EX167+(1-EXP(-LN(2)/2))/(LN(2)/2)*ER168*EU168*VLOOKUP('Données projet'!$B$15,Paramètres!$A$1:$I$89,3,0)*0.475*44/12</f>
        <v>4.5830612629967903E-20</v>
      </c>
      <c r="EY168" s="22">
        <f t="shared" si="181"/>
        <v>0.81374394992003696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-1.5429577615577727E-13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326.46362829268969</v>
      </c>
      <c r="FK168" s="59">
        <f t="shared" si="156"/>
        <v>203.5274665601915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0.5043235616924947</v>
      </c>
      <c r="FR168" s="21">
        <f>EXP(-LN(2)/25)*FR167+(1-EXP(-LN(2)/25))/(LN(2)/25)*Calculateur!FM168*Calculateur!FO168*VLOOKUP('Données projet'!$B$16,Paramètres!$A$1:$I$89,3,0)*0.475*44/12</f>
        <v>0.22178642438999902</v>
      </c>
      <c r="FS168" s="21">
        <f>EXP(-LN(2)/2)*FS167+(1-EXP(-LN(2)/2))/(LN(2)/2)*FM168*FP168*VLOOKUP('Données projet'!$B$16,Paramètres!$A$1:$I$89,3,0)*0.475*44/12</f>
        <v>4.0895008192894435E-20</v>
      </c>
      <c r="FT168" s="22">
        <f t="shared" si="184"/>
        <v>0.72610998608249377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-1.7053025658242404E-13</v>
      </c>
      <c r="GA168" s="17">
        <f>FZ168*VLOOKUP('Données projet'!$B$17,Paramètres!$A$1:$I$89,3,0)*VLOOKUP('Données projet'!$B$17,Paramètres!$A$1:$I$89,5,0)</f>
        <v>-1.6493686416652052E-13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353.24082990916918</v>
      </c>
      <c r="GF168" s="59">
        <f t="shared" si="158"/>
        <v>219.76562717496353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0.53910449698163243</v>
      </c>
      <c r="GM168" s="21">
        <f>EXP(-LN(2)/25)*GM167+(1-EXP(-LN(2)/25))/(LN(2)/25)*Calculateur!GH168*Calculateur!GJ168*VLOOKUP('Données projet'!$B$17,Paramètres!$A$1:$I$89,3,0)*0.475*44/12</f>
        <v>0.23708203986517196</v>
      </c>
      <c r="GN168" s="21">
        <f>EXP(-LN(2)/2)*GN167+(1-EXP(-LN(2)/2))/(LN(2)/2)*GH168*GK168*VLOOKUP('Données projet'!$B$17,Paramètres!$A$1:$I$89,3,0)*0.475*44/12</f>
        <v>4.3715353585507856E-20</v>
      </c>
      <c r="GO168" s="21">
        <f t="shared" si="187"/>
        <v>0.77618653684680439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378.17323480030268</v>
      </c>
      <c r="T169" s="59">
        <f t="shared" si="142"/>
        <v>471.89239871617241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0.29799573935804663</v>
      </c>
      <c r="AA169" s="21">
        <f>EXP(-LN(2)/25)*AA168+(1-EXP(-LN(2)/25))/(LN(2)/25)*Calculateur!V169*Calculateur!X169*VLOOKUP('Données projet'!$B$9,Paramètres!$A$1:$I$89,3,0)*0.475*44/12</f>
        <v>0.47916964004714285</v>
      </c>
      <c r="AB169" s="21">
        <f>EXP(-LN(2)/2)*AB168+(1-EXP(-LN(2)/2))/(LN(2)/2)*V169*Y169*VLOOKUP('Données projet'!$B$9,Paramètres!$A$1:$I$89,3,0)*0.475*44/12</f>
        <v>3.5441860665474661E-20</v>
      </c>
      <c r="AC169" s="22">
        <f t="shared" si="163"/>
        <v>0.77716537940518948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141.22849894256314</v>
      </c>
      <c r="AO169" s="59">
        <f t="shared" si="144"/>
        <v>156.12101479343704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0.49760609584970261</v>
      </c>
      <c r="AV169" s="21">
        <f>EXP(-LN(2)/25)*AV168+(1-EXP(-LN(2)/25))/(LN(2)/25)*Calculateur!AQ169*Calculateur!AS169*VLOOKUP('Données projet'!$B$10,Paramètres!$A$1:$I$89,3,0)*0.475*44/12</f>
        <v>0.13873190604448252</v>
      </c>
      <c r="AW169" s="21">
        <f>EXP(-LN(2)/2)*AW168+(1-EXP(-LN(2)/2))/(LN(2)/2)*AQ169*AT169*VLOOKUP('Données projet'!$B$10,Paramètres!$A$1:$I$89,3,0)*0.475*44/12</f>
        <v>1.0021995678384167E-20</v>
      </c>
      <c r="AX169" s="21">
        <f t="shared" si="166"/>
        <v>0.6363380018941851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114.25511901730295</v>
      </c>
      <c r="BJ169" s="59">
        <f t="shared" si="146"/>
        <v>180.96261947642182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0.23126112072489222</v>
      </c>
      <c r="BQ169" s="21">
        <f>EXP(-LN(2)/25)*BQ168+(1-EXP(-LN(2)/25))/(LN(2)/25)*Calculateur!BL169*Calculateur!BN169*VLOOKUP('Données projet'!$B$11,Paramètres!$A$1:$I$89,3,0)*0.475*44/12</f>
        <v>0.41038118249684763</v>
      </c>
      <c r="BR169" s="21">
        <f>EXP(-LN(2)/2)*BR168+(1-EXP(-LN(2)/2))/(LN(2)/2)*BL169*BO169*VLOOKUP('Données projet'!$B$11,Paramètres!$A$1:$I$89,3,0)*0.475*44/12</f>
        <v>2.314792827016734E-20</v>
      </c>
      <c r="BS169" s="22">
        <f t="shared" si="169"/>
        <v>0.64164230322173987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4.4337866711430253E-14</v>
      </c>
      <c r="CA169" s="13">
        <f t="shared" si="170"/>
        <v>7.3222115536967035E-13</v>
      </c>
      <c r="CB169" s="20">
        <f t="shared" si="171"/>
        <v>1.3525069634579169E-12</v>
      </c>
      <c r="CC169" s="59">
        <f t="shared" si="119"/>
        <v>293.33333333333468</v>
      </c>
      <c r="CD169" s="59">
        <f ca="1">AVERAGE(OFFSET($CC$3,0,0,'Données projet'!$E$12+1,1))-AVERAGE(OFFSET($H$3,0,0,'Données projet'!$E$12+1,1))</f>
        <v>216.95993967070063</v>
      </c>
      <c r="CE169" s="59">
        <f t="shared" si="148"/>
        <v>208.79744153433245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0.34953483335560875</v>
      </c>
      <c r="CL169" s="21">
        <f>EXP(-LN(2)/25)*CL168+(1-EXP(-LN(2)/25))/(LN(2)/25)*Calculateur!CG169*Calculateur!CI169*VLOOKUP('Données projet'!$B$12,Paramètres!$A$1:$I$89,3,0)*0.475*44/12</f>
        <v>0.14782673055341905</v>
      </c>
      <c r="CM169" s="21">
        <f>EXP(-LN(2)/2)*CM168+(1-EXP(-LN(2)/2))/(LN(2)/2)*CG169*CJ169*VLOOKUP('Données projet'!$B$12,Paramètres!$A$1:$I$89,3,0)*0.475*44/12</f>
        <v>4.1796276878668643E-21</v>
      </c>
      <c r="CN169" s="22">
        <f t="shared" si="172"/>
        <v>0.4973615639090278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3.813056537183002E-14</v>
      </c>
      <c r="CV169" s="13">
        <f t="shared" si="173"/>
        <v>6.4086286045526829E-13</v>
      </c>
      <c r="CW169" s="20">
        <f t="shared" si="174"/>
        <v>1.1825802166488628E-12</v>
      </c>
      <c r="CX169" s="59">
        <f t="shared" si="122"/>
        <v>293.33333333333451</v>
      </c>
      <c r="CY169" s="59">
        <f ca="1">AVERAGE(OFFSET($CX$3,0,0,'Données projet'!$E$13+1,1))-AVERAGE(OFFSET($H$3,0,0,'Données projet'!$E$13+1,1))</f>
        <v>181.32837315090507</v>
      </c>
      <c r="CZ169" s="59">
        <f t="shared" si="150"/>
        <v>175.03267817980338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0.37050692335694474</v>
      </c>
      <c r="DG169" s="21">
        <f>EXP(-LN(2)/25)*DG168+(1-EXP(-LN(2)/25))/(LN(2)/25)*Calculateur!DB169*Calculateur!DD169*VLOOKUP('Données projet'!$B$13,Paramètres!$A$1:$I$89,3,0)*0.475*44/12</f>
        <v>0.15669633438662423</v>
      </c>
      <c r="DH169" s="21">
        <f>EXP(-LN(2)/2)*DH168+(1-EXP(-LN(2)/2))/(LN(2)/2)*DB169*DE169*VLOOKUP('Données projet'!$B$13,Paramètres!$A$1:$I$89,3,0)*0.475*44/12</f>
        <v>3.5944798115655018E-21</v>
      </c>
      <c r="DI169" s="22">
        <f t="shared" si="175"/>
        <v>0.52720325774356902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-2.8421709430404007E-13</v>
      </c>
      <c r="DP169" s="17">
        <f>DO169*VLOOKUP('Données projet'!$B$14,Paramètres!$A$1:$I$89,3,0)*VLOOKUP('Données projet'!$B$14,Paramètres!$A$1:$I$89,5,0)</f>
        <v>-2.2612312022829427E-13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325.72928944930294</v>
      </c>
      <c r="DU169" s="59">
        <f t="shared" si="152"/>
        <v>318.38876834819752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1.1713621061672435</v>
      </c>
      <c r="EB169" s="21">
        <f>EXP(-LN(2)/25)*EB168+(1-EXP(-LN(2)/25))/(LN(2)/25)*Calculateur!DW169*Calculateur!DY169*VLOOKUP('Données projet'!$B$14,Paramètres!$A$1:$I$89,3,0)*0.475*44/12</f>
        <v>0.47637049653740426</v>
      </c>
      <c r="EC169" s="21">
        <f>EXP(-LN(2)/2)*EC168+(1-EXP(-LN(2)/2))/(LN(2)/2)*DW169*DZ169*VLOOKUP('Données projet'!$B$14,Paramètres!$A$1:$I$89,3,0)*0.475*44/12</f>
        <v>4.0080653890785665E-20</v>
      </c>
      <c r="ED169" s="22">
        <f t="shared" si="178"/>
        <v>1.6477326027046477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-5.7639226724859328E-14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384.50065773787549</v>
      </c>
      <c r="EP169" s="59">
        <f t="shared" si="154"/>
        <v>231.92898690465887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0.55410716338889254</v>
      </c>
      <c r="EW169" s="21">
        <f>EXP(-LN(2)/25)*EW168+(1-EXP(-LN(2)/25))/(LN(2)/25)*Calculateur!ER169*Calculateur!ET169*VLOOKUP('Données projet'!$B$15,Paramètres!$A$1:$I$89,3,0)*0.475*44/12</f>
        <v>0.24175703606668789</v>
      </c>
      <c r="EX169" s="21">
        <f>EXP(-LN(2)/2)*EX168+(1-EXP(-LN(2)/2))/(LN(2)/2)*ER169*EU169*VLOOKUP('Données projet'!$B$15,Paramètres!$A$1:$I$89,3,0)*0.475*44/12</f>
        <v>3.2407136976584135E-20</v>
      </c>
      <c r="EY169" s="22">
        <f t="shared" si="181"/>
        <v>0.7958641994555804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-1.5429577615577727E-13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326.46362829268969</v>
      </c>
      <c r="FK169" s="59">
        <f t="shared" si="156"/>
        <v>203.5274665601915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0.49443408425470387</v>
      </c>
      <c r="FR169" s="21">
        <f>EXP(-LN(2)/25)*FR168+(1-EXP(-LN(2)/25))/(LN(2)/25)*Calculateur!FM169*Calculateur!FO169*VLOOKUP('Données projet'!$B$16,Paramètres!$A$1:$I$89,3,0)*0.475*44/12</f>
        <v>0.21572166295181333</v>
      </c>
      <c r="FS169" s="21">
        <f>EXP(-LN(2)/2)*FS168+(1-EXP(-LN(2)/2))/(LN(2)/2)*FM169*FP169*VLOOKUP('Données projet'!$B$16,Paramètres!$A$1:$I$89,3,0)*0.475*44/12</f>
        <v>2.8917137609875073E-20</v>
      </c>
      <c r="FT169" s="22">
        <f t="shared" si="184"/>
        <v>0.7101557472065172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-1.7053025658242404E-13</v>
      </c>
      <c r="GA169" s="17">
        <f>FZ169*VLOOKUP('Données projet'!$B$17,Paramètres!$A$1:$I$89,3,0)*VLOOKUP('Données projet'!$B$17,Paramètres!$A$1:$I$89,5,0)</f>
        <v>-1.6493686416652052E-13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353.24082990916918</v>
      </c>
      <c r="GF169" s="59">
        <f t="shared" si="158"/>
        <v>219.76562717496353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0.52853298661709736</v>
      </c>
      <c r="GM169" s="21">
        <f>EXP(-LN(2)/25)*GM168+(1-EXP(-LN(2)/25))/(LN(2)/25)*Calculateur!GH169*Calculateur!GJ169*VLOOKUP('Données projet'!$B$17,Paramètres!$A$1:$I$89,3,0)*0.475*44/12</f>
        <v>0.23059901901745622</v>
      </c>
      <c r="GN169" s="21">
        <f>EXP(-LN(2)/2)*GN168+(1-EXP(-LN(2)/2))/(LN(2)/2)*GH169*GK169*VLOOKUP('Données projet'!$B$17,Paramètres!$A$1:$I$89,3,0)*0.475*44/12</f>
        <v>3.0911422962280259E-20</v>
      </c>
      <c r="GO169" s="21">
        <f t="shared" si="187"/>
        <v>0.75913200563455363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378.17323480030268</v>
      </c>
      <c r="T170" s="59">
        <f t="shared" si="142"/>
        <v>471.89239871617241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0.29215222466868906</v>
      </c>
      <c r="AA170" s="21">
        <f>EXP(-LN(2)/25)*AA169+(1-EXP(-LN(2)/25))/(LN(2)/25)*Calculateur!V170*Calculateur!X170*VLOOKUP('Données projet'!$B$9,Paramètres!$A$1:$I$89,3,0)*0.475*44/12</f>
        <v>0.4660667210416175</v>
      </c>
      <c r="AB170" s="21">
        <f>EXP(-LN(2)/2)*AB169+(1-EXP(-LN(2)/2))/(LN(2)/2)*V170*Y170*VLOOKUP('Données projet'!$B$9,Paramètres!$A$1:$I$89,3,0)*0.475*44/12</f>
        <v>2.5061180014425897E-20</v>
      </c>
      <c r="AC170" s="22">
        <f t="shared" si="163"/>
        <v>0.75821894571030657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141.22849894256314</v>
      </c>
      <c r="AO170" s="59">
        <f t="shared" si="144"/>
        <v>156.12101479343704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0.48784834381983933</v>
      </c>
      <c r="AV170" s="21">
        <f>EXP(-LN(2)/25)*AV169+(1-EXP(-LN(2)/25))/(LN(2)/25)*Calculateur!AQ170*Calculateur!AS170*VLOOKUP('Données projet'!$B$10,Paramètres!$A$1:$I$89,3,0)*0.475*44/12</f>
        <v>0.13493827477810227</v>
      </c>
      <c r="AW170" s="21">
        <f>EXP(-LN(2)/2)*AW169+(1-EXP(-LN(2)/2))/(LN(2)/2)*AQ170*AT170*VLOOKUP('Données projet'!$B$10,Paramètres!$A$1:$I$89,3,0)*0.475*44/12</f>
        <v>7.0866211052077177E-21</v>
      </c>
      <c r="AX170" s="21">
        <f t="shared" si="166"/>
        <v>0.6227866185979416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114.25511901730295</v>
      </c>
      <c r="BJ170" s="59">
        <f t="shared" si="146"/>
        <v>180.96261947642182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0.22672623120283267</v>
      </c>
      <c r="BQ170" s="21">
        <f>EXP(-LN(2)/25)*BQ169+(1-EXP(-LN(2)/25))/(LN(2)/25)*Calculateur!BL170*Calculateur!BN170*VLOOKUP('Données projet'!$B$11,Paramètres!$A$1:$I$89,3,0)*0.475*44/12</f>
        <v>0.39915928748046287</v>
      </c>
      <c r="BR170" s="21">
        <f>EXP(-LN(2)/2)*BR169+(1-EXP(-LN(2)/2))/(LN(2)/2)*BL170*BO170*VLOOKUP('Données projet'!$B$11,Paramètres!$A$1:$I$89,3,0)*0.475*44/12</f>
        <v>1.6368057050255115E-20</v>
      </c>
      <c r="BS170" s="22">
        <f t="shared" si="169"/>
        <v>0.62588551868329556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4.4337866711430253E-14</v>
      </c>
      <c r="CA170" s="13">
        <f t="shared" si="170"/>
        <v>7.3222115536967035E-13</v>
      </c>
      <c r="CB170" s="20">
        <f t="shared" si="171"/>
        <v>1.3525069634579169E-12</v>
      </c>
      <c r="CC170" s="59">
        <f t="shared" si="119"/>
        <v>293.33333333333468</v>
      </c>
      <c r="CD170" s="59">
        <f ca="1">AVERAGE(OFFSET($CC$3,0,0,'Données projet'!$E$12+1,1))-AVERAGE(OFFSET($H$3,0,0,'Données projet'!$E$12+1,1))</f>
        <v>216.95993967070063</v>
      </c>
      <c r="CE170" s="59">
        <f t="shared" si="148"/>
        <v>208.79744153433245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0.34268066846870232</v>
      </c>
      <c r="CL170" s="21">
        <f>EXP(-LN(2)/25)*CL169+(1-EXP(-LN(2)/25))/(LN(2)/25)*Calculateur!CG170*Calculateur!CI170*VLOOKUP('Données projet'!$B$12,Paramètres!$A$1:$I$89,3,0)*0.475*44/12</f>
        <v>0.14378440083256591</v>
      </c>
      <c r="CM170" s="21">
        <f>EXP(-LN(2)/2)*CM169+(1-EXP(-LN(2)/2))/(LN(2)/2)*CG170*CJ170*VLOOKUP('Données projet'!$B$12,Paramètres!$A$1:$I$89,3,0)*0.475*44/12</f>
        <v>2.9554430809257104E-21</v>
      </c>
      <c r="CN170" s="22">
        <f t="shared" si="172"/>
        <v>0.4864650693012682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3.813056537183002E-14</v>
      </c>
      <c r="CV170" s="13">
        <f t="shared" si="173"/>
        <v>6.4086286045526829E-13</v>
      </c>
      <c r="CW170" s="20">
        <f t="shared" si="174"/>
        <v>1.1825802166488628E-12</v>
      </c>
      <c r="CX170" s="59">
        <f t="shared" si="122"/>
        <v>293.33333333333451</v>
      </c>
      <c r="CY170" s="59">
        <f ca="1">AVERAGE(OFFSET($CX$3,0,0,'Données projet'!$E$13+1,1))-AVERAGE(OFFSET($H$3,0,0,'Données projet'!$E$13+1,1))</f>
        <v>181.32837315090507</v>
      </c>
      <c r="CZ170" s="59">
        <f t="shared" si="150"/>
        <v>175.03267817980338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0.36324150857682397</v>
      </c>
      <c r="DG170" s="21">
        <f>EXP(-LN(2)/25)*DG169+(1-EXP(-LN(2)/25))/(LN(2)/25)*Calculateur!DB170*Calculateur!DD170*VLOOKUP('Données projet'!$B$13,Paramètres!$A$1:$I$89,3,0)*0.475*44/12</f>
        <v>0.15241146488251989</v>
      </c>
      <c r="DH170" s="21">
        <f>EXP(-LN(2)/2)*DH169+(1-EXP(-LN(2)/2))/(LN(2)/2)*DB170*DE170*VLOOKUP('Données projet'!$B$13,Paramètres!$A$1:$I$89,3,0)*0.475*44/12</f>
        <v>2.5416810495961099E-21</v>
      </c>
      <c r="DI170" s="22">
        <f t="shared" si="175"/>
        <v>0.5156529734593438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-2.8421709430404007E-13</v>
      </c>
      <c r="DP170" s="17">
        <f>DO170*VLOOKUP('Données projet'!$B$14,Paramètres!$A$1:$I$89,3,0)*VLOOKUP('Données projet'!$B$14,Paramètres!$A$1:$I$89,5,0)</f>
        <v>-2.2612312022829427E-13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325.72928944930294</v>
      </c>
      <c r="DU170" s="59">
        <f t="shared" si="152"/>
        <v>318.38876834819752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1.1483924097256415</v>
      </c>
      <c r="EB170" s="21">
        <f>EXP(-LN(2)/25)*EB169+(1-EXP(-LN(2)/25))/(LN(2)/25)*Calculateur!DW170*Calculateur!DY170*VLOOKUP('Données projet'!$B$14,Paramètres!$A$1:$I$89,3,0)*0.475*44/12</f>
        <v>0.46334412025835331</v>
      </c>
      <c r="EC170" s="21">
        <f>EXP(-LN(2)/2)*EC169+(1-EXP(-LN(2)/2))/(LN(2)/2)*DW170*DZ170*VLOOKUP('Données projet'!$B$14,Paramètres!$A$1:$I$89,3,0)*0.475*44/12</f>
        <v>2.8341302160565523E-20</v>
      </c>
      <c r="ED170" s="22">
        <f t="shared" si="178"/>
        <v>1.6117365299839947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-5.7639226724859328E-14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384.50065773787549</v>
      </c>
      <c r="EP170" s="59">
        <f t="shared" si="154"/>
        <v>231.92898690465887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0.54324145988683403</v>
      </c>
      <c r="EW170" s="21">
        <f>EXP(-LN(2)/25)*EW169+(1-EXP(-LN(2)/25))/(LN(2)/25)*Calculateur!ER170*Calculateur!ET170*VLOOKUP('Données projet'!$B$15,Paramètres!$A$1:$I$89,3,0)*0.475*44/12</f>
        <v>0.23514617720199432</v>
      </c>
      <c r="EX170" s="21">
        <f>EXP(-LN(2)/2)*EX169+(1-EXP(-LN(2)/2))/(LN(2)/2)*ER170*EU170*VLOOKUP('Données projet'!$B$15,Paramètres!$A$1:$I$89,3,0)*0.475*44/12</f>
        <v>2.2915306314983952E-20</v>
      </c>
      <c r="EY170" s="22">
        <f t="shared" si="181"/>
        <v>0.7783876370888283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-1.5429577615577727E-13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326.46362829268969</v>
      </c>
      <c r="FK170" s="59">
        <f t="shared" si="156"/>
        <v>203.5274665601915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0.48473853343748247</v>
      </c>
      <c r="FR170" s="21">
        <f>EXP(-LN(2)/25)*FR169+(1-EXP(-LN(2)/25))/(LN(2)/25)*Calculateur!FM170*Calculateur!FO170*VLOOKUP('Données projet'!$B$16,Paramètres!$A$1:$I$89,3,0)*0.475*44/12</f>
        <v>0.20982274273408677</v>
      </c>
      <c r="FS170" s="21">
        <f>EXP(-LN(2)/2)*FS169+(1-EXP(-LN(2)/2))/(LN(2)/2)*FM170*FP170*VLOOKUP('Données projet'!$B$16,Paramètres!$A$1:$I$89,3,0)*0.475*44/12</f>
        <v>2.0447504096447217E-20</v>
      </c>
      <c r="FT170" s="22">
        <f t="shared" si="184"/>
        <v>0.69456127617156926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-1.7053025658242404E-13</v>
      </c>
      <c r="GA170" s="17">
        <f>FZ170*VLOOKUP('Données projet'!$B$17,Paramètres!$A$1:$I$89,3,0)*VLOOKUP('Données projet'!$B$17,Paramètres!$A$1:$I$89,5,0)</f>
        <v>-1.6493686416652052E-13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353.24082990916918</v>
      </c>
      <c r="GF170" s="59">
        <f t="shared" si="158"/>
        <v>219.76562717496353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0.51816877712282616</v>
      </c>
      <c r="GM170" s="21">
        <f>EXP(-LN(2)/25)*GM169+(1-EXP(-LN(2)/25))/(LN(2)/25)*Calculateur!GH170*Calculateur!GJ170*VLOOKUP('Données projet'!$B$17,Paramètres!$A$1:$I$89,3,0)*0.475*44/12</f>
        <v>0.2242932767157485</v>
      </c>
      <c r="GN170" s="21">
        <f>EXP(-LN(2)/2)*GN169+(1-EXP(-LN(2)/2))/(LN(2)/2)*GH170*GK170*VLOOKUP('Données projet'!$B$17,Paramètres!$A$1:$I$89,3,0)*0.475*44/12</f>
        <v>2.1857676792753928E-20</v>
      </c>
      <c r="GO170" s="21">
        <f t="shared" si="187"/>
        <v>0.74246205383857466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378.17323480030268</v>
      </c>
      <c r="T171" s="59">
        <f t="shared" si="142"/>
        <v>471.89239871617241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0.2864232977381978</v>
      </c>
      <c r="AA171" s="21">
        <f>EXP(-LN(2)/25)*AA170+(1-EXP(-LN(2)/25))/(LN(2)/25)*Calculateur!V171*Calculateur!X171*VLOOKUP('Données projet'!$B$9,Paramètres!$A$1:$I$89,3,0)*0.475*44/12</f>
        <v>0.45332210204535084</v>
      </c>
      <c r="AB171" s="21">
        <f>EXP(-LN(2)/2)*AB170+(1-EXP(-LN(2)/2))/(LN(2)/2)*V171*Y171*VLOOKUP('Données projet'!$B$9,Paramètres!$A$1:$I$89,3,0)*0.475*44/12</f>
        <v>1.772093033273733E-20</v>
      </c>
      <c r="AC171" s="22">
        <f t="shared" si="163"/>
        <v>0.73974539978354859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141.22849894256314</v>
      </c>
      <c r="AO171" s="59">
        <f t="shared" si="144"/>
        <v>156.12101479343704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0.47828193535564056</v>
      </c>
      <c r="AV171" s="21">
        <f>EXP(-LN(2)/25)*AV170+(1-EXP(-LN(2)/25))/(LN(2)/25)*Calculateur!AQ171*Calculateur!AS171*VLOOKUP('Données projet'!$B$10,Paramètres!$A$1:$I$89,3,0)*0.475*44/12</f>
        <v>0.1312483805581996</v>
      </c>
      <c r="AW171" s="21">
        <f>EXP(-LN(2)/2)*AW170+(1-EXP(-LN(2)/2))/(LN(2)/2)*AQ171*AT171*VLOOKUP('Données projet'!$B$10,Paramètres!$A$1:$I$89,3,0)*0.475*44/12</f>
        <v>5.0109978391920833E-21</v>
      </c>
      <c r="AX171" s="21">
        <f t="shared" si="166"/>
        <v>0.6095303159138401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114.25511901730295</v>
      </c>
      <c r="BJ171" s="59">
        <f t="shared" si="146"/>
        <v>180.96261947642182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0.22228026809829121</v>
      </c>
      <c r="BQ171" s="21">
        <f>EXP(-LN(2)/25)*BQ170+(1-EXP(-LN(2)/25))/(LN(2)/25)*Calculateur!BL171*Calculateur!BN171*VLOOKUP('Données projet'!$B$11,Paramètres!$A$1:$I$89,3,0)*0.475*44/12</f>
        <v>0.38824425577343497</v>
      </c>
      <c r="BR171" s="21">
        <f>EXP(-LN(2)/2)*BR170+(1-EXP(-LN(2)/2))/(LN(2)/2)*BL171*BO171*VLOOKUP('Données projet'!$B$11,Paramètres!$A$1:$I$89,3,0)*0.475*44/12</f>
        <v>1.157396413508367E-20</v>
      </c>
      <c r="BS171" s="22">
        <f t="shared" si="169"/>
        <v>0.61052452387172618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4.4337866711430253E-14</v>
      </c>
      <c r="CA171" s="13">
        <f t="shared" si="170"/>
        <v>7.3222115536967035E-13</v>
      </c>
      <c r="CB171" s="20">
        <f t="shared" si="171"/>
        <v>1.3525069634579169E-12</v>
      </c>
      <c r="CC171" s="59">
        <f t="shared" si="119"/>
        <v>293.33333333333468</v>
      </c>
      <c r="CD171" s="59">
        <f ca="1">AVERAGE(OFFSET($CC$3,0,0,'Données projet'!$E$12+1,1))-AVERAGE(OFFSET($H$3,0,0,'Données projet'!$E$12+1,1))</f>
        <v>216.95993967070063</v>
      </c>
      <c r="CE171" s="59">
        <f t="shared" si="148"/>
        <v>208.79744153433245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0.33596090957460034</v>
      </c>
      <c r="CL171" s="21">
        <f>EXP(-LN(2)/25)*CL170+(1-EXP(-LN(2)/25))/(LN(2)/25)*Calculateur!CG171*Calculateur!CI171*VLOOKUP('Données projet'!$B$12,Paramètres!$A$1:$I$89,3,0)*0.475*44/12</f>
        <v>0.13985260883050638</v>
      </c>
      <c r="CM171" s="21">
        <f>EXP(-LN(2)/2)*CM170+(1-EXP(-LN(2)/2))/(LN(2)/2)*CG171*CJ171*VLOOKUP('Données projet'!$B$12,Paramètres!$A$1:$I$89,3,0)*0.475*44/12</f>
        <v>2.0898138439334322E-21</v>
      </c>
      <c r="CN171" s="22">
        <f t="shared" si="172"/>
        <v>0.47581351840510672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3.813056537183002E-14</v>
      </c>
      <c r="CV171" s="13">
        <f t="shared" si="173"/>
        <v>6.4086286045526829E-13</v>
      </c>
      <c r="CW171" s="20">
        <f t="shared" si="174"/>
        <v>1.1825802166488628E-12</v>
      </c>
      <c r="CX171" s="59">
        <f t="shared" si="122"/>
        <v>293.33333333333451</v>
      </c>
      <c r="CY171" s="59">
        <f ca="1">AVERAGE(OFFSET($CX$3,0,0,'Données projet'!$E$13+1,1))-AVERAGE(OFFSET($H$3,0,0,'Données projet'!$E$13+1,1))</f>
        <v>181.32837315090507</v>
      </c>
      <c r="CZ171" s="59">
        <f t="shared" si="150"/>
        <v>175.03267817980338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0.35611856414907589</v>
      </c>
      <c r="DG171" s="21">
        <f>EXP(-LN(2)/25)*DG170+(1-EXP(-LN(2)/25))/(LN(2)/25)*Calculateur!DB171*Calculateur!DD171*VLOOKUP('Données projet'!$B$13,Paramètres!$A$1:$I$89,3,0)*0.475*44/12</f>
        <v>0.14824376536033679</v>
      </c>
      <c r="DH171" s="21">
        <f>EXP(-LN(2)/2)*DH170+(1-EXP(-LN(2)/2))/(LN(2)/2)*DB171*DE171*VLOOKUP('Données projet'!$B$13,Paramètres!$A$1:$I$89,3,0)*0.475*44/12</f>
        <v>1.7972399057827509E-21</v>
      </c>
      <c r="DI171" s="22">
        <f t="shared" si="175"/>
        <v>0.50436232950941262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-2.8421709430404007E-13</v>
      </c>
      <c r="DP171" s="17">
        <f>DO171*VLOOKUP('Données projet'!$B$14,Paramètres!$A$1:$I$89,3,0)*VLOOKUP('Données projet'!$B$14,Paramètres!$A$1:$I$89,5,0)</f>
        <v>-2.2612312022829427E-13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325.72928944930294</v>
      </c>
      <c r="DU171" s="59">
        <f t="shared" si="152"/>
        <v>318.38876834819752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1.125873135021128</v>
      </c>
      <c r="EB171" s="21">
        <f>EXP(-LN(2)/25)*EB170+(1-EXP(-LN(2)/25))/(LN(2)/25)*Calculateur!DW171*Calculateur!DY171*VLOOKUP('Données projet'!$B$14,Paramètres!$A$1:$I$89,3,0)*0.475*44/12</f>
        <v>0.45067395092368034</v>
      </c>
      <c r="EC171" s="21">
        <f>EXP(-LN(2)/2)*EC170+(1-EXP(-LN(2)/2))/(LN(2)/2)*DW171*DZ171*VLOOKUP('Données projet'!$B$14,Paramètres!$A$1:$I$89,3,0)*0.475*44/12</f>
        <v>2.0040326945392833E-20</v>
      </c>
      <c r="ED171" s="22">
        <f t="shared" si="178"/>
        <v>1.5765470859448083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-5.7639226724859328E-14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384.50065773787549</v>
      </c>
      <c r="EP171" s="59">
        <f t="shared" si="154"/>
        <v>231.92898690465887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0.53258882620302617</v>
      </c>
      <c r="EW171" s="21">
        <f>EXP(-LN(2)/25)*EW170+(1-EXP(-LN(2)/25))/(LN(2)/25)*Calculateur!ER171*Calculateur!ET171*VLOOKUP('Données projet'!$B$15,Paramètres!$A$1:$I$89,3,0)*0.475*44/12</f>
        <v>0.22871609262060577</v>
      </c>
      <c r="EX171" s="21">
        <f>EXP(-LN(2)/2)*EX170+(1-EXP(-LN(2)/2))/(LN(2)/2)*ER171*EU171*VLOOKUP('Données projet'!$B$15,Paramètres!$A$1:$I$89,3,0)*0.475*44/12</f>
        <v>1.6203568488292068E-20</v>
      </c>
      <c r="EY171" s="22">
        <f t="shared" si="181"/>
        <v>0.76130491882363194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-1.5429577615577727E-13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326.46362829268969</v>
      </c>
      <c r="FK171" s="59">
        <f t="shared" si="156"/>
        <v>203.5274665601915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0.4752331064580847</v>
      </c>
      <c r="FR171" s="21">
        <f>EXP(-LN(2)/25)*FR170+(1-EXP(-LN(2)/25))/(LN(2)/25)*Calculateur!FM171*Calculateur!FO171*VLOOKUP('Données projet'!$B$16,Paramètres!$A$1:$I$89,3,0)*0.475*44/12</f>
        <v>0.20408512879992469</v>
      </c>
      <c r="FS171" s="21">
        <f>EXP(-LN(2)/2)*FS170+(1-EXP(-LN(2)/2))/(LN(2)/2)*FM171*FP171*VLOOKUP('Données projet'!$B$16,Paramètres!$A$1:$I$89,3,0)*0.475*44/12</f>
        <v>1.4458568804937537E-20</v>
      </c>
      <c r="FT171" s="22">
        <f t="shared" si="184"/>
        <v>0.67931823525800938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-1.7053025658242404E-13</v>
      </c>
      <c r="GA171" s="17">
        <f>FZ171*VLOOKUP('Données projet'!$B$17,Paramètres!$A$1:$I$89,3,0)*VLOOKUP('Données projet'!$B$17,Paramètres!$A$1:$I$89,5,0)</f>
        <v>-1.6493686416652052E-13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353.24082990916918</v>
      </c>
      <c r="GF171" s="59">
        <f t="shared" si="158"/>
        <v>219.76562717496353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0.50800780345519403</v>
      </c>
      <c r="GM171" s="21">
        <f>EXP(-LN(2)/25)*GM170+(1-EXP(-LN(2)/25))/(LN(2)/25)*Calculateur!GH171*Calculateur!GJ171*VLOOKUP('Données projet'!$B$17,Paramètres!$A$1:$I$89,3,0)*0.475*44/12</f>
        <v>0.21815996526888556</v>
      </c>
      <c r="GN171" s="21">
        <f>EXP(-LN(2)/2)*GN170+(1-EXP(-LN(2)/2))/(LN(2)/2)*GH171*GK171*VLOOKUP('Données projet'!$B$17,Paramètres!$A$1:$I$89,3,0)*0.475*44/12</f>
        <v>1.545571148114013E-20</v>
      </c>
      <c r="GO171" s="21">
        <f t="shared" si="187"/>
        <v>0.72616776872407962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378.17323480030268</v>
      </c>
      <c r="T172" s="59">
        <f t="shared" si="142"/>
        <v>471.89239871617241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0.28080671157051307</v>
      </c>
      <c r="AA172" s="21">
        <f>EXP(-LN(2)/25)*AA171+(1-EXP(-LN(2)/25))/(LN(2)/25)*Calculateur!V172*Calculateur!X172*VLOOKUP('Données projet'!$B$9,Paramètres!$A$1:$I$89,3,0)*0.475*44/12</f>
        <v>0.44092598532574745</v>
      </c>
      <c r="AB172" s="21">
        <f>EXP(-LN(2)/2)*AB171+(1-EXP(-LN(2)/2))/(LN(2)/2)*V172*Y172*VLOOKUP('Données projet'!$B$9,Paramètres!$A$1:$I$89,3,0)*0.475*44/12</f>
        <v>1.2530590007212948E-20</v>
      </c>
      <c r="AC172" s="22">
        <f t="shared" si="163"/>
        <v>0.72173269689626052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141.22849894256314</v>
      </c>
      <c r="AO172" s="59">
        <f t="shared" si="144"/>
        <v>156.12101479343704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0.46890311832649173</v>
      </c>
      <c r="AV172" s="21">
        <f>EXP(-LN(2)/25)*AV171+(1-EXP(-LN(2)/25))/(LN(2)/25)*Calculateur!AQ172*Calculateur!AS172*VLOOKUP('Données projet'!$B$10,Paramètres!$A$1:$I$89,3,0)*0.475*44/12</f>
        <v>0.12765938668978327</v>
      </c>
      <c r="AW172" s="21">
        <f>EXP(-LN(2)/2)*AW171+(1-EXP(-LN(2)/2))/(LN(2)/2)*AQ172*AT172*VLOOKUP('Données projet'!$B$10,Paramètres!$A$1:$I$89,3,0)*0.475*44/12</f>
        <v>3.5433105526038588E-21</v>
      </c>
      <c r="AX172" s="21">
        <f t="shared" si="166"/>
        <v>0.59656250501627506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114.25511901730295</v>
      </c>
      <c r="BJ172" s="59">
        <f t="shared" si="146"/>
        <v>180.96261947642182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0.21792148761846009</v>
      </c>
      <c r="BQ172" s="21">
        <f>EXP(-LN(2)/25)*BQ171+(1-EXP(-LN(2)/25))/(LN(2)/25)*Calculateur!BL172*Calculateur!BN172*VLOOKUP('Données projet'!$B$11,Paramètres!$A$1:$I$89,3,0)*0.475*44/12</f>
        <v>0.3776276961824323</v>
      </c>
      <c r="BR172" s="21">
        <f>EXP(-LN(2)/2)*BR171+(1-EXP(-LN(2)/2))/(LN(2)/2)*BL172*BO172*VLOOKUP('Données projet'!$B$11,Paramètres!$A$1:$I$89,3,0)*0.475*44/12</f>
        <v>8.1840285251275573E-21</v>
      </c>
      <c r="BS172" s="22">
        <f t="shared" si="169"/>
        <v>0.59554918380089239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4.4337866711430253E-14</v>
      </c>
      <c r="CA172" s="13">
        <f t="shared" si="170"/>
        <v>7.3222115536967035E-13</v>
      </c>
      <c r="CB172" s="20">
        <f t="shared" si="171"/>
        <v>1.3525069634579169E-12</v>
      </c>
      <c r="CC172" s="59">
        <f t="shared" si="119"/>
        <v>293.33333333333468</v>
      </c>
      <c r="CD172" s="59">
        <f ca="1">AVERAGE(OFFSET($CC$3,0,0,'Données projet'!$E$12+1,1))-AVERAGE(OFFSET($H$3,0,0,'Données projet'!$E$12+1,1))</f>
        <v>216.95993967070063</v>
      </c>
      <c r="CE172" s="59">
        <f t="shared" si="148"/>
        <v>208.79744153433245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0.32937292105376348</v>
      </c>
      <c r="CL172" s="21">
        <f>EXP(-LN(2)/25)*CL171+(1-EXP(-LN(2)/25))/(LN(2)/25)*Calculateur!CG172*Calculateur!CI172*VLOOKUP('Données projet'!$B$12,Paramètres!$A$1:$I$89,3,0)*0.475*44/12</f>
        <v>0.13602833188750713</v>
      </c>
      <c r="CM172" s="21">
        <f>EXP(-LN(2)/2)*CM171+(1-EXP(-LN(2)/2))/(LN(2)/2)*CG172*CJ172*VLOOKUP('Données projet'!$B$12,Paramètres!$A$1:$I$89,3,0)*0.475*44/12</f>
        <v>1.4777215404628552E-21</v>
      </c>
      <c r="CN172" s="22">
        <f t="shared" si="172"/>
        <v>0.4654012529412706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3.813056537183002E-14</v>
      </c>
      <c r="CV172" s="13">
        <f t="shared" si="173"/>
        <v>6.4086286045526829E-13</v>
      </c>
      <c r="CW172" s="20">
        <f t="shared" si="174"/>
        <v>1.1825802166488628E-12</v>
      </c>
      <c r="CX172" s="59">
        <f t="shared" si="122"/>
        <v>293.33333333333451</v>
      </c>
      <c r="CY172" s="59">
        <f ca="1">AVERAGE(OFFSET($CX$3,0,0,'Données projet'!$E$13+1,1))-AVERAGE(OFFSET($H$3,0,0,'Données projet'!$E$13+1,1))</f>
        <v>181.32837315090507</v>
      </c>
      <c r="CZ172" s="59">
        <f t="shared" si="150"/>
        <v>175.03267817980338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0.34913529631698886</v>
      </c>
      <c r="DG172" s="21">
        <f>EXP(-LN(2)/25)*DG171+(1-EXP(-LN(2)/25))/(LN(2)/25)*Calculateur!DB172*Calculateur!DD172*VLOOKUP('Données projet'!$B$13,Paramètres!$A$1:$I$89,3,0)*0.475*44/12</f>
        <v>0.14419003180075757</v>
      </c>
      <c r="DH172" s="21">
        <f>EXP(-LN(2)/2)*DH171+(1-EXP(-LN(2)/2))/(LN(2)/2)*DB172*DE172*VLOOKUP('Données projet'!$B$13,Paramètres!$A$1:$I$89,3,0)*0.475*44/12</f>
        <v>1.2708405247980549E-21</v>
      </c>
      <c r="DI172" s="22">
        <f t="shared" si="175"/>
        <v>0.49332532811774643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-2.8421709430404007E-13</v>
      </c>
      <c r="DP172" s="17">
        <f>DO172*VLOOKUP('Données projet'!$B$14,Paramètres!$A$1:$I$89,3,0)*VLOOKUP('Données projet'!$B$14,Paramètres!$A$1:$I$89,5,0)</f>
        <v>-2.2612312022829427E-13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325.72928944930294</v>
      </c>
      <c r="DU172" s="59">
        <f t="shared" si="152"/>
        <v>318.38876834819752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1.1037954495581686</v>
      </c>
      <c r="EB172" s="21">
        <f>EXP(-LN(2)/25)*EB171+(1-EXP(-LN(2)/25))/(LN(2)/25)*Calculateur!DW172*Calculateur!DY172*VLOOKUP('Données projet'!$B$14,Paramètres!$A$1:$I$89,3,0)*0.475*44/12</f>
        <v>0.43835024803575928</v>
      </c>
      <c r="EC172" s="21">
        <f>EXP(-LN(2)/2)*EC171+(1-EXP(-LN(2)/2))/(LN(2)/2)*DW172*DZ172*VLOOKUP('Données projet'!$B$14,Paramètres!$A$1:$I$89,3,0)*0.475*44/12</f>
        <v>1.4170651080282761E-20</v>
      </c>
      <c r="ED172" s="22">
        <f t="shared" si="178"/>
        <v>1.5421456975939278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-5.7639226724859328E-14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384.50065773787549</v>
      </c>
      <c r="EP172" s="59">
        <f t="shared" si="154"/>
        <v>231.92898690465887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0.52214508416829286</v>
      </c>
      <c r="EW172" s="21">
        <f>EXP(-LN(2)/25)*EW171+(1-EXP(-LN(2)/25))/(LN(2)/25)*Calculateur!ER172*Calculateur!ET172*VLOOKUP('Données projet'!$B$15,Paramètres!$A$1:$I$89,3,0)*0.475*44/12</f>
        <v>0.22246183904023872</v>
      </c>
      <c r="EX172" s="21">
        <f>EXP(-LN(2)/2)*EX171+(1-EXP(-LN(2)/2))/(LN(2)/2)*ER172*EU172*VLOOKUP('Données projet'!$B$15,Paramètres!$A$1:$I$89,3,0)*0.475*44/12</f>
        <v>1.1457653157491976E-20</v>
      </c>
      <c r="EY172" s="22">
        <f t="shared" si="181"/>
        <v>0.74460692320853161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-1.5429577615577727E-13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326.46362829268969</v>
      </c>
      <c r="FK172" s="59">
        <f t="shared" si="156"/>
        <v>203.5274665601915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0.46591407510401495</v>
      </c>
      <c r="FR172" s="21">
        <f>EXP(-LN(2)/25)*FR171+(1-EXP(-LN(2)/25))/(LN(2)/25)*Calculateur!FM172*Calculateur!FO172*VLOOKUP('Données projet'!$B$16,Paramètres!$A$1:$I$89,3,0)*0.475*44/12</f>
        <v>0.19850441022052026</v>
      </c>
      <c r="FS172" s="21">
        <f>EXP(-LN(2)/2)*FS171+(1-EXP(-LN(2)/2))/(LN(2)/2)*FM172*FP172*VLOOKUP('Données projet'!$B$16,Paramètres!$A$1:$I$89,3,0)*0.475*44/12</f>
        <v>1.0223752048223609E-20</v>
      </c>
      <c r="FT172" s="22">
        <f t="shared" si="184"/>
        <v>0.66441848532453518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-1.7053025658242404E-13</v>
      </c>
      <c r="GA172" s="17">
        <f>FZ172*VLOOKUP('Données projet'!$B$17,Paramètres!$A$1:$I$89,3,0)*VLOOKUP('Données projet'!$B$17,Paramètres!$A$1:$I$89,5,0)</f>
        <v>-1.6493686416652052E-13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353.24082990916918</v>
      </c>
      <c r="GF172" s="59">
        <f t="shared" si="158"/>
        <v>219.76562717496353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0.4980460802836022</v>
      </c>
      <c r="GM172" s="21">
        <f>EXP(-LN(2)/25)*GM171+(1-EXP(-LN(2)/25))/(LN(2)/25)*Calculateur!GH172*Calculateur!GJ172*VLOOKUP('Données projet'!$B$17,Paramètres!$A$1:$I$89,3,0)*0.475*44/12</f>
        <v>0.21219436954607393</v>
      </c>
      <c r="GN172" s="21">
        <f>EXP(-LN(2)/2)*GN171+(1-EXP(-LN(2)/2))/(LN(2)/2)*GH172*GK172*VLOOKUP('Données projet'!$B$17,Paramètres!$A$1:$I$89,3,0)*0.475*44/12</f>
        <v>1.0928838396376964E-20</v>
      </c>
      <c r="GO172" s="21">
        <f t="shared" si="187"/>
        <v>0.71024044982967616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378.17323480030268</v>
      </c>
      <c r="T173" s="59">
        <f t="shared" si="142"/>
        <v>471.89239871617241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0.27530026323179735</v>
      </c>
      <c r="AA173" s="21">
        <f>EXP(-LN(2)/25)*AA172+(1-EXP(-LN(2)/25))/(LN(2)/25)*Calculateur!V173*Calculateur!X173*VLOOKUP('Données projet'!$B$9,Paramètres!$A$1:$I$89,3,0)*0.475*44/12</f>
        <v>0.42886884106972506</v>
      </c>
      <c r="AB173" s="21">
        <f>EXP(-LN(2)/2)*AB172+(1-EXP(-LN(2)/2))/(LN(2)/2)*V173*Y173*VLOOKUP('Données projet'!$B$9,Paramètres!$A$1:$I$89,3,0)*0.475*44/12</f>
        <v>8.8604651663686652E-21</v>
      </c>
      <c r="AC173" s="22">
        <f t="shared" si="163"/>
        <v>0.70416910430152235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141.22849894256314</v>
      </c>
      <c r="AO173" s="59">
        <f t="shared" si="144"/>
        <v>156.12101479343704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0.459708214178771</v>
      </c>
      <c r="AV173" s="21">
        <f>EXP(-LN(2)/25)*AV172+(1-EXP(-LN(2)/25))/(LN(2)/25)*Calculateur!AQ173*Calculateur!AS173*VLOOKUP('Données projet'!$B$10,Paramètres!$A$1:$I$89,3,0)*0.475*44/12</f>
        <v>0.12416853404743577</v>
      </c>
      <c r="AW173" s="21">
        <f>EXP(-LN(2)/2)*AW172+(1-EXP(-LN(2)/2))/(LN(2)/2)*AQ173*AT173*VLOOKUP('Données projet'!$B$10,Paramètres!$A$1:$I$89,3,0)*0.475*44/12</f>
        <v>2.5054989195960416E-21</v>
      </c>
      <c r="AX173" s="21">
        <f t="shared" si="166"/>
        <v>0.58387674822620683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114.25511901730295</v>
      </c>
      <c r="BJ173" s="59">
        <f t="shared" si="146"/>
        <v>180.96261947642182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0.21364818016524487</v>
      </c>
      <c r="BQ173" s="21">
        <f>EXP(-LN(2)/25)*BQ172+(1-EXP(-LN(2)/25))/(LN(2)/25)*Calculateur!BL173*Calculateur!BN173*VLOOKUP('Données projet'!$B$11,Paramètres!$A$1:$I$89,3,0)*0.475*44/12</f>
        <v>0.36730144697174621</v>
      </c>
      <c r="BR173" s="21">
        <f>EXP(-LN(2)/2)*BR172+(1-EXP(-LN(2)/2))/(LN(2)/2)*BL173*BO173*VLOOKUP('Données projet'!$B$11,Paramètres!$A$1:$I$89,3,0)*0.475*44/12</f>
        <v>5.786982067541835E-21</v>
      </c>
      <c r="BS173" s="22">
        <f t="shared" si="169"/>
        <v>0.58094962713699105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4.4337866711430253E-14</v>
      </c>
      <c r="CA173" s="13">
        <f t="shared" si="170"/>
        <v>7.3222115536967035E-13</v>
      </c>
      <c r="CB173" s="20">
        <f t="shared" si="171"/>
        <v>1.3525069634579169E-12</v>
      </c>
      <c r="CC173" s="59">
        <f t="shared" si="119"/>
        <v>293.33333333333468</v>
      </c>
      <c r="CD173" s="59">
        <f ca="1">AVERAGE(OFFSET($CC$3,0,0,'Données projet'!$E$12+1,1))-AVERAGE(OFFSET($H$3,0,0,'Données projet'!$E$12+1,1))</f>
        <v>216.95993967070063</v>
      </c>
      <c r="CE173" s="59">
        <f t="shared" si="148"/>
        <v>208.79744153433245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0.32291411896954403</v>
      </c>
      <c r="CL173" s="21">
        <f>EXP(-LN(2)/25)*CL172+(1-EXP(-LN(2)/25))/(LN(2)/25)*Calculateur!CG173*Calculateur!CI173*VLOOKUP('Données projet'!$B$12,Paramètres!$A$1:$I$89,3,0)*0.475*44/12</f>
        <v>0.13230862999862417</v>
      </c>
      <c r="CM173" s="21">
        <f>EXP(-LN(2)/2)*CM172+(1-EXP(-LN(2)/2))/(LN(2)/2)*CG173*CJ173*VLOOKUP('Données projet'!$B$12,Paramètres!$A$1:$I$89,3,0)*0.475*44/12</f>
        <v>1.0449069219667161E-21</v>
      </c>
      <c r="CN173" s="22">
        <f t="shared" si="172"/>
        <v>0.45522274896816817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3.813056537183002E-14</v>
      </c>
      <c r="CV173" s="13">
        <f t="shared" si="173"/>
        <v>6.4086286045526829E-13</v>
      </c>
      <c r="CW173" s="20">
        <f t="shared" si="174"/>
        <v>1.1825802166488628E-12</v>
      </c>
      <c r="CX173" s="59">
        <f t="shared" si="122"/>
        <v>293.33333333333451</v>
      </c>
      <c r="CY173" s="59">
        <f ca="1">AVERAGE(OFFSET($CX$3,0,0,'Données projet'!$E$13+1,1))-AVERAGE(OFFSET($H$3,0,0,'Données projet'!$E$13+1,1))</f>
        <v>181.32837315090507</v>
      </c>
      <c r="CZ173" s="59">
        <f t="shared" si="150"/>
        <v>175.03267817980338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0.34228896610771625</v>
      </c>
      <c r="DG173" s="21">
        <f>EXP(-LN(2)/25)*DG172+(1-EXP(-LN(2)/25))/(LN(2)/25)*Calculateur!DB173*Calculateur!DD173*VLOOKUP('Données projet'!$B$13,Paramètres!$A$1:$I$89,3,0)*0.475*44/12</f>
        <v>0.14024714779854164</v>
      </c>
      <c r="DH173" s="21">
        <f>EXP(-LN(2)/2)*DH172+(1-EXP(-LN(2)/2))/(LN(2)/2)*DB173*DE173*VLOOKUP('Données projet'!$B$13,Paramètres!$A$1:$I$89,3,0)*0.475*44/12</f>
        <v>8.9861995289137544E-22</v>
      </c>
      <c r="DI173" s="22">
        <f t="shared" si="175"/>
        <v>0.48253611390625789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-2.8421709430404007E-13</v>
      </c>
      <c r="DP173" s="17">
        <f>DO173*VLOOKUP('Données projet'!$B$14,Paramètres!$A$1:$I$89,3,0)*VLOOKUP('Données projet'!$B$14,Paramètres!$A$1:$I$89,5,0)</f>
        <v>-2.2612312022829427E-13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325.72928944930294</v>
      </c>
      <c r="DU173" s="59">
        <f t="shared" si="152"/>
        <v>318.38876834819752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1.0821506940410792</v>
      </c>
      <c r="EB173" s="21">
        <f>EXP(-LN(2)/25)*EB172+(1-EXP(-LN(2)/25))/(LN(2)/25)*Calculateur!DW173*Calculateur!DY173*VLOOKUP('Données projet'!$B$14,Paramètres!$A$1:$I$89,3,0)*0.475*44/12</f>
        <v>0.42636353745138378</v>
      </c>
      <c r="EC173" s="21">
        <f>EXP(-LN(2)/2)*EC172+(1-EXP(-LN(2)/2))/(LN(2)/2)*DW173*DZ173*VLOOKUP('Données projet'!$B$14,Paramètres!$A$1:$I$89,3,0)*0.475*44/12</f>
        <v>1.0020163472696416E-20</v>
      </c>
      <c r="ED173" s="22">
        <f t="shared" si="178"/>
        <v>1.5085142314924629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-5.7639226724859328E-14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384.50065773787549</v>
      </c>
      <c r="EP173" s="59">
        <f t="shared" si="154"/>
        <v>231.92898690465887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0.51190613754480696</v>
      </c>
      <c r="EW173" s="21">
        <f>EXP(-LN(2)/25)*EW172+(1-EXP(-LN(2)/25))/(LN(2)/25)*Calculateur!ER173*Calculateur!ET173*VLOOKUP('Données projet'!$B$15,Paramètres!$A$1:$I$89,3,0)*0.475*44/12</f>
        <v>0.21637860835292372</v>
      </c>
      <c r="EX173" s="21">
        <f>EXP(-LN(2)/2)*EX172+(1-EXP(-LN(2)/2))/(LN(2)/2)*ER173*EU173*VLOOKUP('Données projet'!$B$15,Paramètres!$A$1:$I$89,3,0)*0.475*44/12</f>
        <v>8.1017842441460338E-21</v>
      </c>
      <c r="EY173" s="22">
        <f t="shared" si="181"/>
        <v>0.72828474589773062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-1.5429577615577727E-13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326.46362829268969</v>
      </c>
      <c r="FK173" s="59">
        <f t="shared" si="156"/>
        <v>203.5274665601915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0.45677778427075061</v>
      </c>
      <c r="FR173" s="21">
        <f>EXP(-LN(2)/25)*FR172+(1-EXP(-LN(2)/25))/(LN(2)/25)*Calculateur!FM173*Calculateur!FO173*VLOOKUP('Données projet'!$B$16,Paramètres!$A$1:$I$89,3,0)*0.475*44/12</f>
        <v>0.19307629668414689</v>
      </c>
      <c r="FS173" s="21">
        <f>EXP(-LN(2)/2)*FS172+(1-EXP(-LN(2)/2))/(LN(2)/2)*FM173*FP173*VLOOKUP('Données projet'!$B$16,Paramètres!$A$1:$I$89,3,0)*0.475*44/12</f>
        <v>7.2292844024687683E-21</v>
      </c>
      <c r="FT173" s="22">
        <f t="shared" si="184"/>
        <v>0.6498540809548975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-1.7053025658242404E-13</v>
      </c>
      <c r="GA173" s="17">
        <f>FZ173*VLOOKUP('Données projet'!$B$17,Paramètres!$A$1:$I$89,3,0)*VLOOKUP('Données projet'!$B$17,Paramètres!$A$1:$I$89,5,0)</f>
        <v>-1.6493686416652052E-13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353.24082990916918</v>
      </c>
      <c r="GF173" s="59">
        <f t="shared" si="158"/>
        <v>219.76562717496353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0.48827970042735414</v>
      </c>
      <c r="GM173" s="21">
        <f>EXP(-LN(2)/25)*GM172+(1-EXP(-LN(2)/25))/(LN(2)/25)*Calculateur!GH173*Calculateur!GJ173*VLOOKUP('Données projet'!$B$17,Paramètres!$A$1:$I$89,3,0)*0.475*44/12</f>
        <v>0.20639190335201962</v>
      </c>
      <c r="GN173" s="21">
        <f>EXP(-LN(2)/2)*GN172+(1-EXP(-LN(2)/2))/(LN(2)/2)*GH173*GK173*VLOOKUP('Données projet'!$B$17,Paramètres!$A$1:$I$89,3,0)*0.475*44/12</f>
        <v>7.7278557405700648E-21</v>
      </c>
      <c r="GO173" s="21">
        <f t="shared" si="187"/>
        <v>0.69467160377937376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378.17323480030268</v>
      </c>
      <c r="T174" s="59">
        <f t="shared" si="142"/>
        <v>471.89239871617241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0.26990179298640199</v>
      </c>
      <c r="AA174" s="21">
        <f>EXP(-LN(2)/25)*AA173+(1-EXP(-LN(2)/25))/(LN(2)/25)*Calculateur!V174*Calculateur!X174*VLOOKUP('Données projet'!$B$9,Paramètres!$A$1:$I$89,3,0)*0.475*44/12</f>
        <v>0.41714140005744127</v>
      </c>
      <c r="AB174" s="21">
        <f>EXP(-LN(2)/2)*AB173+(1-EXP(-LN(2)/2))/(LN(2)/2)*V174*Y174*VLOOKUP('Données projet'!$B$9,Paramètres!$A$1:$I$89,3,0)*0.475*44/12</f>
        <v>6.2652950036064742E-21</v>
      </c>
      <c r="AC174" s="22">
        <f t="shared" si="163"/>
        <v>0.6870431930438432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141.22849894256314</v>
      </c>
      <c r="AO174" s="59">
        <f t="shared" si="144"/>
        <v>156.12101479343704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0.45069361649304929</v>
      </c>
      <c r="AV174" s="21">
        <f>EXP(-LN(2)/25)*AV173+(1-EXP(-LN(2)/25))/(LN(2)/25)*Calculateur!AQ174*Calculateur!AS174*VLOOKUP('Données projet'!$B$10,Paramètres!$A$1:$I$89,3,0)*0.475*44/12</f>
        <v>0.12077313895416923</v>
      </c>
      <c r="AW174" s="21">
        <f>EXP(-LN(2)/2)*AW173+(1-EXP(-LN(2)/2))/(LN(2)/2)*AQ174*AT174*VLOOKUP('Données projet'!$B$10,Paramètres!$A$1:$I$89,3,0)*0.475*44/12</f>
        <v>1.7716552763019294E-21</v>
      </c>
      <c r="AX174" s="21">
        <f t="shared" si="166"/>
        <v>0.57146675544721848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114.25511901730295</v>
      </c>
      <c r="BJ174" s="59">
        <f t="shared" si="146"/>
        <v>180.96261947642182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0.20945866966472701</v>
      </c>
      <c r="BQ174" s="21">
        <f>EXP(-LN(2)/25)*BQ173+(1-EXP(-LN(2)/25))/(LN(2)/25)*Calculateur!BL174*Calculateur!BN174*VLOOKUP('Données projet'!$B$11,Paramètres!$A$1:$I$89,3,0)*0.475*44/12</f>
        <v>0.3572575695887602</v>
      </c>
      <c r="BR174" s="21">
        <f>EXP(-LN(2)/2)*BR173+(1-EXP(-LN(2)/2))/(LN(2)/2)*BL174*BO174*VLOOKUP('Données projet'!$B$11,Paramètres!$A$1:$I$89,3,0)*0.475*44/12</f>
        <v>4.0920142625637786E-21</v>
      </c>
      <c r="BS174" s="22">
        <f t="shared" si="169"/>
        <v>0.56671623925348724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4.4337866711430253E-14</v>
      </c>
      <c r="CA174" s="13">
        <f t="shared" si="170"/>
        <v>7.3222115536967035E-13</v>
      </c>
      <c r="CB174" s="20">
        <f t="shared" si="171"/>
        <v>1.3525069634579169E-12</v>
      </c>
      <c r="CC174" s="59">
        <f t="shared" si="119"/>
        <v>293.33333333333468</v>
      </c>
      <c r="CD174" s="59">
        <f ca="1">AVERAGE(OFFSET($CC$3,0,0,'Données projet'!$E$12+1,1))-AVERAGE(OFFSET($H$3,0,0,'Données projet'!$E$12+1,1))</f>
        <v>216.95993967070063</v>
      </c>
      <c r="CE174" s="59">
        <f t="shared" si="148"/>
        <v>208.79744153433245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0.31658197005471583</v>
      </c>
      <c r="CL174" s="21">
        <f>EXP(-LN(2)/25)*CL173+(1-EXP(-LN(2)/25))/(LN(2)/25)*Calculateur!CG174*Calculateur!CI174*VLOOKUP('Données projet'!$B$12,Paramètres!$A$1:$I$89,3,0)*0.475*44/12</f>
        <v>0.12869064355350332</v>
      </c>
      <c r="CM174" s="21">
        <f>EXP(-LN(2)/2)*CM173+(1-EXP(-LN(2)/2))/(LN(2)/2)*CG174*CJ174*VLOOKUP('Données projet'!$B$12,Paramètres!$A$1:$I$89,3,0)*0.475*44/12</f>
        <v>7.3886077023142761E-22</v>
      </c>
      <c r="CN174" s="22">
        <f t="shared" si="172"/>
        <v>0.44527261360821913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3.813056537183002E-14</v>
      </c>
      <c r="CV174" s="13">
        <f t="shared" si="173"/>
        <v>6.4086286045526829E-13</v>
      </c>
      <c r="CW174" s="20">
        <f t="shared" si="174"/>
        <v>1.1825802166488628E-12</v>
      </c>
      <c r="CX174" s="59">
        <f t="shared" si="122"/>
        <v>293.33333333333451</v>
      </c>
      <c r="CY174" s="59">
        <f ca="1">AVERAGE(OFFSET($CX$3,0,0,'Données projet'!$E$13+1,1))-AVERAGE(OFFSET($H$3,0,0,'Données projet'!$E$13+1,1))</f>
        <v>181.32837315090507</v>
      </c>
      <c r="CZ174" s="59">
        <f t="shared" si="150"/>
        <v>175.03267817980338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0.33557688825799836</v>
      </c>
      <c r="DG174" s="21">
        <f>EXP(-LN(2)/25)*DG173+(1-EXP(-LN(2)/25))/(LN(2)/25)*Calculateur!DB174*Calculateur!DD174*VLOOKUP('Données projet'!$B$13,Paramètres!$A$1:$I$89,3,0)*0.475*44/12</f>
        <v>0.13641208216671355</v>
      </c>
      <c r="DH174" s="21">
        <f>EXP(-LN(2)/2)*DH173+(1-EXP(-LN(2)/2))/(LN(2)/2)*DB174*DE174*VLOOKUP('Données projet'!$B$13,Paramètres!$A$1:$I$89,3,0)*0.475*44/12</f>
        <v>6.3542026239902747E-22</v>
      </c>
      <c r="DI174" s="22">
        <f t="shared" si="175"/>
        <v>0.47198897042471188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-2.8421709430404007E-13</v>
      </c>
      <c r="DP174" s="17">
        <f>DO174*VLOOKUP('Données projet'!$B$14,Paramètres!$A$1:$I$89,3,0)*VLOOKUP('Données projet'!$B$14,Paramètres!$A$1:$I$89,5,0)</f>
        <v>-2.2612312022829427E-13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325.72928944930294</v>
      </c>
      <c r="DU174" s="59">
        <f t="shared" si="152"/>
        <v>318.38876834819752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1.0609303789776827</v>
      </c>
      <c r="EB174" s="21">
        <f>EXP(-LN(2)/25)*EB173+(1-EXP(-LN(2)/25))/(LN(2)/25)*Calculateur!DW174*Calculateur!DY174*VLOOKUP('Données projet'!$B$14,Paramètres!$A$1:$I$89,3,0)*0.475*44/12</f>
        <v>0.41470460409829174</v>
      </c>
      <c r="EC174" s="21">
        <f>EXP(-LN(2)/2)*EC173+(1-EXP(-LN(2)/2))/(LN(2)/2)*DW174*DZ174*VLOOKUP('Données projet'!$B$14,Paramètres!$A$1:$I$89,3,0)*0.475*44/12</f>
        <v>7.0853255401413807E-21</v>
      </c>
      <c r="ED174" s="22">
        <f t="shared" si="178"/>
        <v>1.4756349830759745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-5.7639226724859328E-14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384.50065773787549</v>
      </c>
      <c r="EP174" s="59">
        <f t="shared" si="154"/>
        <v>231.92898690465887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0.50186797041946685</v>
      </c>
      <c r="EW174" s="21">
        <f>EXP(-LN(2)/25)*EW173+(1-EXP(-LN(2)/25))/(LN(2)/25)*Calculateur!ER174*Calculateur!ET174*VLOOKUP('Données projet'!$B$15,Paramètres!$A$1:$I$89,3,0)*0.475*44/12</f>
        <v>0.21046172392865656</v>
      </c>
      <c r="EX174" s="21">
        <f>EXP(-LN(2)/2)*EX173+(1-EXP(-LN(2)/2))/(LN(2)/2)*ER174*EU174*VLOOKUP('Données projet'!$B$15,Paramètres!$A$1:$I$89,3,0)*0.475*44/12</f>
        <v>5.7288265787459879E-21</v>
      </c>
      <c r="EY174" s="22">
        <f t="shared" si="181"/>
        <v>0.71232969434812343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-1.5429577615577727E-13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326.46362829268969</v>
      </c>
      <c r="FK174" s="59">
        <f t="shared" si="156"/>
        <v>203.5274665601915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0.44782065052813946</v>
      </c>
      <c r="FR174" s="21">
        <f>EXP(-LN(2)/25)*FR173+(1-EXP(-LN(2)/25))/(LN(2)/25)*Calculateur!FM174*Calculateur!FO174*VLOOKUP('Données projet'!$B$16,Paramètres!$A$1:$I$89,3,0)*0.475*44/12</f>
        <v>0.18779661519787774</v>
      </c>
      <c r="FS174" s="21">
        <f>EXP(-LN(2)/2)*FS173+(1-EXP(-LN(2)/2))/(LN(2)/2)*FM174*FP174*VLOOKUP('Données projet'!$B$16,Paramètres!$A$1:$I$89,3,0)*0.475*44/12</f>
        <v>5.1118760241118044E-21</v>
      </c>
      <c r="FT174" s="22">
        <f t="shared" si="184"/>
        <v>0.63561726572601718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-1.7053025658242404E-13</v>
      </c>
      <c r="GA174" s="17">
        <f>FZ174*VLOOKUP('Données projet'!$B$17,Paramètres!$A$1:$I$89,3,0)*VLOOKUP('Données projet'!$B$17,Paramètres!$A$1:$I$89,5,0)</f>
        <v>-1.6493686416652052E-13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353.24082990916918</v>
      </c>
      <c r="GF174" s="59">
        <f t="shared" si="158"/>
        <v>219.76562717496353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0.47870483332318359</v>
      </c>
      <c r="GM174" s="21">
        <f>EXP(-LN(2)/25)*GM173+(1-EXP(-LN(2)/25))/(LN(2)/25)*Calculateur!GH174*Calculateur!GJ174*VLOOKUP('Données projet'!$B$17,Paramètres!$A$1:$I$89,3,0)*0.475*44/12</f>
        <v>0.20074810590118017</v>
      </c>
      <c r="GN174" s="21">
        <f>EXP(-LN(2)/2)*GN173+(1-EXP(-LN(2)/2))/(LN(2)/2)*GH174*GK174*VLOOKUP('Données projet'!$B$17,Paramètres!$A$1:$I$89,3,0)*0.475*44/12</f>
        <v>5.4644191981884821E-21</v>
      </c>
      <c r="GO174" s="21">
        <f t="shared" si="187"/>
        <v>0.67945293922436378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378.17323480030268</v>
      </c>
      <c r="T175" s="59">
        <f t="shared" si="142"/>
        <v>471.89239871617241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0.26460918344977713</v>
      </c>
      <c r="AA175" s="21">
        <f>EXP(-LN(2)/25)*AA174+(1-EXP(-LN(2)/25))/(LN(2)/25)*Calculateur!V175*Calculateur!X175*VLOOKUP('Données projet'!$B$9,Paramètres!$A$1:$I$89,3,0)*0.475*44/12</f>
        <v>0.40573464653635771</v>
      </c>
      <c r="AB175" s="21">
        <f>EXP(-LN(2)/2)*AB174+(1-EXP(-LN(2)/2))/(LN(2)/2)*V175*Y175*VLOOKUP('Données projet'!$B$9,Paramètres!$A$1:$I$89,3,0)*0.475*44/12</f>
        <v>4.4302325831843326E-21</v>
      </c>
      <c r="AC175" s="22">
        <f t="shared" si="163"/>
        <v>0.67034382998613484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141.22849894256314</v>
      </c>
      <c r="AO175" s="59">
        <f t="shared" si="144"/>
        <v>156.12101479343704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0.44185578956958294</v>
      </c>
      <c r="AV175" s="21">
        <f>EXP(-LN(2)/25)*AV174+(1-EXP(-LN(2)/25))/(LN(2)/25)*Calculateur!AQ175*Calculateur!AS175*VLOOKUP('Données projet'!$B$10,Paramètres!$A$1:$I$89,3,0)*0.475*44/12</f>
        <v>0.11747059111828413</v>
      </c>
      <c r="AW175" s="21">
        <f>EXP(-LN(2)/2)*AW174+(1-EXP(-LN(2)/2))/(LN(2)/2)*AQ175*AT175*VLOOKUP('Données projet'!$B$10,Paramètres!$A$1:$I$89,3,0)*0.475*44/12</f>
        <v>1.2527494597980208E-21</v>
      </c>
      <c r="AX175" s="21">
        <f t="shared" si="166"/>
        <v>0.55932638068786711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114.25511901730295</v>
      </c>
      <c r="BJ175" s="59">
        <f t="shared" si="146"/>
        <v>180.96261947642182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0.20535131290977524</v>
      </c>
      <c r="BQ175" s="21">
        <f>EXP(-LN(2)/25)*BQ174+(1-EXP(-LN(2)/25))/(LN(2)/25)*Calculateur!BL175*Calculateur!BN175*VLOOKUP('Données projet'!$B$11,Paramètres!$A$1:$I$89,3,0)*0.475*44/12</f>
        <v>0.34748834256099648</v>
      </c>
      <c r="BR175" s="21">
        <f>EXP(-LN(2)/2)*BR174+(1-EXP(-LN(2)/2))/(LN(2)/2)*BL175*BO175*VLOOKUP('Données projet'!$B$11,Paramètres!$A$1:$I$89,3,0)*0.475*44/12</f>
        <v>2.8934910337709175E-21</v>
      </c>
      <c r="BS175" s="22">
        <f t="shared" si="169"/>
        <v>0.55283965547077174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4.4337866711430253E-14</v>
      </c>
      <c r="CA175" s="13">
        <f t="shared" si="170"/>
        <v>7.3222115536967035E-13</v>
      </c>
      <c r="CB175" s="20">
        <f t="shared" si="171"/>
        <v>1.3525069634579169E-12</v>
      </c>
      <c r="CC175" s="59">
        <f t="shared" si="119"/>
        <v>293.33333333333468</v>
      </c>
      <c r="CD175" s="59">
        <f ca="1">AVERAGE(OFFSET($CC$3,0,0,'Données projet'!$E$12+1,1))-AVERAGE(OFFSET($H$3,0,0,'Données projet'!$E$12+1,1))</f>
        <v>216.95993967070063</v>
      </c>
      <c r="CE175" s="59">
        <f t="shared" si="148"/>
        <v>208.79744153433245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0.31037399071787797</v>
      </c>
      <c r="CL175" s="21">
        <f>EXP(-LN(2)/25)*CL174+(1-EXP(-LN(2)/25))/(LN(2)/25)*Calculateur!CG175*Calculateur!CI175*VLOOKUP('Données projet'!$B$12,Paramètres!$A$1:$I$89,3,0)*0.475*44/12</f>
        <v>0.12517159113798595</v>
      </c>
      <c r="CM175" s="21">
        <f>EXP(-LN(2)/2)*CM174+(1-EXP(-LN(2)/2))/(LN(2)/2)*CG175*CJ175*VLOOKUP('Données projet'!$B$12,Paramètres!$A$1:$I$89,3,0)*0.475*44/12</f>
        <v>5.2245346098335804E-22</v>
      </c>
      <c r="CN175" s="22">
        <f t="shared" si="172"/>
        <v>0.43554558185586389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3.813056537183002E-14</v>
      </c>
      <c r="CV175" s="13">
        <f t="shared" si="173"/>
        <v>6.4086286045526829E-13</v>
      </c>
      <c r="CW175" s="20">
        <f t="shared" si="174"/>
        <v>1.1825802166488628E-12</v>
      </c>
      <c r="CX175" s="59">
        <f t="shared" si="122"/>
        <v>293.33333333333451</v>
      </c>
      <c r="CY175" s="59">
        <f ca="1">AVERAGE(OFFSET($CX$3,0,0,'Données projet'!$E$13+1,1))-AVERAGE(OFFSET($H$3,0,0,'Données projet'!$E$13+1,1))</f>
        <v>181.32837315090507</v>
      </c>
      <c r="CZ175" s="59">
        <f t="shared" si="150"/>
        <v>175.03267817980338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0.3289964301609502</v>
      </c>
      <c r="DG175" s="21">
        <f>EXP(-LN(2)/25)*DG174+(1-EXP(-LN(2)/25))/(LN(2)/25)*Calculateur!DB175*Calculateur!DD175*VLOOKUP('Données projet'!$B$13,Paramètres!$A$1:$I$89,3,0)*0.475*44/12</f>
        <v>0.13268188660626515</v>
      </c>
      <c r="DH175" s="21">
        <f>EXP(-LN(2)/2)*DH174+(1-EXP(-LN(2)/2))/(LN(2)/2)*DB175*DE175*VLOOKUP('Données projet'!$B$13,Paramètres!$A$1:$I$89,3,0)*0.475*44/12</f>
        <v>4.4930997644568772E-22</v>
      </c>
      <c r="DI175" s="22">
        <f t="shared" si="175"/>
        <v>0.46167831676721538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-2.8421709430404007E-13</v>
      </c>
      <c r="DP175" s="17">
        <f>DO175*VLOOKUP('Données projet'!$B$14,Paramètres!$A$1:$I$89,3,0)*VLOOKUP('Données projet'!$B$14,Paramètres!$A$1:$I$89,5,0)</f>
        <v>-2.2612312022829427E-13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325.72928944930294</v>
      </c>
      <c r="DU175" s="59">
        <f t="shared" si="152"/>
        <v>318.38876834819752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1.0401261813495655</v>
      </c>
      <c r="EB175" s="21">
        <f>EXP(-LN(2)/25)*EB174+(1-EXP(-LN(2)/25))/(LN(2)/25)*Calculateur!DW175*Calculateur!DY175*VLOOKUP('Données projet'!$B$14,Paramètres!$A$1:$I$89,3,0)*0.475*44/12</f>
        <v>0.40336448489085663</v>
      </c>
      <c r="EC175" s="21">
        <f>EXP(-LN(2)/2)*EC174+(1-EXP(-LN(2)/2))/(LN(2)/2)*DW175*DZ175*VLOOKUP('Données projet'!$B$14,Paramètres!$A$1:$I$89,3,0)*0.475*44/12</f>
        <v>5.0100817363482081E-21</v>
      </c>
      <c r="ED175" s="22">
        <f t="shared" si="178"/>
        <v>1.4434906662404221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-5.7639226724859328E-14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384.50065773787549</v>
      </c>
      <c r="EP175" s="59">
        <f t="shared" si="154"/>
        <v>231.92898690465887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0.49202664562877729</v>
      </c>
      <c r="EW175" s="21">
        <f>EXP(-LN(2)/25)*EW174+(1-EXP(-LN(2)/25))/(LN(2)/25)*Calculateur!ER175*Calculateur!ET175*VLOOKUP('Données projet'!$B$15,Paramètres!$A$1:$I$89,3,0)*0.475*44/12</f>
        <v>0.2047066370201264</v>
      </c>
      <c r="EX175" s="21">
        <f>EXP(-LN(2)/2)*EX174+(1-EXP(-LN(2)/2))/(LN(2)/2)*ER175*EU175*VLOOKUP('Données projet'!$B$15,Paramètres!$A$1:$I$89,3,0)*0.475*44/12</f>
        <v>4.0508921220730169E-21</v>
      </c>
      <c r="EY175" s="22">
        <f t="shared" si="181"/>
        <v>0.69673328264890366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-1.5429577615577727E-13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326.46362829268969</v>
      </c>
      <c r="FK175" s="59">
        <f t="shared" si="156"/>
        <v>203.5274665601915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0.43903916071490878</v>
      </c>
      <c r="FR175" s="21">
        <f>EXP(-LN(2)/25)*FR174+(1-EXP(-LN(2)/25))/(LN(2)/25)*Calculateur!FM175*Calculateur!FO175*VLOOKUP('Données projet'!$B$16,Paramètres!$A$1:$I$89,3,0)*0.475*44/12</f>
        <v>0.182661306879497</v>
      </c>
      <c r="FS175" s="21">
        <f>EXP(-LN(2)/2)*FS174+(1-EXP(-LN(2)/2))/(LN(2)/2)*FM175*FP175*VLOOKUP('Données projet'!$B$16,Paramètres!$A$1:$I$89,3,0)*0.475*44/12</f>
        <v>3.6146422012343841E-21</v>
      </c>
      <c r="FT175" s="22">
        <f t="shared" si="184"/>
        <v>0.62170046759440578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-1.7053025658242404E-13</v>
      </c>
      <c r="GA175" s="17">
        <f>FZ175*VLOOKUP('Données projet'!$B$17,Paramètres!$A$1:$I$89,3,0)*VLOOKUP('Données projet'!$B$17,Paramètres!$A$1:$I$89,5,0)</f>
        <v>-1.6493686416652052E-13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353.24082990916918</v>
      </c>
      <c r="GF175" s="59">
        <f t="shared" si="158"/>
        <v>219.76562717496353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0.46931772352283352</v>
      </c>
      <c r="GM175" s="21">
        <f>EXP(-LN(2)/25)*GM174+(1-EXP(-LN(2)/25))/(LN(2)/25)*Calculateur!GH175*Calculateur!GJ175*VLOOKUP('Données projet'!$B$17,Paramètres!$A$1:$I$89,3,0)*0.475*44/12</f>
        <v>0.19525863838842833</v>
      </c>
      <c r="GN175" s="21">
        <f>EXP(-LN(2)/2)*GN174+(1-EXP(-LN(2)/2))/(LN(2)/2)*GH175*GK175*VLOOKUP('Données projet'!$B$17,Paramètres!$A$1:$I$89,3,0)*0.475*44/12</f>
        <v>3.8639278702850324E-21</v>
      </c>
      <c r="GO175" s="21">
        <f t="shared" si="187"/>
        <v>0.6645763619112619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378.17323480030268</v>
      </c>
      <c r="T176" s="59">
        <f t="shared" si="142"/>
        <v>471.89239871617241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0.25942035875799241</v>
      </c>
      <c r="AA176" s="21">
        <f>EXP(-LN(2)/25)*AA175+(1-EXP(-LN(2)/25))/(LN(2)/25)*Calculateur!V176*Calculateur!X176*VLOOKUP('Données projet'!$B$9,Paramètres!$A$1:$I$89,3,0)*0.475*44/12</f>
        <v>0.39463981129016329</v>
      </c>
      <c r="AB176" s="21">
        <f>EXP(-LN(2)/2)*AB175+(1-EXP(-LN(2)/2))/(LN(2)/2)*V176*Y176*VLOOKUP('Données projet'!$B$9,Paramètres!$A$1:$I$89,3,0)*0.475*44/12</f>
        <v>3.1326475018032371E-21</v>
      </c>
      <c r="AC176" s="22">
        <f t="shared" si="163"/>
        <v>0.65406017004815564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141.22849894256314</v>
      </c>
      <c r="AO176" s="59">
        <f t="shared" si="144"/>
        <v>156.12101479343704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0.43319126704154359</v>
      </c>
      <c r="AV176" s="21">
        <f>EXP(-LN(2)/25)*AV175+(1-EXP(-LN(2)/25))/(LN(2)/25)*Calculateur!AQ176*Calculateur!AS176*VLOOKUP('Données projet'!$B$10,Paramètres!$A$1:$I$89,3,0)*0.475*44/12</f>
        <v>0.11425835162664474</v>
      </c>
      <c r="AW176" s="21">
        <f>EXP(-LN(2)/2)*AW175+(1-EXP(-LN(2)/2))/(LN(2)/2)*AQ176*AT176*VLOOKUP('Données projet'!$B$10,Paramètres!$A$1:$I$89,3,0)*0.475*44/12</f>
        <v>8.8582763815096471E-22</v>
      </c>
      <c r="AX176" s="21">
        <f t="shared" si="166"/>
        <v>0.54744961866818831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114.25511901730295</v>
      </c>
      <c r="BJ176" s="59">
        <f t="shared" si="146"/>
        <v>180.96261947642182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0.20132449891554782</v>
      </c>
      <c r="BQ176" s="21">
        <f>EXP(-LN(2)/25)*BQ175+(1-EXP(-LN(2)/25))/(LN(2)/25)*Calculateur!BL176*Calculateur!BN176*VLOOKUP('Données projet'!$B$11,Paramètres!$A$1:$I$89,3,0)*0.475*44/12</f>
        <v>0.3379862555600483</v>
      </c>
      <c r="BR176" s="21">
        <f>EXP(-LN(2)/2)*BR175+(1-EXP(-LN(2)/2))/(LN(2)/2)*BL176*BO176*VLOOKUP('Données projet'!$B$11,Paramètres!$A$1:$I$89,3,0)*0.475*44/12</f>
        <v>2.0460071312818893E-21</v>
      </c>
      <c r="BS176" s="22">
        <f t="shared" si="169"/>
        <v>0.53931075447559618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4.4337866711430253E-14</v>
      </c>
      <c r="CA176" s="13">
        <f t="shared" si="170"/>
        <v>7.3222115536967035E-13</v>
      </c>
      <c r="CB176" s="20">
        <f t="shared" si="171"/>
        <v>1.3525069634579169E-12</v>
      </c>
      <c r="CC176" s="59">
        <f t="shared" si="119"/>
        <v>293.33333333333468</v>
      </c>
      <c r="CD176" s="59">
        <f ca="1">AVERAGE(OFFSET($CC$3,0,0,'Données projet'!$E$12+1,1))-AVERAGE(OFFSET($H$3,0,0,'Données projet'!$E$12+1,1))</f>
        <v>216.95993967070063</v>
      </c>
      <c r="CE176" s="59">
        <f t="shared" si="148"/>
        <v>208.79744153433245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0.30428774606934195</v>
      </c>
      <c r="CL176" s="21">
        <f>EXP(-LN(2)/25)*CL175+(1-EXP(-LN(2)/25))/(LN(2)/25)*Calculateur!CG176*Calculateur!CI176*VLOOKUP('Données projet'!$B$12,Paramètres!$A$1:$I$89,3,0)*0.475*44/12</f>
        <v>0.12174876739582983</v>
      </c>
      <c r="CM176" s="21">
        <f>EXP(-LN(2)/2)*CM175+(1-EXP(-LN(2)/2))/(LN(2)/2)*CG176*CJ176*VLOOKUP('Données projet'!$B$12,Paramètres!$A$1:$I$89,3,0)*0.475*44/12</f>
        <v>3.694303851157138E-22</v>
      </c>
      <c r="CN176" s="22">
        <f t="shared" si="172"/>
        <v>0.4260365134651718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3.813056537183002E-14</v>
      </c>
      <c r="CV176" s="13">
        <f t="shared" si="173"/>
        <v>6.4086286045526829E-13</v>
      </c>
      <c r="CW176" s="20">
        <f t="shared" si="174"/>
        <v>1.1825802166488628E-12</v>
      </c>
      <c r="CX176" s="59">
        <f t="shared" si="122"/>
        <v>293.33333333333451</v>
      </c>
      <c r="CY176" s="59">
        <f ca="1">AVERAGE(OFFSET($CX$3,0,0,'Données projet'!$E$13+1,1))-AVERAGE(OFFSET($H$3,0,0,'Données projet'!$E$13+1,1))</f>
        <v>181.32837315090507</v>
      </c>
      <c r="CZ176" s="59">
        <f t="shared" si="150"/>
        <v>175.03267817980338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0.32254501083350207</v>
      </c>
      <c r="DG176" s="21">
        <f>EXP(-LN(2)/25)*DG175+(1-EXP(-LN(2)/25))/(LN(2)/25)*Calculateur!DB176*Calculateur!DD176*VLOOKUP('Données projet'!$B$13,Paramètres!$A$1:$I$89,3,0)*0.475*44/12</f>
        <v>0.12905369343957965</v>
      </c>
      <c r="DH176" s="21">
        <f>EXP(-LN(2)/2)*DH175+(1-EXP(-LN(2)/2))/(LN(2)/2)*DB176*DE176*VLOOKUP('Données projet'!$B$13,Paramètres!$A$1:$I$89,3,0)*0.475*44/12</f>
        <v>3.1771013119951374E-22</v>
      </c>
      <c r="DI176" s="22">
        <f t="shared" si="175"/>
        <v>0.45159870427308169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-2.8421709430404007E-13</v>
      </c>
      <c r="DP176" s="17">
        <f>DO176*VLOOKUP('Données projet'!$B$14,Paramètres!$A$1:$I$89,3,0)*VLOOKUP('Données projet'!$B$14,Paramètres!$A$1:$I$89,5,0)</f>
        <v>-2.2612312022829427E-13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325.72928944930294</v>
      </c>
      <c r="DU176" s="59">
        <f t="shared" si="152"/>
        <v>318.38876834819752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1.019729941347628</v>
      </c>
      <c r="EB176" s="21">
        <f>EXP(-LN(2)/25)*EB175+(1-EXP(-LN(2)/25))/(LN(2)/25)*Calculateur!DW176*Calculateur!DY176*VLOOKUP('Données projet'!$B$14,Paramètres!$A$1:$I$89,3,0)*0.475*44/12</f>
        <v>0.39233446183949983</v>
      </c>
      <c r="EC176" s="21">
        <f>EXP(-LN(2)/2)*EC175+(1-EXP(-LN(2)/2))/(LN(2)/2)*DW176*DZ176*VLOOKUP('Données projet'!$B$14,Paramètres!$A$1:$I$89,3,0)*0.475*44/12</f>
        <v>3.5426627700706904E-21</v>
      </c>
      <c r="ED176" s="22">
        <f t="shared" si="178"/>
        <v>1.4120644031871277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-5.7639226724859328E-14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384.50065773787549</v>
      </c>
      <c r="EP176" s="59">
        <f t="shared" si="154"/>
        <v>231.92898690465887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0.48237830321461772</v>
      </c>
      <c r="EW176" s="21">
        <f>EXP(-LN(2)/25)*EW175+(1-EXP(-LN(2)/25))/(LN(2)/25)*Calculateur!ER176*Calculateur!ET176*VLOOKUP('Données projet'!$B$15,Paramètres!$A$1:$I$89,3,0)*0.475*44/12</f>
        <v>0.19910892326575685</v>
      </c>
      <c r="EX176" s="21">
        <f>EXP(-LN(2)/2)*EX175+(1-EXP(-LN(2)/2))/(LN(2)/2)*ER176*EU176*VLOOKUP('Données projet'!$B$15,Paramètres!$A$1:$I$89,3,0)*0.475*44/12</f>
        <v>2.8644132893729939E-21</v>
      </c>
      <c r="EY176" s="22">
        <f t="shared" si="181"/>
        <v>0.68148722648037463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-1.5429577615577727E-13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326.46362829268969</v>
      </c>
      <c r="FK176" s="59">
        <f t="shared" si="156"/>
        <v>203.5274665601915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0.43042987056073562</v>
      </c>
      <c r="FR176" s="21">
        <f>EXP(-LN(2)/25)*FR175+(1-EXP(-LN(2)/25))/(LN(2)/25)*Calculateur!FM176*Calculateur!FO176*VLOOKUP('Données projet'!$B$16,Paramètres!$A$1:$I$89,3,0)*0.475*44/12</f>
        <v>0.17766642383713649</v>
      </c>
      <c r="FS176" s="21">
        <f>EXP(-LN(2)/2)*FS175+(1-EXP(-LN(2)/2))/(LN(2)/2)*FM176*FP176*VLOOKUP('Données projet'!$B$16,Paramètres!$A$1:$I$89,3,0)*0.475*44/12</f>
        <v>2.5559380120559022E-21</v>
      </c>
      <c r="FT176" s="22">
        <f t="shared" si="184"/>
        <v>0.60809629439787205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-1.7053025658242404E-13</v>
      </c>
      <c r="GA176" s="17">
        <f>FZ176*VLOOKUP('Données projet'!$B$17,Paramètres!$A$1:$I$89,3,0)*VLOOKUP('Données projet'!$B$17,Paramètres!$A$1:$I$89,5,0)</f>
        <v>-1.6493686416652052E-13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353.24082990916918</v>
      </c>
      <c r="GF176" s="59">
        <f t="shared" si="158"/>
        <v>219.76562717496353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0.46011468922009674</v>
      </c>
      <c r="GM176" s="21">
        <f>EXP(-LN(2)/25)*GM175+(1-EXP(-LN(2)/25))/(LN(2)/25)*Calculateur!GH176*Calculateur!GJ176*VLOOKUP('Données projet'!$B$17,Paramètres!$A$1:$I$89,3,0)*0.475*44/12</f>
        <v>0.18991928065349123</v>
      </c>
      <c r="GN176" s="21">
        <f>EXP(-LN(2)/2)*GN175+(1-EXP(-LN(2)/2))/(LN(2)/2)*GH176*GK176*VLOOKUP('Données projet'!$B$17,Paramètres!$A$1:$I$89,3,0)*0.475*44/12</f>
        <v>2.732209599094241E-21</v>
      </c>
      <c r="GO176" s="21">
        <f t="shared" si="187"/>
        <v>0.65003396987358797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378.17323480030268</v>
      </c>
      <c r="T177" s="59">
        <f t="shared" si="142"/>
        <v>471.89239871617241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0.25433328375354303</v>
      </c>
      <c r="AA177" s="21">
        <f>EXP(-LN(2)/25)*AA176+(1-EXP(-LN(2)/25))/(LN(2)/25)*Calculateur!V177*Calculateur!X177*VLOOKUP('Données projet'!$B$9,Paramètres!$A$1:$I$89,3,0)*0.475*44/12</f>
        <v>0.38384836489722807</v>
      </c>
      <c r="AB177" s="21">
        <f>EXP(-LN(2)/2)*AB176+(1-EXP(-LN(2)/2))/(LN(2)/2)*V177*Y177*VLOOKUP('Données projet'!$B$9,Paramètres!$A$1:$I$89,3,0)*0.475*44/12</f>
        <v>2.2151162915921663E-21</v>
      </c>
      <c r="AC177" s="22">
        <f t="shared" si="163"/>
        <v>0.63818164865077109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141.22849894256314</v>
      </c>
      <c r="AO177" s="59">
        <f t="shared" si="144"/>
        <v>156.12101479343704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0.4246966505154422</v>
      </c>
      <c r="AV177" s="21">
        <f>EXP(-LN(2)/25)*AV176+(1-EXP(-LN(2)/25))/(LN(2)/25)*Calculateur!AQ177*Calculateur!AS177*VLOOKUP('Données projet'!$B$10,Paramètres!$A$1:$I$89,3,0)*0.475*44/12</f>
        <v>0.11113395099282858</v>
      </c>
      <c r="AW177" s="21">
        <f>EXP(-LN(2)/2)*AW176+(1-EXP(-LN(2)/2))/(LN(2)/2)*AQ177*AT177*VLOOKUP('Données projet'!$B$10,Paramètres!$A$1:$I$89,3,0)*0.475*44/12</f>
        <v>6.2637472989901041E-22</v>
      </c>
      <c r="AX177" s="21">
        <f t="shared" si="166"/>
        <v>0.53583060150827078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114.25511901730295</v>
      </c>
      <c r="BJ177" s="59">
        <f t="shared" si="146"/>
        <v>180.96261947642182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0.19737664828763318</v>
      </c>
      <c r="BQ177" s="21">
        <f>EXP(-LN(2)/25)*BQ176+(1-EXP(-LN(2)/25))/(LN(2)/25)*Calculateur!BL177*Calculateur!BN177*VLOOKUP('Données projet'!$B$11,Paramètres!$A$1:$I$89,3,0)*0.475*44/12</f>
        <v>0.32874400362783407</v>
      </c>
      <c r="BR177" s="21">
        <f>EXP(-LN(2)/2)*BR176+(1-EXP(-LN(2)/2))/(LN(2)/2)*BL177*BO177*VLOOKUP('Données projet'!$B$11,Paramètres!$A$1:$I$89,3,0)*0.475*44/12</f>
        <v>1.4467455168854588E-21</v>
      </c>
      <c r="BS177" s="22">
        <f t="shared" si="169"/>
        <v>0.52612065191546731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4.4337866711430253E-14</v>
      </c>
      <c r="CA177" s="13">
        <f t="shared" si="170"/>
        <v>7.3222115536967035E-13</v>
      </c>
      <c r="CB177" s="20">
        <f t="shared" si="171"/>
        <v>1.3525069634579169E-12</v>
      </c>
      <c r="CC177" s="59">
        <f t="shared" si="119"/>
        <v>293.33333333333468</v>
      </c>
      <c r="CD177" s="59">
        <f ca="1">AVERAGE(OFFSET($CC$3,0,0,'Données projet'!$E$12+1,1))-AVERAGE(OFFSET($H$3,0,0,'Données projet'!$E$12+1,1))</f>
        <v>216.95993967070063</v>
      </c>
      <c r="CE177" s="59">
        <f t="shared" si="148"/>
        <v>208.79744153433245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0.29832084896612104</v>
      </c>
      <c r="CL177" s="21">
        <f>EXP(-LN(2)/25)*CL176+(1-EXP(-LN(2)/25))/(LN(2)/25)*Calculateur!CG177*Calculateur!CI177*VLOOKUP('Données projet'!$B$12,Paramètres!$A$1:$I$89,3,0)*0.475*44/12</f>
        <v>0.11841954094890145</v>
      </c>
      <c r="CM177" s="21">
        <f>EXP(-LN(2)/2)*CM176+(1-EXP(-LN(2)/2))/(LN(2)/2)*CG177*CJ177*VLOOKUP('Données projet'!$B$12,Paramètres!$A$1:$I$89,3,0)*0.475*44/12</f>
        <v>2.6122673049167902E-22</v>
      </c>
      <c r="CN177" s="22">
        <f t="shared" si="172"/>
        <v>0.41674038991502249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3.813056537183002E-14</v>
      </c>
      <c r="CV177" s="13">
        <f t="shared" si="173"/>
        <v>6.4086286045526829E-13</v>
      </c>
      <c r="CW177" s="20">
        <f t="shared" si="174"/>
        <v>1.1825802166488628E-12</v>
      </c>
      <c r="CX177" s="59">
        <f t="shared" si="122"/>
        <v>293.33333333333451</v>
      </c>
      <c r="CY177" s="59">
        <f ca="1">AVERAGE(OFFSET($CX$3,0,0,'Données projet'!$E$13+1,1))-AVERAGE(OFFSET($H$3,0,0,'Données projet'!$E$13+1,1))</f>
        <v>181.32837315090507</v>
      </c>
      <c r="CZ177" s="59">
        <f t="shared" si="150"/>
        <v>175.03267817980338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0.31622009990408795</v>
      </c>
      <c r="DG177" s="21">
        <f>EXP(-LN(2)/25)*DG176+(1-EXP(-LN(2)/25))/(LN(2)/25)*Calculateur!DB177*Calculateur!DD177*VLOOKUP('Données projet'!$B$13,Paramètres!$A$1:$I$89,3,0)*0.475*44/12</f>
        <v>0.12552471340583557</v>
      </c>
      <c r="DH177" s="21">
        <f>EXP(-LN(2)/2)*DH176+(1-EXP(-LN(2)/2))/(LN(2)/2)*DB177*DE177*VLOOKUP('Données projet'!$B$13,Paramètres!$A$1:$I$89,3,0)*0.475*44/12</f>
        <v>2.2465498822284386E-22</v>
      </c>
      <c r="DI177" s="22">
        <f t="shared" si="175"/>
        <v>0.44174481330992355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-2.8421709430404007E-13</v>
      </c>
      <c r="DP177" s="17">
        <f>DO177*VLOOKUP('Données projet'!$B$14,Paramètres!$A$1:$I$89,3,0)*VLOOKUP('Données projet'!$B$14,Paramètres!$A$1:$I$89,5,0)</f>
        <v>-2.2612312022829427E-13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325.72928944930294</v>
      </c>
      <c r="DU177" s="59">
        <f t="shared" si="152"/>
        <v>318.38876834819752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0.99973365917165036</v>
      </c>
      <c r="EB177" s="21">
        <f>EXP(-LN(2)/25)*EB176+(1-EXP(-LN(2)/25))/(LN(2)/25)*Calculateur!DW177*Calculateur!DY177*VLOOKUP('Données projet'!$B$14,Paramètres!$A$1:$I$89,3,0)*0.475*44/12</f>
        <v>0.38160605534852604</v>
      </c>
      <c r="EC177" s="21">
        <f>EXP(-LN(2)/2)*EC176+(1-EXP(-LN(2)/2))/(LN(2)/2)*DW177*DZ177*VLOOKUP('Données projet'!$B$14,Paramètres!$A$1:$I$89,3,0)*0.475*44/12</f>
        <v>2.5050408681741041E-21</v>
      </c>
      <c r="ED177" s="22">
        <f t="shared" si="178"/>
        <v>1.3813397145201765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-5.7639226724859328E-14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384.50065773787549</v>
      </c>
      <c r="EP177" s="59">
        <f t="shared" si="154"/>
        <v>231.92898690465887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0.47291915891029207</v>
      </c>
      <c r="EW177" s="21">
        <f>EXP(-LN(2)/25)*EW176+(1-EXP(-LN(2)/25))/(LN(2)/25)*Calculateur!ER177*Calculateur!ET177*VLOOKUP('Données projet'!$B$15,Paramètres!$A$1:$I$89,3,0)*0.475*44/12</f>
        <v>0.19366427928837152</v>
      </c>
      <c r="EX177" s="21">
        <f>EXP(-LN(2)/2)*EX176+(1-EXP(-LN(2)/2))/(LN(2)/2)*ER177*EU177*VLOOKUP('Données projet'!$B$15,Paramètres!$A$1:$I$89,3,0)*0.475*44/12</f>
        <v>2.0254460610365084E-21</v>
      </c>
      <c r="EY177" s="22">
        <f t="shared" si="181"/>
        <v>0.66658343819866361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-1.5429577615577727E-13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326.46362829268969</v>
      </c>
      <c r="FK177" s="59">
        <f t="shared" si="156"/>
        <v>203.5274665601915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0.42198940333533735</v>
      </c>
      <c r="FR177" s="21">
        <f>EXP(-LN(2)/25)*FR176+(1-EXP(-LN(2)/25))/(LN(2)/25)*Calculateur!FM177*Calculateur!FO177*VLOOKUP('Données projet'!$B$16,Paramètres!$A$1:$I$89,3,0)*0.475*44/12</f>
        <v>0.17280812613423882</v>
      </c>
      <c r="FS177" s="21">
        <f>EXP(-LN(2)/2)*FS176+(1-EXP(-LN(2)/2))/(LN(2)/2)*FM177*FP177*VLOOKUP('Données projet'!$B$16,Paramètres!$A$1:$I$89,3,0)*0.475*44/12</f>
        <v>1.8073211006171921E-21</v>
      </c>
      <c r="FT177" s="22">
        <f t="shared" si="184"/>
        <v>0.5947975294695762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-1.7053025658242404E-13</v>
      </c>
      <c r="GA177" s="17">
        <f>FZ177*VLOOKUP('Données projet'!$B$17,Paramètres!$A$1:$I$89,3,0)*VLOOKUP('Données projet'!$B$17,Paramètres!$A$1:$I$89,5,0)</f>
        <v>-1.6493686416652052E-13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353.24082990916918</v>
      </c>
      <c r="GF177" s="59">
        <f t="shared" si="158"/>
        <v>219.76562717496353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0.45109212080673994</v>
      </c>
      <c r="GM177" s="21">
        <f>EXP(-LN(2)/25)*GM176+(1-EXP(-LN(2)/25))/(LN(2)/25)*Calculateur!GH177*Calculateur!GJ177*VLOOKUP('Données projet'!$B$17,Paramètres!$A$1:$I$89,3,0)*0.475*44/12</f>
        <v>0.18472592793660061</v>
      </c>
      <c r="GN177" s="21">
        <f>EXP(-LN(2)/2)*GN176+(1-EXP(-LN(2)/2))/(LN(2)/2)*GH177*GK177*VLOOKUP('Données projet'!$B$17,Paramètres!$A$1:$I$89,3,0)*0.475*44/12</f>
        <v>1.9319639351425162E-21</v>
      </c>
      <c r="GO177" s="21">
        <f t="shared" si="187"/>
        <v>0.63581804874334058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378.17323480030268</v>
      </c>
      <c r="T178" s="59">
        <f t="shared" si="142"/>
        <v>471.89239871617241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0.24934596318712152</v>
      </c>
      <c r="AA178" s="21">
        <f>EXP(-LN(2)/25)*AA177+(1-EXP(-LN(2)/25))/(LN(2)/25)*Calculateur!V178*Calculateur!X178*VLOOKUP('Données projet'!$B$9,Paramètres!$A$1:$I$89,3,0)*0.475*44/12</f>
        <v>0.37335201117340516</v>
      </c>
      <c r="AB178" s="21">
        <f>EXP(-LN(2)/2)*AB177+(1-EXP(-LN(2)/2))/(LN(2)/2)*V178*Y178*VLOOKUP('Données projet'!$B$9,Paramètres!$A$1:$I$89,3,0)*0.475*44/12</f>
        <v>1.5663237509016186E-21</v>
      </c>
      <c r="AC178" s="22">
        <f t="shared" si="163"/>
        <v>0.62269797436052665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141.22849894256314</v>
      </c>
      <c r="AO178" s="59">
        <f t="shared" si="144"/>
        <v>156.12101479343704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0.4163686082382132</v>
      </c>
      <c r="AV178" s="21">
        <f>EXP(-LN(2)/25)*AV177+(1-EXP(-LN(2)/25))/(LN(2)/25)*Calculateur!AQ178*Calculateur!AS178*VLOOKUP('Données projet'!$B$10,Paramètres!$A$1:$I$89,3,0)*0.475*44/12</f>
        <v>0.1080949872586492</v>
      </c>
      <c r="AW178" s="21">
        <f>EXP(-LN(2)/2)*AW177+(1-EXP(-LN(2)/2))/(LN(2)/2)*AQ178*AT178*VLOOKUP('Données projet'!$B$10,Paramètres!$A$1:$I$89,3,0)*0.475*44/12</f>
        <v>4.4291381907548235E-22</v>
      </c>
      <c r="AX178" s="21">
        <f t="shared" si="166"/>
        <v>0.52446359549686239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114.25511901730295</v>
      </c>
      <c r="BJ178" s="59">
        <f t="shared" si="146"/>
        <v>180.96261947642182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0.19350621260258083</v>
      </c>
      <c r="BQ178" s="21">
        <f>EXP(-LN(2)/25)*BQ177+(1-EXP(-LN(2)/25))/(LN(2)/25)*Calculateur!BL178*Calculateur!BN178*VLOOKUP('Données projet'!$B$11,Paramètres!$A$1:$I$89,3,0)*0.475*44/12</f>
        <v>0.31975448156073516</v>
      </c>
      <c r="BR178" s="21">
        <f>EXP(-LN(2)/2)*BR177+(1-EXP(-LN(2)/2))/(LN(2)/2)*BL178*BO178*VLOOKUP('Données projet'!$B$11,Paramètres!$A$1:$I$89,3,0)*0.475*44/12</f>
        <v>1.0230035656409447E-21</v>
      </c>
      <c r="BS178" s="22">
        <f t="shared" si="169"/>
        <v>0.51326069416331599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4.4337866711430253E-14</v>
      </c>
      <c r="CA178" s="13">
        <f t="shared" si="170"/>
        <v>7.3222115536967035E-13</v>
      </c>
      <c r="CB178" s="20">
        <f t="shared" si="171"/>
        <v>1.3525069634579169E-12</v>
      </c>
      <c r="CC178" s="59">
        <f t="shared" si="119"/>
        <v>293.33333333333468</v>
      </c>
      <c r="CD178" s="59">
        <f ca="1">AVERAGE(OFFSET($CC$3,0,0,'Données projet'!$E$12+1,1))-AVERAGE(OFFSET($H$3,0,0,'Données projet'!$E$12+1,1))</f>
        <v>216.95993967070063</v>
      </c>
      <c r="CE178" s="59">
        <f t="shared" si="148"/>
        <v>208.79744153433245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0.29247095907564646</v>
      </c>
      <c r="CL178" s="21">
        <f>EXP(-LN(2)/25)*CL177+(1-EXP(-LN(2)/25))/(LN(2)/25)*Calculateur!CG178*Calculateur!CI178*VLOOKUP('Données projet'!$B$12,Paramètres!$A$1:$I$89,3,0)*0.475*44/12</f>
        <v>0.11518135237424074</v>
      </c>
      <c r="CM178" s="21">
        <f>EXP(-LN(2)/2)*CM177+(1-EXP(-LN(2)/2))/(LN(2)/2)*CG178*CJ178*VLOOKUP('Données projet'!$B$12,Paramètres!$A$1:$I$89,3,0)*0.475*44/12</f>
        <v>1.847151925578569E-22</v>
      </c>
      <c r="CN178" s="22">
        <f t="shared" si="172"/>
        <v>0.40765231144988723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3.813056537183002E-14</v>
      </c>
      <c r="CV178" s="13">
        <f t="shared" si="173"/>
        <v>6.4086286045526829E-13</v>
      </c>
      <c r="CW178" s="20">
        <f t="shared" si="174"/>
        <v>1.1825802166488628E-12</v>
      </c>
      <c r="CX178" s="59">
        <f t="shared" si="122"/>
        <v>293.33333333333451</v>
      </c>
      <c r="CY178" s="59">
        <f ca="1">AVERAGE(OFFSET($CX$3,0,0,'Données projet'!$E$13+1,1))-AVERAGE(OFFSET($H$3,0,0,'Données projet'!$E$13+1,1))</f>
        <v>181.32837315090507</v>
      </c>
      <c r="CZ178" s="59">
        <f t="shared" si="150"/>
        <v>175.03267817980338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0.31001921662018489</v>
      </c>
      <c r="DG178" s="21">
        <f>EXP(-LN(2)/25)*DG177+(1-EXP(-LN(2)/25))/(LN(2)/25)*Calculateur!DB178*Calculateur!DD178*VLOOKUP('Données projet'!$B$13,Paramètres!$A$1:$I$89,3,0)*0.475*44/12</f>
        <v>0.12209223351669521</v>
      </c>
      <c r="DH178" s="21">
        <f>EXP(-LN(2)/2)*DH177+(1-EXP(-LN(2)/2))/(LN(2)/2)*DB178*DE178*VLOOKUP('Données projet'!$B$13,Paramètres!$A$1:$I$89,3,0)*0.475*44/12</f>
        <v>1.5885506559975687E-22</v>
      </c>
      <c r="DI178" s="22">
        <f t="shared" si="175"/>
        <v>0.43211145013688013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-2.8421709430404007E-13</v>
      </c>
      <c r="DP178" s="17">
        <f>DO178*VLOOKUP('Données projet'!$B$14,Paramètres!$A$1:$I$89,3,0)*VLOOKUP('Données projet'!$B$14,Paramètres!$A$1:$I$89,5,0)</f>
        <v>-2.2612312022829427E-13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325.72928944930294</v>
      </c>
      <c r="DU178" s="59">
        <f t="shared" si="152"/>
        <v>318.38876834819752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0.98012949189261589</v>
      </c>
      <c r="EB178" s="21">
        <f>EXP(-LN(2)/25)*EB177+(1-EXP(-LN(2)/25))/(LN(2)/25)*Calculateur!DW178*Calculateur!DY178*VLOOKUP('Données projet'!$B$14,Paramètres!$A$1:$I$89,3,0)*0.475*44/12</f>
        <v>0.37117101769723032</v>
      </c>
      <c r="EC178" s="21">
        <f>EXP(-LN(2)/2)*EC177+(1-EXP(-LN(2)/2))/(LN(2)/2)*DW178*DZ178*VLOOKUP('Données projet'!$B$14,Paramètres!$A$1:$I$89,3,0)*0.475*44/12</f>
        <v>1.7713313850353452E-21</v>
      </c>
      <c r="ED178" s="22">
        <f t="shared" si="178"/>
        <v>1.3513005095898463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-5.7639226724859328E-14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384.50065773787549</v>
      </c>
      <c r="EP178" s="59">
        <f t="shared" si="154"/>
        <v>231.92898690465887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0.46364550265626586</v>
      </c>
      <c r="EW178" s="21">
        <f>EXP(-LN(2)/25)*EW177+(1-EXP(-LN(2)/25))/(LN(2)/25)*Calculateur!ER178*Calculateur!ET178*VLOOKUP('Données projet'!$B$15,Paramètres!$A$1:$I$89,3,0)*0.475*44/12</f>
        <v>0.18836851938686919</v>
      </c>
      <c r="EX178" s="21">
        <f>EXP(-LN(2)/2)*EX177+(1-EXP(-LN(2)/2))/(LN(2)/2)*ER178*EU178*VLOOKUP('Données projet'!$B$15,Paramètres!$A$1:$I$89,3,0)*0.475*44/12</f>
        <v>1.432206644686497E-21</v>
      </c>
      <c r="EY178" s="22">
        <f t="shared" si="181"/>
        <v>0.65201402204313508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-1.5429577615577727E-13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326.46362829268969</v>
      </c>
      <c r="FK178" s="59">
        <f t="shared" si="156"/>
        <v>203.5274665601915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0.41371444852405248</v>
      </c>
      <c r="FR178" s="21">
        <f>EXP(-LN(2)/25)*FR177+(1-EXP(-LN(2)/25))/(LN(2)/25)*Calculateur!FM178*Calculateur!FO178*VLOOKUP('Données projet'!$B$16,Paramètres!$A$1:$I$89,3,0)*0.475*44/12</f>
        <v>0.16808267883751365</v>
      </c>
      <c r="FS178" s="21">
        <f>EXP(-LN(2)/2)*FS177+(1-EXP(-LN(2)/2))/(LN(2)/2)*FM178*FP178*VLOOKUP('Données projet'!$B$16,Paramètres!$A$1:$I$89,3,0)*0.475*44/12</f>
        <v>1.2779690060279511E-21</v>
      </c>
      <c r="FT178" s="22">
        <f t="shared" si="184"/>
        <v>0.58179712736156608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-1.7053025658242404E-13</v>
      </c>
      <c r="GA178" s="17">
        <f>FZ178*VLOOKUP('Données projet'!$B$17,Paramètres!$A$1:$I$89,3,0)*VLOOKUP('Données projet'!$B$17,Paramètres!$A$1:$I$89,5,0)</f>
        <v>-1.6493686416652052E-13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353.24082990916918</v>
      </c>
      <c r="GF178" s="59">
        <f t="shared" si="158"/>
        <v>219.76562717496353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0.44224647945674572</v>
      </c>
      <c r="GM178" s="21">
        <f>EXP(-LN(2)/25)*GM177+(1-EXP(-LN(2)/25))/(LN(2)/25)*Calculateur!GH178*Calculateur!GJ178*VLOOKUP('Données projet'!$B$17,Paramètres!$A$1:$I$89,3,0)*0.475*44/12</f>
        <v>0.17967458772285991</v>
      </c>
      <c r="GN178" s="21">
        <f>EXP(-LN(2)/2)*GN177+(1-EXP(-LN(2)/2))/(LN(2)/2)*GH178*GK178*VLOOKUP('Données projet'!$B$17,Paramètres!$A$1:$I$89,3,0)*0.475*44/12</f>
        <v>1.3661047995471205E-21</v>
      </c>
      <c r="GO178" s="21">
        <f t="shared" si="187"/>
        <v>0.6219210671796056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378.17323480030268</v>
      </c>
      <c r="T179" s="59">
        <f t="shared" si="142"/>
        <v>471.89239871617241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0.24445644093504237</v>
      </c>
      <c r="AA179" s="21">
        <f>EXP(-LN(2)/25)*AA178+(1-EXP(-LN(2)/25))/(LN(2)/25)*Calculateur!V179*Calculateur!X179*VLOOKUP('Données projet'!$B$9,Paramètres!$A$1:$I$89,3,0)*0.475*44/12</f>
        <v>0.36314268079413942</v>
      </c>
      <c r="AB179" s="21">
        <f>EXP(-LN(2)/2)*AB178+(1-EXP(-LN(2)/2))/(LN(2)/2)*V179*Y179*VLOOKUP('Données projet'!$B$9,Paramètres!$A$1:$I$89,3,0)*0.475*44/12</f>
        <v>1.1075581457960831E-21</v>
      </c>
      <c r="AC179" s="22">
        <f t="shared" si="163"/>
        <v>0.60759912172918185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141.22849894256314</v>
      </c>
      <c r="AO179" s="59">
        <f t="shared" si="144"/>
        <v>156.12101479343704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0.40820387379043643</v>
      </c>
      <c r="AV179" s="21">
        <f>EXP(-LN(2)/25)*AV178+(1-EXP(-LN(2)/25))/(LN(2)/25)*Calculateur!AQ179*Calculateur!AS179*VLOOKUP('Données projet'!$B$10,Paramètres!$A$1:$I$89,3,0)*0.475*44/12</f>
        <v>0.10513912414759312</v>
      </c>
      <c r="AW179" s="21">
        <f>EXP(-LN(2)/2)*AW178+(1-EXP(-LN(2)/2))/(LN(2)/2)*AQ179*AT179*VLOOKUP('Données projet'!$B$10,Paramètres!$A$1:$I$89,3,0)*0.475*44/12</f>
        <v>3.131873649495052E-22</v>
      </c>
      <c r="AX179" s="21">
        <f t="shared" si="166"/>
        <v>0.51334299793802951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114.25511901730295</v>
      </c>
      <c r="BJ179" s="59">
        <f t="shared" si="146"/>
        <v>180.96261947642182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0.18971167380057968</v>
      </c>
      <c r="BQ179" s="21">
        <f>EXP(-LN(2)/25)*BQ178+(1-EXP(-LN(2)/25))/(LN(2)/25)*Calculateur!BL179*Calculateur!BN179*VLOOKUP('Données projet'!$B$11,Paramètres!$A$1:$I$89,3,0)*0.475*44/12</f>
        <v>0.31101077844729946</v>
      </c>
      <c r="BR179" s="21">
        <f>EXP(-LN(2)/2)*BR178+(1-EXP(-LN(2)/2))/(LN(2)/2)*BL179*BO179*VLOOKUP('Données projet'!$B$11,Paramètres!$A$1:$I$89,3,0)*0.475*44/12</f>
        <v>7.2337275844272938E-22</v>
      </c>
      <c r="BS179" s="22">
        <f t="shared" si="169"/>
        <v>0.50072245224787915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4.4337866711430253E-14</v>
      </c>
      <c r="CA179" s="13">
        <f t="shared" si="170"/>
        <v>7.3222115536967035E-13</v>
      </c>
      <c r="CB179" s="20">
        <f t="shared" si="171"/>
        <v>1.3525069634579169E-12</v>
      </c>
      <c r="CC179" s="59">
        <f t="shared" si="119"/>
        <v>293.33333333333468</v>
      </c>
      <c r="CD179" s="59">
        <f ca="1">AVERAGE(OFFSET($CC$3,0,0,'Données projet'!$E$12+1,1))-AVERAGE(OFFSET($H$3,0,0,'Données projet'!$E$12+1,1))</f>
        <v>216.95993967070063</v>
      </c>
      <c r="CE179" s="59">
        <f t="shared" si="148"/>
        <v>208.79744153433245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0.28673578195784355</v>
      </c>
      <c r="CL179" s="21">
        <f>EXP(-LN(2)/25)*CL178+(1-EXP(-LN(2)/25))/(LN(2)/25)*Calculateur!CG179*Calculateur!CI179*VLOOKUP('Données projet'!$B$12,Paramètres!$A$1:$I$89,3,0)*0.475*44/12</f>
        <v>0.11203171223644305</v>
      </c>
      <c r="CM179" s="21">
        <f>EXP(-LN(2)/2)*CM178+(1-EXP(-LN(2)/2))/(LN(2)/2)*CG179*CJ179*VLOOKUP('Données projet'!$B$12,Paramètres!$A$1:$I$89,3,0)*0.475*44/12</f>
        <v>1.3061336524583951E-22</v>
      </c>
      <c r="CN179" s="22">
        <f t="shared" si="172"/>
        <v>0.39876749419428659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3.813056537183002E-14</v>
      </c>
      <c r="CV179" s="13">
        <f t="shared" si="173"/>
        <v>6.4086286045526829E-13</v>
      </c>
      <c r="CW179" s="20">
        <f t="shared" si="174"/>
        <v>1.1825802166488628E-12</v>
      </c>
      <c r="CX179" s="59">
        <f t="shared" si="122"/>
        <v>293.33333333333451</v>
      </c>
      <c r="CY179" s="59">
        <f ca="1">AVERAGE(OFFSET($CX$3,0,0,'Données projet'!$E$13+1,1))-AVERAGE(OFFSET($H$3,0,0,'Données projet'!$E$13+1,1))</f>
        <v>181.32837315090507</v>
      </c>
      <c r="CZ179" s="59">
        <f t="shared" si="150"/>
        <v>175.03267817980338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0.30393992887531379</v>
      </c>
      <c r="DG179" s="21">
        <f>EXP(-LN(2)/25)*DG178+(1-EXP(-LN(2)/25))/(LN(2)/25)*Calculateur!DB179*Calculateur!DD179*VLOOKUP('Données projet'!$B$13,Paramètres!$A$1:$I$89,3,0)*0.475*44/12</f>
        <v>0.11875361497062967</v>
      </c>
      <c r="DH179" s="21">
        <f>EXP(-LN(2)/2)*DH178+(1-EXP(-LN(2)/2))/(LN(2)/2)*DB179*DE179*VLOOKUP('Données projet'!$B$13,Paramètres!$A$1:$I$89,3,0)*0.475*44/12</f>
        <v>1.1232749411142193E-22</v>
      </c>
      <c r="DI179" s="22">
        <f t="shared" si="175"/>
        <v>0.42269354384594349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-2.8421709430404007E-13</v>
      </c>
      <c r="DP179" s="17">
        <f>DO179*VLOOKUP('Données projet'!$B$14,Paramètres!$A$1:$I$89,3,0)*VLOOKUP('Données projet'!$B$14,Paramètres!$A$1:$I$89,5,0)</f>
        <v>-2.2612312022829427E-13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325.72928944930294</v>
      </c>
      <c r="DU179" s="59">
        <f t="shared" si="152"/>
        <v>318.38876834819752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0.9609097503765619</v>
      </c>
      <c r="EB179" s="21">
        <f>EXP(-LN(2)/25)*EB178+(1-EXP(-LN(2)/25))/(LN(2)/25)*Calculateur!DW179*Calculateur!DY179*VLOOKUP('Données projet'!$B$14,Paramètres!$A$1:$I$89,3,0)*0.475*44/12</f>
        <v>0.36102132669926407</v>
      </c>
      <c r="EC179" s="21">
        <f>EXP(-LN(2)/2)*EC178+(1-EXP(-LN(2)/2))/(LN(2)/2)*DW179*DZ179*VLOOKUP('Données projet'!$B$14,Paramètres!$A$1:$I$89,3,0)*0.475*44/12</f>
        <v>1.252520434087052E-21</v>
      </c>
      <c r="ED179" s="22">
        <f t="shared" si="178"/>
        <v>1.3219310770758259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-5.7639226724859328E-14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384.50065773787549</v>
      </c>
      <c r="EP179" s="59">
        <f t="shared" si="154"/>
        <v>231.92898690465887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0.45455369714500932</v>
      </c>
      <c r="EW179" s="21">
        <f>EXP(-LN(2)/25)*EW178+(1-EXP(-LN(2)/25))/(LN(2)/25)*Calculateur!ER179*Calculateur!ET179*VLOOKUP('Données projet'!$B$15,Paramètres!$A$1:$I$89,3,0)*0.475*44/12</f>
        <v>0.18321757231836533</v>
      </c>
      <c r="EX179" s="21">
        <f>EXP(-LN(2)/2)*EX178+(1-EXP(-LN(2)/2))/(LN(2)/2)*ER179*EU179*VLOOKUP('Données projet'!$B$15,Paramètres!$A$1:$I$89,3,0)*0.475*44/12</f>
        <v>1.0127230305182542E-21</v>
      </c>
      <c r="EY179" s="22">
        <f t="shared" si="181"/>
        <v>0.63777126946337459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-1.5429577615577727E-13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326.46362829268969</v>
      </c>
      <c r="FK179" s="59">
        <f t="shared" si="156"/>
        <v>203.5274665601915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0.40560176052939284</v>
      </c>
      <c r="FR179" s="21">
        <f>EXP(-LN(2)/25)*FR178+(1-EXP(-LN(2)/25))/(LN(2)/25)*Calculateur!FM179*Calculateur!FO179*VLOOKUP('Données projet'!$B$16,Paramètres!$A$1:$I$89,3,0)*0.475*44/12</f>
        <v>0.16348644914561791</v>
      </c>
      <c r="FS179" s="21">
        <f>EXP(-LN(2)/2)*FS178+(1-EXP(-LN(2)/2))/(LN(2)/2)*FM179*FP179*VLOOKUP('Données projet'!$B$16,Paramètres!$A$1:$I$89,3,0)*0.475*44/12</f>
        <v>9.0366055030859604E-22</v>
      </c>
      <c r="FT179" s="22">
        <f t="shared" si="184"/>
        <v>0.56908820967501073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-1.7053025658242404E-13</v>
      </c>
      <c r="GA179" s="17">
        <f>FZ179*VLOOKUP('Données projet'!$B$17,Paramètres!$A$1:$I$89,3,0)*VLOOKUP('Données projet'!$B$17,Paramètres!$A$1:$I$89,5,0)</f>
        <v>-1.6493686416652052E-13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353.24082990916918</v>
      </c>
      <c r="GF179" s="59">
        <f t="shared" si="158"/>
        <v>219.76562717496353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0.43357429573831641</v>
      </c>
      <c r="GM179" s="21">
        <f>EXP(-LN(2)/25)*GM178+(1-EXP(-LN(2)/25))/(LN(2)/25)*Calculateur!GH179*Calculateur!GJ179*VLOOKUP('Données projet'!$B$17,Paramètres!$A$1:$I$89,3,0)*0.475*44/12</f>
        <v>0.1747613766729024</v>
      </c>
      <c r="GN179" s="21">
        <f>EXP(-LN(2)/2)*GN178+(1-EXP(-LN(2)/2))/(LN(2)/2)*GH179*GK179*VLOOKUP('Données projet'!$B$17,Paramètres!$A$1:$I$89,3,0)*0.475*44/12</f>
        <v>9.659819675712581E-22</v>
      </c>
      <c r="GO179" s="21">
        <f t="shared" si="187"/>
        <v>0.60833567241121878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378.17323480030268</v>
      </c>
      <c r="T180" s="59">
        <f t="shared" si="142"/>
        <v>471.89239871617241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0.23966279923201239</v>
      </c>
      <c r="AA180" s="21">
        <f>EXP(-LN(2)/25)*AA179+(1-EXP(-LN(2)/25))/(LN(2)/25)*Calculateur!V180*Calculateur!X180*VLOOKUP('Données projet'!$B$9,Paramètres!$A$1:$I$89,3,0)*0.475*44/12</f>
        <v>0.35321252509098006</v>
      </c>
      <c r="AB180" s="21">
        <f>EXP(-LN(2)/2)*AB179+(1-EXP(-LN(2)/2))/(LN(2)/2)*V180*Y180*VLOOKUP('Données projet'!$B$9,Paramètres!$A$1:$I$89,3,0)*0.475*44/12</f>
        <v>7.8316187545080928E-22</v>
      </c>
      <c r="AC180" s="22">
        <f t="shared" si="163"/>
        <v>0.5928753243229925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141.22849894256314</v>
      </c>
      <c r="AO180" s="59">
        <f t="shared" si="144"/>
        <v>156.12101479343704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0.40019924480518426</v>
      </c>
      <c r="AV180" s="21">
        <f>EXP(-LN(2)/25)*AV179+(1-EXP(-LN(2)/25))/(LN(2)/25)*Calculateur!AQ180*Calculateur!AS180*VLOOKUP('Données projet'!$B$10,Paramètres!$A$1:$I$89,3,0)*0.475*44/12</f>
        <v>0.10226408926875094</v>
      </c>
      <c r="AW180" s="21">
        <f>EXP(-LN(2)/2)*AW179+(1-EXP(-LN(2)/2))/(LN(2)/2)*AQ180*AT180*VLOOKUP('Données projet'!$B$10,Paramètres!$A$1:$I$89,3,0)*0.475*44/12</f>
        <v>2.2145690953774118E-22</v>
      </c>
      <c r="AX180" s="21">
        <f t="shared" si="166"/>
        <v>0.50246333407393518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114.25511901730295</v>
      </c>
      <c r="BJ180" s="59">
        <f t="shared" si="146"/>
        <v>180.96261947642182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0.18599154359004566</v>
      </c>
      <c r="BQ180" s="21">
        <f>EXP(-LN(2)/25)*BQ179+(1-EXP(-LN(2)/25))/(LN(2)/25)*Calculateur!BL180*Calculateur!BN180*VLOOKUP('Données projet'!$B$11,Paramètres!$A$1:$I$89,3,0)*0.475*44/12</f>
        <v>0.30250617235531202</v>
      </c>
      <c r="BR180" s="21">
        <f>EXP(-LN(2)/2)*BR179+(1-EXP(-LN(2)/2))/(LN(2)/2)*BL180*BO180*VLOOKUP('Données projet'!$B$11,Paramètres!$A$1:$I$89,3,0)*0.475*44/12</f>
        <v>5.1150178282047233E-22</v>
      </c>
      <c r="BS180" s="22">
        <f t="shared" si="169"/>
        <v>0.48849771594535768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4.4337866711430253E-14</v>
      </c>
      <c r="CA180" s="13">
        <f t="shared" si="170"/>
        <v>7.3222115536967035E-13</v>
      </c>
      <c r="CB180" s="20">
        <f t="shared" si="171"/>
        <v>1.3525069634579169E-12</v>
      </c>
      <c r="CC180" s="59">
        <f t="shared" si="119"/>
        <v>293.33333333333468</v>
      </c>
      <c r="CD180" s="59">
        <f ca="1">AVERAGE(OFFSET($CC$3,0,0,'Données projet'!$E$12+1,1))-AVERAGE(OFFSET($H$3,0,0,'Données projet'!$E$12+1,1))</f>
        <v>216.95993967070063</v>
      </c>
      <c r="CE180" s="59">
        <f t="shared" si="148"/>
        <v>208.79744153433245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0.28111306816520815</v>
      </c>
      <c r="CL180" s="21">
        <f>EXP(-LN(2)/25)*CL179+(1-EXP(-LN(2)/25))/(LN(2)/25)*Calculateur!CG180*Calculateur!CI180*VLOOKUP('Données projet'!$B$12,Paramètres!$A$1:$I$89,3,0)*0.475*44/12</f>
        <v>0.10896819917384583</v>
      </c>
      <c r="CM180" s="21">
        <f>EXP(-LN(2)/2)*CM179+(1-EXP(-LN(2)/2))/(LN(2)/2)*CG180*CJ180*VLOOKUP('Données projet'!$B$12,Paramètres!$A$1:$I$89,3,0)*0.475*44/12</f>
        <v>9.2357596278928451E-23</v>
      </c>
      <c r="CN180" s="22">
        <f t="shared" si="172"/>
        <v>0.39008126733905396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3.813056537183002E-14</v>
      </c>
      <c r="CV180" s="13">
        <f t="shared" si="173"/>
        <v>6.4086286045526829E-13</v>
      </c>
      <c r="CW180" s="20">
        <f t="shared" si="174"/>
        <v>1.1825802166488628E-12</v>
      </c>
      <c r="CX180" s="59">
        <f t="shared" si="122"/>
        <v>293.33333333333451</v>
      </c>
      <c r="CY180" s="59">
        <f ca="1">AVERAGE(OFFSET($CX$3,0,0,'Données projet'!$E$13+1,1))-AVERAGE(OFFSET($H$3,0,0,'Données projet'!$E$13+1,1))</f>
        <v>181.32837315090507</v>
      </c>
      <c r="CZ180" s="59">
        <f t="shared" si="150"/>
        <v>175.03267817980338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0.29797985225512025</v>
      </c>
      <c r="DG180" s="21">
        <f>EXP(-LN(2)/25)*DG179+(1-EXP(-LN(2)/25))/(LN(2)/25)*Calculateur!DB180*Calculateur!DD180*VLOOKUP('Données projet'!$B$13,Paramètres!$A$1:$I$89,3,0)*0.475*44/12</f>
        <v>0.1155062911242766</v>
      </c>
      <c r="DH180" s="21">
        <f>EXP(-LN(2)/2)*DH179+(1-EXP(-LN(2)/2))/(LN(2)/2)*DB180*DE180*VLOOKUP('Données projet'!$B$13,Paramètres!$A$1:$I$89,3,0)*0.475*44/12</f>
        <v>7.9427532799878434E-23</v>
      </c>
      <c r="DI180" s="22">
        <f t="shared" si="175"/>
        <v>0.41348614337939682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-2.8421709430404007E-13</v>
      </c>
      <c r="DP180" s="17">
        <f>DO180*VLOOKUP('Données projet'!$B$14,Paramètres!$A$1:$I$89,3,0)*VLOOKUP('Données projet'!$B$14,Paramètres!$A$1:$I$89,5,0)</f>
        <v>-2.2612312022829427E-13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325.72928944930294</v>
      </c>
      <c r="DU180" s="59">
        <f t="shared" si="152"/>
        <v>318.38876834819752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0.94206689626875295</v>
      </c>
      <c r="EB180" s="21">
        <f>EXP(-LN(2)/25)*EB179+(1-EXP(-LN(2)/25))/(LN(2)/25)*Calculateur!DW180*Calculateur!DY180*VLOOKUP('Données projet'!$B$14,Paramètres!$A$1:$I$89,3,0)*0.475*44/12</f>
        <v>0.35114917953538627</v>
      </c>
      <c r="EC180" s="21">
        <f>EXP(-LN(2)/2)*EC179+(1-EXP(-LN(2)/2))/(LN(2)/2)*DW180*DZ180*VLOOKUP('Données projet'!$B$14,Paramètres!$A$1:$I$89,3,0)*0.475*44/12</f>
        <v>8.8566569251767259E-22</v>
      </c>
      <c r="ED180" s="22">
        <f t="shared" si="178"/>
        <v>1.2932160758041391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-5.7639226724859328E-14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384.50065773787549</v>
      </c>
      <c r="EP180" s="59">
        <f t="shared" si="154"/>
        <v>231.92898690465887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0.44564017639437475</v>
      </c>
      <c r="EW180" s="21">
        <f>EXP(-LN(2)/25)*EW179+(1-EXP(-LN(2)/25))/(LN(2)/25)*Calculateur!ER180*Calculateur!ET180*VLOOKUP('Données projet'!$B$15,Paramètres!$A$1:$I$89,3,0)*0.475*44/12</f>
        <v>0.17820747816832624</v>
      </c>
      <c r="EX180" s="21">
        <f>EXP(-LN(2)/2)*EX179+(1-EXP(-LN(2)/2))/(LN(2)/2)*ER180*EU180*VLOOKUP('Données projet'!$B$15,Paramètres!$A$1:$I$89,3,0)*0.475*44/12</f>
        <v>7.1610332234324849E-22</v>
      </c>
      <c r="EY180" s="22">
        <f t="shared" si="181"/>
        <v>0.62384765456270097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-1.5429577615577727E-13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326.46362829268969</v>
      </c>
      <c r="FK180" s="59">
        <f t="shared" si="156"/>
        <v>203.5274665601915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0.39764815739805737</v>
      </c>
      <c r="FR180" s="21">
        <f>EXP(-LN(2)/25)*FR179+(1-EXP(-LN(2)/25))/(LN(2)/25)*Calculateur!FM180*Calculateur!FO180*VLOOKUP('Données projet'!$B$16,Paramètres!$A$1:$I$89,3,0)*0.475*44/12</f>
        <v>0.15901590359635229</v>
      </c>
      <c r="FS180" s="21">
        <f>EXP(-LN(2)/2)*FS179+(1-EXP(-LN(2)/2))/(LN(2)/2)*FM180*FP180*VLOOKUP('Données projet'!$B$16,Paramètres!$A$1:$I$89,3,0)*0.475*44/12</f>
        <v>6.3898450301397555E-22</v>
      </c>
      <c r="FT180" s="22">
        <f t="shared" si="184"/>
        <v>0.55666406099440968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-1.7053025658242404E-13</v>
      </c>
      <c r="GA180" s="17">
        <f>FZ180*VLOOKUP('Données projet'!$B$17,Paramètres!$A$1:$I$89,3,0)*VLOOKUP('Données projet'!$B$17,Paramètres!$A$1:$I$89,5,0)</f>
        <v>-1.6493686416652052E-13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353.24082990916918</v>
      </c>
      <c r="GF180" s="59">
        <f t="shared" si="158"/>
        <v>219.76562717496353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0.42507216825309574</v>
      </c>
      <c r="GM180" s="21">
        <f>EXP(-LN(2)/25)*GM179+(1-EXP(-LN(2)/25))/(LN(2)/25)*Calculateur!GH180*Calculateur!GJ180*VLOOKUP('Données projet'!$B$17,Paramètres!$A$1:$I$89,3,0)*0.475*44/12</f>
        <v>0.16998251763748051</v>
      </c>
      <c r="GN180" s="21">
        <f>EXP(-LN(2)/2)*GN179+(1-EXP(-LN(2)/2))/(LN(2)/2)*GH180*GK180*VLOOKUP('Données projet'!$B$17,Paramètres!$A$1:$I$89,3,0)*0.475*44/12</f>
        <v>6.8305239977356026E-22</v>
      </c>
      <c r="GO180" s="21">
        <f t="shared" si="187"/>
        <v>0.59505468589057631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378.17323480030268</v>
      </c>
      <c r="T181" s="59">
        <f t="shared" si="142"/>
        <v>471.89239871617241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0.23496315791894609</v>
      </c>
      <c r="AA181" s="21">
        <f>EXP(-LN(2)/25)*AA180+(1-EXP(-LN(2)/25))/(LN(2)/25)*Calculateur!V181*Calculateur!X181*VLOOKUP('Données projet'!$B$9,Paramètres!$A$1:$I$89,3,0)*0.475*44/12</f>
        <v>0.34355391001772778</v>
      </c>
      <c r="AB181" s="21">
        <f>EXP(-LN(2)/2)*AB180+(1-EXP(-LN(2)/2))/(LN(2)/2)*V181*Y181*VLOOKUP('Données projet'!$B$9,Paramètres!$A$1:$I$89,3,0)*0.475*44/12</f>
        <v>5.5377907289804157E-22</v>
      </c>
      <c r="AC181" s="22">
        <f t="shared" si="163"/>
        <v>0.5785170679366739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141.22849894256314</v>
      </c>
      <c r="AO181" s="59">
        <f t="shared" si="144"/>
        <v>156.12101479343704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0.3923515817119913</v>
      </c>
      <c r="AV181" s="21">
        <f>EXP(-LN(2)/25)*AV180+(1-EXP(-LN(2)/25))/(LN(2)/25)*Calculateur!AQ181*Calculateur!AS181*VLOOKUP('Données projet'!$B$10,Paramètres!$A$1:$I$89,3,0)*0.475*44/12</f>
        <v>9.9467672369862217E-2</v>
      </c>
      <c r="AW181" s="21">
        <f>EXP(-LN(2)/2)*AW180+(1-EXP(-LN(2)/2))/(LN(2)/2)*AQ181*AT181*VLOOKUP('Données projet'!$B$10,Paramètres!$A$1:$I$89,3,0)*0.475*44/12</f>
        <v>1.565936824747526E-22</v>
      </c>
      <c r="AX181" s="21">
        <f t="shared" si="166"/>
        <v>0.49181925408185351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114.25511901730295</v>
      </c>
      <c r="BJ181" s="59">
        <f t="shared" si="146"/>
        <v>180.96261947642182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0.18234436286388483</v>
      </c>
      <c r="BQ181" s="21">
        <f>EXP(-LN(2)/25)*BQ180+(1-EXP(-LN(2)/25))/(LN(2)/25)*Calculateur!BL181*Calculateur!BN181*VLOOKUP('Données projet'!$B$11,Paramètres!$A$1:$I$89,3,0)*0.475*44/12</f>
        <v>0.29423412516414782</v>
      </c>
      <c r="BR181" s="21">
        <f>EXP(-LN(2)/2)*BR180+(1-EXP(-LN(2)/2))/(LN(2)/2)*BL181*BO181*VLOOKUP('Données projet'!$B$11,Paramètres!$A$1:$I$89,3,0)*0.475*44/12</f>
        <v>3.6168637922136469E-22</v>
      </c>
      <c r="BS181" s="22">
        <f t="shared" si="169"/>
        <v>0.47657848802803265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4.4337866711430253E-14</v>
      </c>
      <c r="CA181" s="13">
        <f t="shared" si="170"/>
        <v>7.3222115536967035E-13</v>
      </c>
      <c r="CB181" s="20">
        <f t="shared" si="171"/>
        <v>1.3525069634579169E-12</v>
      </c>
      <c r="CC181" s="59">
        <f t="shared" si="119"/>
        <v>293.33333333333468</v>
      </c>
      <c r="CD181" s="59">
        <f ca="1">AVERAGE(OFFSET($CC$3,0,0,'Données projet'!$E$12+1,1))-AVERAGE(OFFSET($H$3,0,0,'Données projet'!$E$12+1,1))</f>
        <v>216.95993967070063</v>
      </c>
      <c r="CE181" s="59">
        <f t="shared" si="148"/>
        <v>208.79744153433245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0.27560061236052952</v>
      </c>
      <c r="CL181" s="21">
        <f>EXP(-LN(2)/25)*CL180+(1-EXP(-LN(2)/25))/(LN(2)/25)*Calculateur!CG181*Calculateur!CI181*VLOOKUP('Données projet'!$B$12,Paramètres!$A$1:$I$89,3,0)*0.475*44/12</f>
        <v>0.10598845803704847</v>
      </c>
      <c r="CM181" s="21">
        <f>EXP(-LN(2)/2)*CM180+(1-EXP(-LN(2)/2))/(LN(2)/2)*CG181*CJ181*VLOOKUP('Données projet'!$B$12,Paramètres!$A$1:$I$89,3,0)*0.475*44/12</f>
        <v>6.5306682622919755E-23</v>
      </c>
      <c r="CN181" s="22">
        <f t="shared" si="172"/>
        <v>0.381589070397578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3.813056537183002E-14</v>
      </c>
      <c r="CV181" s="13">
        <f t="shared" si="173"/>
        <v>6.4086286045526829E-13</v>
      </c>
      <c r="CW181" s="20">
        <f t="shared" si="174"/>
        <v>1.1825802166488628E-12</v>
      </c>
      <c r="CX181" s="59">
        <f t="shared" si="122"/>
        <v>293.33333333333451</v>
      </c>
      <c r="CY181" s="59">
        <f ca="1">AVERAGE(OFFSET($CX$3,0,0,'Données projet'!$E$13+1,1))-AVERAGE(OFFSET($H$3,0,0,'Données projet'!$E$13+1,1))</f>
        <v>181.32837315090507</v>
      </c>
      <c r="CZ181" s="59">
        <f t="shared" si="150"/>
        <v>175.03267817980338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0.29213664910216092</v>
      </c>
      <c r="DG181" s="21">
        <f>EXP(-LN(2)/25)*DG180+(1-EXP(-LN(2)/25))/(LN(2)/25)*Calculateur!DB181*Calculateur!DD181*VLOOKUP('Données projet'!$B$13,Paramètres!$A$1:$I$89,3,0)*0.475*44/12</f>
        <v>0.11234776551927141</v>
      </c>
      <c r="DH181" s="21">
        <f>EXP(-LN(2)/2)*DH180+(1-EXP(-LN(2)/2))/(LN(2)/2)*DB181*DE181*VLOOKUP('Données projet'!$B$13,Paramètres!$A$1:$I$89,3,0)*0.475*44/12</f>
        <v>5.6163747055710965E-23</v>
      </c>
      <c r="DI181" s="22">
        <f t="shared" si="175"/>
        <v>0.40448441462143231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-2.8421709430404007E-13</v>
      </c>
      <c r="DP181" s="17">
        <f>DO181*VLOOKUP('Données projet'!$B$14,Paramètres!$A$1:$I$89,3,0)*VLOOKUP('Données projet'!$B$14,Paramètres!$A$1:$I$89,5,0)</f>
        <v>-2.2612312022829427E-13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325.72928944930294</v>
      </c>
      <c r="DU181" s="59">
        <f t="shared" si="152"/>
        <v>318.38876834819752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0.92359353903699204</v>
      </c>
      <c r="EB181" s="21">
        <f>EXP(-LN(2)/25)*EB180+(1-EXP(-LN(2)/25))/(LN(2)/25)*Calculateur!DW181*Calculateur!DY181*VLOOKUP('Données projet'!$B$14,Paramètres!$A$1:$I$89,3,0)*0.475*44/12</f>
        <v>0.34154698675485834</v>
      </c>
      <c r="EC181" s="21">
        <f>EXP(-LN(2)/2)*EC180+(1-EXP(-LN(2)/2))/(LN(2)/2)*DW181*DZ181*VLOOKUP('Données projet'!$B$14,Paramètres!$A$1:$I$89,3,0)*0.475*44/12</f>
        <v>6.2626021704352602E-22</v>
      </c>
      <c r="ED181" s="22">
        <f t="shared" si="178"/>
        <v>1.2651405257918504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-5.7639226724859328E-14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384.50065773787549</v>
      </c>
      <c r="EP181" s="59">
        <f t="shared" si="154"/>
        <v>231.92898690465887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0.43690144434894929</v>
      </c>
      <c r="EW181" s="21">
        <f>EXP(-LN(2)/25)*EW180+(1-EXP(-LN(2)/25))/(LN(2)/25)*Calculateur!ER181*Calculateur!ET181*VLOOKUP('Données projet'!$B$15,Paramètres!$A$1:$I$89,3,0)*0.475*44/12</f>
        <v>0.17333438530628939</v>
      </c>
      <c r="EX181" s="21">
        <f>EXP(-LN(2)/2)*EX180+(1-EXP(-LN(2)/2))/(LN(2)/2)*ER181*EU181*VLOOKUP('Données projet'!$B$15,Paramètres!$A$1:$I$89,3,0)*0.475*44/12</f>
        <v>5.0636151525912711E-22</v>
      </c>
      <c r="EY181" s="22">
        <f t="shared" si="181"/>
        <v>0.6102358296552387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-1.5429577615577727E-13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326.46362829268969</v>
      </c>
      <c r="FK181" s="59">
        <f t="shared" si="156"/>
        <v>203.5274665601915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0.3898505195729085</v>
      </c>
      <c r="FR181" s="21">
        <f>EXP(-LN(2)/25)*FR180+(1-EXP(-LN(2)/25))/(LN(2)/25)*Calculateur!FM181*Calculateur!FO181*VLOOKUP('Données projet'!$B$16,Paramètres!$A$1:$I$89,3,0)*0.475*44/12</f>
        <v>0.15466760535022711</v>
      </c>
      <c r="FS181" s="21">
        <f>EXP(-LN(2)/2)*FS180+(1-EXP(-LN(2)/2))/(LN(2)/2)*FM181*FP181*VLOOKUP('Données projet'!$B$16,Paramètres!$A$1:$I$89,3,0)*0.475*44/12</f>
        <v>4.5183027515429802E-22</v>
      </c>
      <c r="FT181" s="22">
        <f t="shared" si="184"/>
        <v>0.54451812492313567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-1.7053025658242404E-13</v>
      </c>
      <c r="GA181" s="17">
        <f>FZ181*VLOOKUP('Données projet'!$B$17,Paramètres!$A$1:$I$89,3,0)*VLOOKUP('Données projet'!$B$17,Paramètres!$A$1:$I$89,5,0)</f>
        <v>-1.6493686416652052E-13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353.24082990916918</v>
      </c>
      <c r="GF181" s="59">
        <f t="shared" si="158"/>
        <v>219.76562717496353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0.41673676230207451</v>
      </c>
      <c r="GM181" s="21">
        <f>EXP(-LN(2)/25)*GM180+(1-EXP(-LN(2)/25))/(LN(2)/25)*Calculateur!GH181*Calculateur!GJ181*VLOOKUP('Données projet'!$B$17,Paramètres!$A$1:$I$89,3,0)*0.475*44/12</f>
        <v>0.1653343367536915</v>
      </c>
      <c r="GN181" s="21">
        <f>EXP(-LN(2)/2)*GN180+(1-EXP(-LN(2)/2))/(LN(2)/2)*GH181*GK181*VLOOKUP('Données projet'!$B$17,Paramètres!$A$1:$I$89,3,0)*0.475*44/12</f>
        <v>4.8299098378562905E-22</v>
      </c>
      <c r="GO181" s="21">
        <f t="shared" si="187"/>
        <v>0.58207109905576604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378.17323480030268</v>
      </c>
      <c r="T182" s="59">
        <f t="shared" si="142"/>
        <v>471.89239871617241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0.23035567370553087</v>
      </c>
      <c r="AA182" s="21">
        <f>EXP(-LN(2)/25)*AA181+(1-EXP(-LN(2)/25))/(LN(2)/25)*Calculateur!V182*Calculateur!X182*VLOOKUP('Données projet'!$B$9,Paramètres!$A$1:$I$89,3,0)*0.475*44/12</f>
        <v>0.33415941028157808</v>
      </c>
      <c r="AB182" s="21">
        <f>EXP(-LN(2)/2)*AB181+(1-EXP(-LN(2)/2))/(LN(2)/2)*V182*Y182*VLOOKUP('Données projet'!$B$9,Paramètres!$A$1:$I$89,3,0)*0.475*44/12</f>
        <v>3.9158093772540464E-22</v>
      </c>
      <c r="AC182" s="22">
        <f t="shared" si="163"/>
        <v>0.56451508398710892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141.22849894256314</v>
      </c>
      <c r="AO182" s="59">
        <f t="shared" si="144"/>
        <v>156.12101479343704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0.384657806505454</v>
      </c>
      <c r="AV182" s="21">
        <f>EXP(-LN(2)/25)*AV181+(1-EXP(-LN(2)/25))/(LN(2)/25)*Calculateur!AQ182*Calculateur!AS182*VLOOKUP('Données projet'!$B$10,Paramètres!$A$1:$I$89,3,0)*0.475*44/12</f>
        <v>9.6747723638130778E-2</v>
      </c>
      <c r="AW182" s="21">
        <f>EXP(-LN(2)/2)*AW181+(1-EXP(-LN(2)/2))/(LN(2)/2)*AQ182*AT182*VLOOKUP('Données projet'!$B$10,Paramètres!$A$1:$I$89,3,0)*0.475*44/12</f>
        <v>1.1072845476887059E-22</v>
      </c>
      <c r="AX182" s="21">
        <f t="shared" si="166"/>
        <v>0.48140553014358478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114.25511901730295</v>
      </c>
      <c r="BJ182" s="59">
        <f t="shared" si="146"/>
        <v>180.96261947642182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0.17876870112720342</v>
      </c>
      <c r="BQ182" s="21">
        <f>EXP(-LN(2)/25)*BQ181+(1-EXP(-LN(2)/25))/(LN(2)/25)*Calculateur!BL182*Calculateur!BN182*VLOOKUP('Données projet'!$B$11,Paramètres!$A$1:$I$89,3,0)*0.475*44/12</f>
        <v>0.28618827753843401</v>
      </c>
      <c r="BR182" s="21">
        <f>EXP(-LN(2)/2)*BR181+(1-EXP(-LN(2)/2))/(LN(2)/2)*BL182*BO182*VLOOKUP('Données projet'!$B$11,Paramètres!$A$1:$I$89,3,0)*0.475*44/12</f>
        <v>2.5575089141023617E-22</v>
      </c>
      <c r="BS182" s="22">
        <f t="shared" si="169"/>
        <v>0.46495697866563745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4.4337866711430253E-14</v>
      </c>
      <c r="CA182" s="13">
        <f t="shared" si="170"/>
        <v>7.3222115536967035E-13</v>
      </c>
      <c r="CB182" s="20">
        <f t="shared" si="171"/>
        <v>1.3525069634579169E-12</v>
      </c>
      <c r="CC182" s="59">
        <f t="shared" si="119"/>
        <v>293.33333333333468</v>
      </c>
      <c r="CD182" s="59">
        <f ca="1">AVERAGE(OFFSET($CC$3,0,0,'Données projet'!$E$12+1,1))-AVERAGE(OFFSET($H$3,0,0,'Données projet'!$E$12+1,1))</f>
        <v>216.95993967070063</v>
      </c>
      <c r="CE182" s="59">
        <f t="shared" si="148"/>
        <v>208.79744153433245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0.27019625245191459</v>
      </c>
      <c r="CL182" s="21">
        <f>EXP(-LN(2)/25)*CL181+(1-EXP(-LN(2)/25))/(LN(2)/25)*Calculateur!CG182*Calculateur!CI182*VLOOKUP('Données projet'!$B$12,Paramètres!$A$1:$I$89,3,0)*0.475*44/12</f>
        <v>0.10309019807833461</v>
      </c>
      <c r="CM182" s="21">
        <f>EXP(-LN(2)/2)*CM181+(1-EXP(-LN(2)/2))/(LN(2)/2)*CG182*CJ182*VLOOKUP('Données projet'!$B$12,Paramètres!$A$1:$I$89,3,0)*0.475*44/12</f>
        <v>4.6178798139464225E-23</v>
      </c>
      <c r="CN182" s="22">
        <f t="shared" si="172"/>
        <v>0.37328645053024923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3.813056537183002E-14</v>
      </c>
      <c r="CV182" s="13">
        <f t="shared" si="173"/>
        <v>6.4086286045526829E-13</v>
      </c>
      <c r="CW182" s="20">
        <f t="shared" si="174"/>
        <v>1.1825802166488628E-12</v>
      </c>
      <c r="CX182" s="59">
        <f t="shared" si="122"/>
        <v>293.33333333333451</v>
      </c>
      <c r="CY182" s="59">
        <f ca="1">AVERAGE(OFFSET($CX$3,0,0,'Données projet'!$E$13+1,1))-AVERAGE(OFFSET($H$3,0,0,'Données projet'!$E$13+1,1))</f>
        <v>181.32837315090507</v>
      </c>
      <c r="CZ182" s="59">
        <f t="shared" si="150"/>
        <v>175.03267817980338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0.28640802759902911</v>
      </c>
      <c r="DG182" s="21">
        <f>EXP(-LN(2)/25)*DG181+(1-EXP(-LN(2)/25))/(LN(2)/25)*Calculateur!DB182*Calculateur!DD182*VLOOKUP('Données projet'!$B$13,Paramètres!$A$1:$I$89,3,0)*0.475*44/12</f>
        <v>0.10927560996303472</v>
      </c>
      <c r="DH182" s="21">
        <f>EXP(-LN(2)/2)*DH181+(1-EXP(-LN(2)/2))/(LN(2)/2)*DB182*DE182*VLOOKUP('Données projet'!$B$13,Paramètres!$A$1:$I$89,3,0)*0.475*44/12</f>
        <v>3.9713766399939217E-23</v>
      </c>
      <c r="DI182" s="22">
        <f t="shared" si="175"/>
        <v>0.39568363756206382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-2.8421709430404007E-13</v>
      </c>
      <c r="DP182" s="17">
        <f>DO182*VLOOKUP('Données projet'!$B$14,Paramètres!$A$1:$I$89,3,0)*VLOOKUP('Données projet'!$B$14,Paramètres!$A$1:$I$89,5,0)</f>
        <v>-2.2612312022829427E-13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325.72928944930294</v>
      </c>
      <c r="DU182" s="59">
        <f t="shared" si="152"/>
        <v>318.38876834819752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0.90548243307291054</v>
      </c>
      <c r="EB182" s="21">
        <f>EXP(-LN(2)/25)*EB181+(1-EXP(-LN(2)/25))/(LN(2)/25)*Calculateur!DW182*Calculateur!DY182*VLOOKUP('Données projet'!$B$14,Paramètres!$A$1:$I$89,3,0)*0.475*44/12</f>
        <v>0.33220736644087134</v>
      </c>
      <c r="EC182" s="21">
        <f>EXP(-LN(2)/2)*EC181+(1-EXP(-LN(2)/2))/(LN(2)/2)*DW182*DZ182*VLOOKUP('Données projet'!$B$14,Paramètres!$A$1:$I$89,3,0)*0.475*44/12</f>
        <v>4.428328462588363E-22</v>
      </c>
      <c r="ED182" s="22">
        <f t="shared" si="178"/>
        <v>1.2376897995137819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-5.7639226724859328E-14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384.50065773787549</v>
      </c>
      <c r="EP182" s="59">
        <f t="shared" si="154"/>
        <v>231.92898690465887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0.4283340735088344</v>
      </c>
      <c r="EW182" s="21">
        <f>EXP(-LN(2)/25)*EW181+(1-EXP(-LN(2)/25))/(LN(2)/25)*Calculateur!ER182*Calculateur!ET182*VLOOKUP('Données projet'!$B$15,Paramètres!$A$1:$I$89,3,0)*0.475*44/12</f>
        <v>0.16859454742482974</v>
      </c>
      <c r="EX182" s="21">
        <f>EXP(-LN(2)/2)*EX181+(1-EXP(-LN(2)/2))/(LN(2)/2)*ER182*EU182*VLOOKUP('Données projet'!$B$15,Paramètres!$A$1:$I$89,3,0)*0.475*44/12</f>
        <v>3.5805166117162424E-22</v>
      </c>
      <c r="EY182" s="22">
        <f t="shared" si="181"/>
        <v>0.59692862093366417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-1.5429577615577727E-13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326.46362829268969</v>
      </c>
      <c r="FK182" s="59">
        <f t="shared" si="156"/>
        <v>203.5274665601915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0.38220578866942134</v>
      </c>
      <c r="FR182" s="21">
        <f>EXP(-LN(2)/25)*FR181+(1-EXP(-LN(2)/25))/(LN(2)/25)*Calculateur!FM182*Calculateur!FO182*VLOOKUP('Données projet'!$B$16,Paramètres!$A$1:$I$89,3,0)*0.475*44/12</f>
        <v>0.15043821154830928</v>
      </c>
      <c r="FS182" s="21">
        <f>EXP(-LN(2)/2)*FS181+(1-EXP(-LN(2)/2))/(LN(2)/2)*FM182*FP182*VLOOKUP('Données projet'!$B$16,Paramètres!$A$1:$I$89,3,0)*0.475*44/12</f>
        <v>3.1949225150698777E-22</v>
      </c>
      <c r="FT182" s="22">
        <f t="shared" si="184"/>
        <v>0.53264400021773062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-1.7053025658242404E-13</v>
      </c>
      <c r="GA182" s="17">
        <f>FZ182*VLOOKUP('Données projet'!$B$17,Paramètres!$A$1:$I$89,3,0)*VLOOKUP('Données projet'!$B$17,Paramètres!$A$1:$I$89,5,0)</f>
        <v>-1.6493686416652052E-13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353.24082990916918</v>
      </c>
      <c r="GF182" s="59">
        <f t="shared" si="158"/>
        <v>219.76562717496353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0.4085648085776572</v>
      </c>
      <c r="GM182" s="21">
        <f>EXP(-LN(2)/25)*GM181+(1-EXP(-LN(2)/25))/(LN(2)/25)*Calculateur!GH182*Calculateur!GJ182*VLOOKUP('Données projet'!$B$17,Paramètres!$A$1:$I$89,3,0)*0.475*44/12</f>
        <v>0.16081326062060691</v>
      </c>
      <c r="GN182" s="21">
        <f>EXP(-LN(2)/2)*GN181+(1-EXP(-LN(2)/2))/(LN(2)/2)*GH182*GK182*VLOOKUP('Données projet'!$B$17,Paramètres!$A$1:$I$89,3,0)*0.475*44/12</f>
        <v>3.4152619988678013E-22</v>
      </c>
      <c r="GO182" s="21">
        <f t="shared" si="187"/>
        <v>0.56937806919826417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378.17323480030268</v>
      </c>
      <c r="T183" s="59">
        <f t="shared" si="142"/>
        <v>471.89239871617241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0.22583853944725285</v>
      </c>
      <c r="AA183" s="21">
        <f>EXP(-LN(2)/25)*AA182+(1-EXP(-LN(2)/25))/(LN(2)/25)*Calculateur!V183*Calculateur!X183*VLOOKUP('Données projet'!$B$9,Paramètres!$A$1:$I$89,3,0)*0.475*44/12</f>
        <v>0.3250218036347487</v>
      </c>
      <c r="AB183" s="21">
        <f>EXP(-LN(2)/2)*AB182+(1-EXP(-LN(2)/2))/(LN(2)/2)*V183*Y183*VLOOKUP('Données projet'!$B$9,Paramètres!$A$1:$I$89,3,0)*0.475*44/12</f>
        <v>2.7688953644902079E-22</v>
      </c>
      <c r="AC183" s="22">
        <f t="shared" si="163"/>
        <v>0.5508603430820016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141.22849894256314</v>
      </c>
      <c r="AO183" s="59">
        <f t="shared" si="144"/>
        <v>156.12101479343704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0.37711490153797739</v>
      </c>
      <c r="AV183" s="21">
        <f>EXP(-LN(2)/25)*AV182+(1-EXP(-LN(2)/25))/(LN(2)/25)*Calculateur!AQ183*Calculateur!AS183*VLOOKUP('Données projet'!$B$10,Paramètres!$A$1:$I$89,3,0)*0.475*44/12</f>
        <v>9.4102152047504425E-2</v>
      </c>
      <c r="AW183" s="21">
        <f>EXP(-LN(2)/2)*AW182+(1-EXP(-LN(2)/2))/(LN(2)/2)*AQ183*AT183*VLOOKUP('Données projet'!$B$10,Paramètres!$A$1:$I$89,3,0)*0.475*44/12</f>
        <v>7.8296841237376301E-23</v>
      </c>
      <c r="AX183" s="21">
        <f t="shared" si="166"/>
        <v>0.47121705358548183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114.25511901730295</v>
      </c>
      <c r="BJ183" s="59">
        <f t="shared" si="146"/>
        <v>180.96261947642182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0.17526315593624003</v>
      </c>
      <c r="BQ183" s="21">
        <f>EXP(-LN(2)/25)*BQ182+(1-EXP(-LN(2)/25))/(LN(2)/25)*Calculateur!BL183*Calculateur!BN183*VLOOKUP('Données projet'!$B$11,Paramètres!$A$1:$I$89,3,0)*0.475*44/12</f>
        <v>0.27836244403915811</v>
      </c>
      <c r="BR183" s="21">
        <f>EXP(-LN(2)/2)*BR182+(1-EXP(-LN(2)/2))/(LN(2)/2)*BL183*BO183*VLOOKUP('Données projet'!$B$11,Paramètres!$A$1:$I$89,3,0)*0.475*44/12</f>
        <v>1.8084318961068234E-22</v>
      </c>
      <c r="BS183" s="22">
        <f t="shared" si="169"/>
        <v>0.45362559997539814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4.4337866711430253E-14</v>
      </c>
      <c r="CA183" s="13">
        <f t="shared" si="170"/>
        <v>7.3222115536967035E-13</v>
      </c>
      <c r="CB183" s="20">
        <f t="shared" si="171"/>
        <v>1.3525069634579169E-12</v>
      </c>
      <c r="CC183" s="59">
        <f t="shared" si="119"/>
        <v>293.33333333333468</v>
      </c>
      <c r="CD183" s="59">
        <f ca="1">AVERAGE(OFFSET($CC$3,0,0,'Données projet'!$E$12+1,1))-AVERAGE(OFFSET($H$3,0,0,'Données projet'!$E$12+1,1))</f>
        <v>216.95993967070063</v>
      </c>
      <c r="CE183" s="59">
        <f t="shared" si="148"/>
        <v>208.79744153433245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0.26489786874477356</v>
      </c>
      <c r="CL183" s="21">
        <f>EXP(-LN(2)/25)*CL182+(1-EXP(-LN(2)/25))/(LN(2)/25)*Calculateur!CG183*Calculateur!CI183*VLOOKUP('Données projet'!$B$12,Paramètres!$A$1:$I$89,3,0)*0.475*44/12</f>
        <v>0.10027119119060465</v>
      </c>
      <c r="CM183" s="21">
        <f>EXP(-LN(2)/2)*CM182+(1-EXP(-LN(2)/2))/(LN(2)/2)*CG183*CJ183*VLOOKUP('Données projet'!$B$12,Paramètres!$A$1:$I$89,3,0)*0.475*44/12</f>
        <v>3.2653341311459877E-23</v>
      </c>
      <c r="CN183" s="22">
        <f t="shared" si="172"/>
        <v>0.36516905993537818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3.813056537183002E-14</v>
      </c>
      <c r="CV183" s="13">
        <f t="shared" si="173"/>
        <v>6.4086286045526829E-13</v>
      </c>
      <c r="CW183" s="20">
        <f t="shared" si="174"/>
        <v>1.1825802166488628E-12</v>
      </c>
      <c r="CX183" s="59">
        <f t="shared" si="122"/>
        <v>293.33333333333451</v>
      </c>
      <c r="CY183" s="59">
        <f ca="1">AVERAGE(OFFSET($CX$3,0,0,'Données projet'!$E$13+1,1))-AVERAGE(OFFSET($H$3,0,0,'Données projet'!$E$13+1,1))</f>
        <v>181.32837315090507</v>
      </c>
      <c r="CZ183" s="59">
        <f t="shared" si="150"/>
        <v>175.03267817980338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0.28079174086945963</v>
      </c>
      <c r="DG183" s="21">
        <f>EXP(-LN(2)/25)*DG182+(1-EXP(-LN(2)/25))/(LN(2)/25)*Calculateur!DB183*Calculateur!DD183*VLOOKUP('Données projet'!$B$13,Paramètres!$A$1:$I$89,3,0)*0.475*44/12</f>
        <v>0.10628746266204096</v>
      </c>
      <c r="DH183" s="21">
        <f>EXP(-LN(2)/2)*DH182+(1-EXP(-LN(2)/2))/(LN(2)/2)*DB183*DE183*VLOOKUP('Données projet'!$B$13,Paramètres!$A$1:$I$89,3,0)*0.475*44/12</f>
        <v>2.8081873527855483E-23</v>
      </c>
      <c r="DI183" s="22">
        <f t="shared" si="175"/>
        <v>0.3870792035315006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-2.8421709430404007E-13</v>
      </c>
      <c r="DP183" s="17">
        <f>DO183*VLOOKUP('Données projet'!$B$14,Paramètres!$A$1:$I$89,3,0)*VLOOKUP('Données projet'!$B$14,Paramètres!$A$1:$I$89,5,0)</f>
        <v>-2.2612312022829427E-13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325.72928944930294</v>
      </c>
      <c r="DU183" s="59">
        <f t="shared" si="152"/>
        <v>318.38876834819752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0.88772647485010081</v>
      </c>
      <c r="EB183" s="21">
        <f>EXP(-LN(2)/25)*EB182+(1-EXP(-LN(2)/25))/(LN(2)/25)*Calculateur!DW183*Calculateur!DY183*VLOOKUP('Données projet'!$B$14,Paramètres!$A$1:$I$89,3,0)*0.475*44/12</f>
        <v>0.32312313853551961</v>
      </c>
      <c r="EC183" s="21">
        <f>EXP(-LN(2)/2)*EC182+(1-EXP(-LN(2)/2))/(LN(2)/2)*DW183*DZ183*VLOOKUP('Données projet'!$B$14,Paramètres!$A$1:$I$89,3,0)*0.475*44/12</f>
        <v>3.1313010852176301E-22</v>
      </c>
      <c r="ED183" s="22">
        <f t="shared" si="178"/>
        <v>1.2108496133856204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-5.7639226724859328E-14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384.50065773787549</v>
      </c>
      <c r="EP183" s="59">
        <f t="shared" si="154"/>
        <v>231.92898690465887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0.41993470358531393</v>
      </c>
      <c r="EW183" s="21">
        <f>EXP(-LN(2)/25)*EW182+(1-EXP(-LN(2)/25))/(LN(2)/25)*Calculateur!ER183*Calculateur!ET183*VLOOKUP('Données projet'!$B$15,Paramètres!$A$1:$I$89,3,0)*0.475*44/12</f>
        <v>0.16398432065949584</v>
      </c>
      <c r="EX183" s="21">
        <f>EXP(-LN(2)/2)*EX182+(1-EXP(-LN(2)/2))/(LN(2)/2)*ER183*EU183*VLOOKUP('Données projet'!$B$15,Paramètres!$A$1:$I$89,3,0)*0.475*44/12</f>
        <v>2.5318075762956356E-22</v>
      </c>
      <c r="EY183" s="22">
        <f t="shared" si="181"/>
        <v>0.58391902424480979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-1.5429577615577727E-13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326.46362829268969</v>
      </c>
      <c r="FK183" s="59">
        <f t="shared" si="156"/>
        <v>203.5274665601915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0.37471096627612616</v>
      </c>
      <c r="FR183" s="21">
        <f>EXP(-LN(2)/25)*FR182+(1-EXP(-LN(2)/25))/(LN(2)/25)*Calculateur!FM183*Calculateur!FO183*VLOOKUP('Données projet'!$B$16,Paramètres!$A$1:$I$89,3,0)*0.475*44/12</f>
        <v>0.14632447074231905</v>
      </c>
      <c r="FS183" s="21">
        <f>EXP(-LN(2)/2)*FS182+(1-EXP(-LN(2)/2))/(LN(2)/2)*FM183*FP183*VLOOKUP('Données projet'!$B$16,Paramètres!$A$1:$I$89,3,0)*0.475*44/12</f>
        <v>2.2591513757714901E-22</v>
      </c>
      <c r="FT183" s="22">
        <f t="shared" si="184"/>
        <v>0.52103543701844524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-1.7053025658242404E-13</v>
      </c>
      <c r="GA183" s="17">
        <f>FZ183*VLOOKUP('Données projet'!$B$17,Paramètres!$A$1:$I$89,3,0)*VLOOKUP('Données projet'!$B$17,Paramètres!$A$1:$I$89,5,0)</f>
        <v>-1.6493686416652052E-13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353.24082990916918</v>
      </c>
      <c r="GF183" s="59">
        <f t="shared" si="158"/>
        <v>219.76562717496353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0.40055310188137611</v>
      </c>
      <c r="GM183" s="21">
        <f>EXP(-LN(2)/25)*GM182+(1-EXP(-LN(2)/25))/(LN(2)/25)*Calculateur!GH183*Calculateur!GJ183*VLOOKUP('Données projet'!$B$17,Paramètres!$A$1:$I$89,3,0)*0.475*44/12</f>
        <v>0.15641581355213457</v>
      </c>
      <c r="GN183" s="21">
        <f>EXP(-LN(2)/2)*GN182+(1-EXP(-LN(2)/2))/(LN(2)/2)*GH183*GK183*VLOOKUP('Données projet'!$B$17,Paramètres!$A$1:$I$89,3,0)*0.475*44/12</f>
        <v>2.4149549189281452E-22</v>
      </c>
      <c r="GO183" s="21">
        <f t="shared" si="187"/>
        <v>0.55696891543351068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378.17323480030268</v>
      </c>
      <c r="T184" s="59">
        <f t="shared" si="142"/>
        <v>471.89239871617241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0.22140998343659982</v>
      </c>
      <c r="AA184" s="21">
        <f>EXP(-LN(2)/25)*AA183+(1-EXP(-LN(2)/25))/(LN(2)/25)*Calculateur!V184*Calculateur!X184*VLOOKUP('Données projet'!$B$9,Paramètres!$A$1:$I$89,3,0)*0.475*44/12</f>
        <v>0.31613406532220267</v>
      </c>
      <c r="AB184" s="21">
        <f>EXP(-LN(2)/2)*AB183+(1-EXP(-LN(2)/2))/(LN(2)/2)*V184*Y184*VLOOKUP('Données projet'!$B$9,Paramètres!$A$1:$I$89,3,0)*0.475*44/12</f>
        <v>1.9579046886270232E-22</v>
      </c>
      <c r="AC184" s="22">
        <f t="shared" si="163"/>
        <v>0.53754404875880246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141.22849894256314</v>
      </c>
      <c r="AO184" s="59">
        <f t="shared" si="144"/>
        <v>156.12101479343704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0.36971990833619528</v>
      </c>
      <c r="AV184" s="21">
        <f>EXP(-LN(2)/25)*AV183+(1-EXP(-LN(2)/25))/(LN(2)/25)*Calculateur!AQ184*Calculateur!AS184*VLOOKUP('Données projet'!$B$10,Paramètres!$A$1:$I$89,3,0)*0.475*44/12</f>
        <v>9.1528923751148308E-2</v>
      </c>
      <c r="AW184" s="21">
        <f>EXP(-LN(2)/2)*AW183+(1-EXP(-LN(2)/2))/(LN(2)/2)*AQ184*AT184*VLOOKUP('Données projet'!$B$10,Paramètres!$A$1:$I$89,3,0)*0.475*44/12</f>
        <v>5.5364227384435294E-23</v>
      </c>
      <c r="AX184" s="21">
        <f t="shared" si="166"/>
        <v>0.46124883208734357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114.25511901730295</v>
      </c>
      <c r="BJ184" s="59">
        <f t="shared" si="146"/>
        <v>180.96261947642182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0.17182635234829999</v>
      </c>
      <c r="BQ184" s="21">
        <f>EXP(-LN(2)/25)*BQ183+(1-EXP(-LN(2)/25))/(LN(2)/25)*Calculateur!BL184*Calculateur!BN184*VLOOKUP('Données projet'!$B$11,Paramètres!$A$1:$I$89,3,0)*0.475*44/12</f>
        <v>0.2707506083684626</v>
      </c>
      <c r="BR184" s="21">
        <f>EXP(-LN(2)/2)*BR183+(1-EXP(-LN(2)/2))/(LN(2)/2)*BL184*BO184*VLOOKUP('Données projet'!$B$11,Paramètres!$A$1:$I$89,3,0)*0.475*44/12</f>
        <v>1.2787544570511808E-22</v>
      </c>
      <c r="BS184" s="22">
        <f t="shared" si="169"/>
        <v>0.44257696071676256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4.4337866711430253E-14</v>
      </c>
      <c r="CA184" s="13">
        <f t="shared" si="170"/>
        <v>7.3222115536967035E-13</v>
      </c>
      <c r="CB184" s="20">
        <f t="shared" si="171"/>
        <v>1.3525069634579169E-12</v>
      </c>
      <c r="CC184" s="59">
        <f t="shared" si="119"/>
        <v>293.33333333333468</v>
      </c>
      <c r="CD184" s="59">
        <f ca="1">AVERAGE(OFFSET($CC$3,0,0,'Données projet'!$E$12+1,1))-AVERAGE(OFFSET($H$3,0,0,'Données projet'!$E$12+1,1))</f>
        <v>216.95993967070063</v>
      </c>
      <c r="CE184" s="59">
        <f t="shared" si="148"/>
        <v>208.79744153433245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0.25970338311043462</v>
      </c>
      <c r="CL184" s="21">
        <f>EXP(-LN(2)/25)*CL183+(1-EXP(-LN(2)/25))/(LN(2)/25)*Calculateur!CG184*Calculateur!CI184*VLOOKUP('Données projet'!$B$12,Paramètres!$A$1:$I$89,3,0)*0.475*44/12</f>
        <v>9.7529270194464793E-2</v>
      </c>
      <c r="CM184" s="21">
        <f>EXP(-LN(2)/2)*CM183+(1-EXP(-LN(2)/2))/(LN(2)/2)*CG184*CJ184*VLOOKUP('Données projet'!$B$12,Paramètres!$A$1:$I$89,3,0)*0.475*44/12</f>
        <v>2.3089399069732113E-23</v>
      </c>
      <c r="CN184" s="22">
        <f t="shared" si="172"/>
        <v>0.35723265330489939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3.813056537183002E-14</v>
      </c>
      <c r="CV184" s="13">
        <f t="shared" si="173"/>
        <v>6.4086286045526829E-13</v>
      </c>
      <c r="CW184" s="20">
        <f t="shared" si="174"/>
        <v>1.1825802166488628E-12</v>
      </c>
      <c r="CX184" s="59">
        <f t="shared" si="122"/>
        <v>293.33333333333451</v>
      </c>
      <c r="CY184" s="59">
        <f ca="1">AVERAGE(OFFSET($CX$3,0,0,'Données projet'!$E$13+1,1))-AVERAGE(OFFSET($H$3,0,0,'Données projet'!$E$13+1,1))</f>
        <v>181.32837315090507</v>
      </c>
      <c r="CZ184" s="59">
        <f t="shared" si="150"/>
        <v>175.03267817980338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0.27528558609706033</v>
      </c>
      <c r="DG184" s="21">
        <f>EXP(-LN(2)/25)*DG183+(1-EXP(-LN(2)/25))/(LN(2)/25)*Calculateur!DB184*Calculateur!DD184*VLOOKUP('Données projet'!$B$13,Paramètres!$A$1:$I$89,3,0)*0.475*44/12</f>
        <v>0.10338102640613271</v>
      </c>
      <c r="DH184" s="21">
        <f>EXP(-LN(2)/2)*DH183+(1-EXP(-LN(2)/2))/(LN(2)/2)*DB184*DE184*VLOOKUP('Données projet'!$B$13,Paramètres!$A$1:$I$89,3,0)*0.475*44/12</f>
        <v>1.9856883199969608E-23</v>
      </c>
      <c r="DI184" s="22">
        <f t="shared" si="175"/>
        <v>0.37866661250319306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-2.8421709430404007E-13</v>
      </c>
      <c r="DP184" s="17">
        <f>DO184*VLOOKUP('Données projet'!$B$14,Paramètres!$A$1:$I$89,3,0)*VLOOKUP('Données projet'!$B$14,Paramètres!$A$1:$I$89,5,0)</f>
        <v>-2.2612312022829427E-13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325.72928944930294</v>
      </c>
      <c r="DU184" s="59">
        <f t="shared" si="152"/>
        <v>318.38876834819752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0.8703187001379753</v>
      </c>
      <c r="EB184" s="21">
        <f>EXP(-LN(2)/25)*EB183+(1-EXP(-LN(2)/25))/(LN(2)/25)*Calculateur!DW184*Calculateur!DY184*VLOOKUP('Données projet'!$B$14,Paramètres!$A$1:$I$89,3,0)*0.475*44/12</f>
        <v>0.31428731931995846</v>
      </c>
      <c r="EC184" s="21">
        <f>EXP(-LN(2)/2)*EC183+(1-EXP(-LN(2)/2))/(LN(2)/2)*DW184*DZ184*VLOOKUP('Données projet'!$B$14,Paramètres!$A$1:$I$89,3,0)*0.475*44/12</f>
        <v>2.2141642312941815E-22</v>
      </c>
      <c r="ED184" s="22">
        <f t="shared" si="178"/>
        <v>1.1846060194579338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-5.7639226724859328E-14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384.50065773787549</v>
      </c>
      <c r="EP184" s="59">
        <f t="shared" si="154"/>
        <v>231.92898690465887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0.41170004018288386</v>
      </c>
      <c r="EW184" s="21">
        <f>EXP(-LN(2)/25)*EW183+(1-EXP(-LN(2)/25))/(LN(2)/25)*Calculateur!ER184*Calculateur!ET184*VLOOKUP('Données projet'!$B$15,Paramètres!$A$1:$I$89,3,0)*0.475*44/12</f>
        <v>0.15950016078750129</v>
      </c>
      <c r="EX184" s="21">
        <f>EXP(-LN(2)/2)*EX183+(1-EXP(-LN(2)/2))/(LN(2)/2)*ER184*EU184*VLOOKUP('Données projet'!$B$15,Paramètres!$A$1:$I$89,3,0)*0.475*44/12</f>
        <v>1.7902583058581212E-22</v>
      </c>
      <c r="EY184" s="22">
        <f t="shared" si="181"/>
        <v>0.57120020097038515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-1.5429577615577727E-13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326.46362829268969</v>
      </c>
      <c r="FK184" s="59">
        <f t="shared" si="156"/>
        <v>203.5274665601915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0.3673631127785732</v>
      </c>
      <c r="FR184" s="21">
        <f>EXP(-LN(2)/25)*FR183+(1-EXP(-LN(2)/25))/(LN(2)/25)*Calculateur!FM184*Calculateur!FO184*VLOOKUP('Données projet'!$B$16,Paramètres!$A$1:$I$89,3,0)*0.475*44/12</f>
        <v>0.14232322039500084</v>
      </c>
      <c r="FS184" s="21">
        <f>EXP(-LN(2)/2)*FS183+(1-EXP(-LN(2)/2))/(LN(2)/2)*FM184*FP184*VLOOKUP('Données projet'!$B$16,Paramètres!$A$1:$I$89,3,0)*0.475*44/12</f>
        <v>1.5974612575349389E-22</v>
      </c>
      <c r="FT184" s="22">
        <f t="shared" si="184"/>
        <v>0.50968633317357404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-1.7053025658242404E-13</v>
      </c>
      <c r="GA184" s="17">
        <f>FZ184*VLOOKUP('Données projet'!$B$17,Paramètres!$A$1:$I$89,3,0)*VLOOKUP('Données projet'!$B$17,Paramètres!$A$1:$I$89,5,0)</f>
        <v>-1.6493686416652052E-13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353.24082990916918</v>
      </c>
      <c r="GF184" s="59">
        <f t="shared" si="158"/>
        <v>219.76562717496353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0.39269849986675054</v>
      </c>
      <c r="GM184" s="21">
        <f>EXP(-LN(2)/25)*GM183+(1-EXP(-LN(2)/25))/(LN(2)/25)*Calculateur!GH184*Calculateur!GJ184*VLOOKUP('Données projet'!$B$17,Paramètres!$A$1:$I$89,3,0)*0.475*44/12</f>
        <v>0.1521386149050013</v>
      </c>
      <c r="GN184" s="21">
        <f>EXP(-LN(2)/2)*GN183+(1-EXP(-LN(2)/2))/(LN(2)/2)*GH184*GK184*VLOOKUP('Données projet'!$B$17,Paramètres!$A$1:$I$89,3,0)*0.475*44/12</f>
        <v>1.7076309994339006E-22</v>
      </c>
      <c r="GO184" s="21">
        <f t="shared" si="187"/>
        <v>0.5448371147717519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378.17323480030268</v>
      </c>
      <c r="T185" s="59">
        <f t="shared" si="142"/>
        <v>471.89239871617241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0.21706826870816323</v>
      </c>
      <c r="AA185" s="21">
        <f>EXP(-LN(2)/25)*AA184+(1-EXP(-LN(2)/25))/(LN(2)/25)*Calculateur!V185*Calculateur!X185*VLOOKUP('Données projet'!$B$9,Paramètres!$A$1:$I$89,3,0)*0.475*44/12</f>
        <v>0.30748936268119909</v>
      </c>
      <c r="AB185" s="21">
        <f>EXP(-LN(2)/2)*AB184+(1-EXP(-LN(2)/2))/(LN(2)/2)*V185*Y185*VLOOKUP('Données projet'!$B$9,Paramètres!$A$1:$I$89,3,0)*0.475*44/12</f>
        <v>1.3844476822451039E-22</v>
      </c>
      <c r="AC185" s="22">
        <f t="shared" si="163"/>
        <v>0.52455763138936229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141.22849894256314</v>
      </c>
      <c r="AO185" s="59">
        <f t="shared" si="144"/>
        <v>156.12101479343704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0.36246992644059961</v>
      </c>
      <c r="AV185" s="21">
        <f>EXP(-LN(2)/25)*AV184+(1-EXP(-LN(2)/25))/(LN(2)/25)*Calculateur!AQ185*Calculateur!AS185*VLOOKUP('Données projet'!$B$10,Paramètres!$A$1:$I$89,3,0)*0.475*44/12</f>
        <v>8.9026060517876246E-2</v>
      </c>
      <c r="AW185" s="21">
        <f>EXP(-LN(2)/2)*AW184+(1-EXP(-LN(2)/2))/(LN(2)/2)*AQ185*AT185*VLOOKUP('Données projet'!$B$10,Paramètres!$A$1:$I$89,3,0)*0.475*44/12</f>
        <v>3.9148420618688151E-23</v>
      </c>
      <c r="AX185" s="21">
        <f t="shared" si="166"/>
        <v>0.45149598695847587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114.25511901730295</v>
      </c>
      <c r="BJ185" s="59">
        <f t="shared" si="146"/>
        <v>180.96261947642182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0.16845694238247624</v>
      </c>
      <c r="BQ185" s="21">
        <f>EXP(-LN(2)/25)*BQ184+(1-EXP(-LN(2)/25))/(LN(2)/25)*Calculateur!BL185*Calculateur!BN185*VLOOKUP('Données projet'!$B$11,Paramètres!$A$1:$I$89,3,0)*0.475*44/12</f>
        <v>0.2633469187444713</v>
      </c>
      <c r="BR185" s="21">
        <f>EXP(-LN(2)/2)*BR184+(1-EXP(-LN(2)/2))/(LN(2)/2)*BL185*BO185*VLOOKUP('Données projet'!$B$11,Paramètres!$A$1:$I$89,3,0)*0.475*44/12</f>
        <v>9.0421594805341172E-23</v>
      </c>
      <c r="BS185" s="22">
        <f t="shared" si="169"/>
        <v>0.43180386112694757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4.4337866711430253E-14</v>
      </c>
      <c r="CA185" s="13">
        <f t="shared" si="170"/>
        <v>7.3222115536967035E-13</v>
      </c>
      <c r="CB185" s="20">
        <f t="shared" si="171"/>
        <v>1.3525069634579169E-12</v>
      </c>
      <c r="CC185" s="59">
        <f t="shared" si="119"/>
        <v>293.33333333333468</v>
      </c>
      <c r="CD185" s="59">
        <f ca="1">AVERAGE(OFFSET($CC$3,0,0,'Données projet'!$E$12+1,1))-AVERAGE(OFFSET($H$3,0,0,'Données projet'!$E$12+1,1))</f>
        <v>216.95993967070063</v>
      </c>
      <c r="CE185" s="59">
        <f t="shared" si="148"/>
        <v>208.79744153433245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0.25461075817106166</v>
      </c>
      <c r="CL185" s="21">
        <f>EXP(-LN(2)/25)*CL184+(1-EXP(-LN(2)/25))/(LN(2)/25)*Calculateur!CG185*Calculateur!CI185*VLOOKUP('Données projet'!$B$12,Paramètres!$A$1:$I$89,3,0)*0.475*44/12</f>
        <v>9.4862327172155744E-2</v>
      </c>
      <c r="CM185" s="21">
        <f>EXP(-LN(2)/2)*CM184+(1-EXP(-LN(2)/2))/(LN(2)/2)*CG185*CJ185*VLOOKUP('Données projet'!$B$12,Paramètres!$A$1:$I$89,3,0)*0.475*44/12</f>
        <v>1.6326670655729939E-23</v>
      </c>
      <c r="CN185" s="22">
        <f t="shared" si="172"/>
        <v>0.34947308534321742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3.813056537183002E-14</v>
      </c>
      <c r="CV185" s="13">
        <f t="shared" si="173"/>
        <v>6.4086286045526829E-13</v>
      </c>
      <c r="CW185" s="20">
        <f t="shared" si="174"/>
        <v>1.1825802166488628E-12</v>
      </c>
      <c r="CX185" s="59">
        <f t="shared" si="122"/>
        <v>293.33333333333451</v>
      </c>
      <c r="CY185" s="59">
        <f ca="1">AVERAGE(OFFSET($CX$3,0,0,'Données projet'!$E$13+1,1))-AVERAGE(OFFSET($H$3,0,0,'Données projet'!$E$13+1,1))</f>
        <v>181.32837315090507</v>
      </c>
      <c r="CZ185" s="59">
        <f t="shared" si="150"/>
        <v>175.03267817980338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0.26988740366132502</v>
      </c>
      <c r="DG185" s="21">
        <f>EXP(-LN(2)/25)*DG184+(1-EXP(-LN(2)/25))/(LN(2)/25)*Calculateur!DB185*Calculateur!DD185*VLOOKUP('Données projet'!$B$13,Paramètres!$A$1:$I$89,3,0)*0.475*44/12</f>
        <v>0.10055406680248512</v>
      </c>
      <c r="DH185" s="21">
        <f>EXP(-LN(2)/2)*DH184+(1-EXP(-LN(2)/2))/(LN(2)/2)*DB185*DE185*VLOOKUP('Données projet'!$B$13,Paramètres!$A$1:$I$89,3,0)*0.475*44/12</f>
        <v>1.4040936763927741E-23</v>
      </c>
      <c r="DI185" s="22">
        <f t="shared" si="175"/>
        <v>0.37044147046381015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-2.8421709430404007E-13</v>
      </c>
      <c r="DP185" s="17">
        <f>DO185*VLOOKUP('Données projet'!$B$14,Paramètres!$A$1:$I$89,3,0)*VLOOKUP('Données projet'!$B$14,Paramètres!$A$1:$I$89,5,0)</f>
        <v>-2.2612312022829427E-13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325.72928944930294</v>
      </c>
      <c r="DU185" s="59">
        <f t="shared" si="152"/>
        <v>318.38876834819752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0.85325228127026043</v>
      </c>
      <c r="EB185" s="21">
        <f>EXP(-LN(2)/25)*EB184+(1-EXP(-LN(2)/25))/(LN(2)/25)*Calculateur!DW185*Calculateur!DY185*VLOOKUP('Données projet'!$B$14,Paramètres!$A$1:$I$89,3,0)*0.475*44/12</f>
        <v>0.30569311604550237</v>
      </c>
      <c r="EC185" s="21">
        <f>EXP(-LN(2)/2)*EC184+(1-EXP(-LN(2)/2))/(LN(2)/2)*DW185*DZ185*VLOOKUP('Données projet'!$B$14,Paramètres!$A$1:$I$89,3,0)*0.475*44/12</f>
        <v>1.565650542608815E-22</v>
      </c>
      <c r="ED185" s="22">
        <f t="shared" si="178"/>
        <v>1.1589453973157628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-5.7639226724859328E-14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384.50065773787549</v>
      </c>
      <c r="EP185" s="59">
        <f t="shared" si="154"/>
        <v>231.92898690465887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0.40362685350712674</v>
      </c>
      <c r="EW185" s="21">
        <f>EXP(-LN(2)/25)*EW184+(1-EXP(-LN(2)/25))/(LN(2)/25)*Calculateur!ER185*Calculateur!ET185*VLOOKUP('Données projet'!$B$15,Paramètres!$A$1:$I$89,3,0)*0.475*44/12</f>
        <v>0.15513862050301816</v>
      </c>
      <c r="EX185" s="21">
        <f>EXP(-LN(2)/2)*EX184+(1-EXP(-LN(2)/2))/(LN(2)/2)*ER185*EU185*VLOOKUP('Données projet'!$B$15,Paramètres!$A$1:$I$89,3,0)*0.475*44/12</f>
        <v>1.2659037881478178E-22</v>
      </c>
      <c r="EY185" s="22">
        <f t="shared" si="181"/>
        <v>0.55876547401014487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-1.5429577615577727E-13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326.46362829268969</v>
      </c>
      <c r="FK185" s="59">
        <f t="shared" si="156"/>
        <v>203.5274665601915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0.36015934620635914</v>
      </c>
      <c r="FR185" s="21">
        <f>EXP(-LN(2)/25)*FR184+(1-EXP(-LN(2)/25))/(LN(2)/25)*Calculateur!FM185*Calculateur!FO185*VLOOKUP('Données projet'!$B$16,Paramètres!$A$1:$I$89,3,0)*0.475*44/12</f>
        <v>0.13843138444884667</v>
      </c>
      <c r="FS185" s="21">
        <f>EXP(-LN(2)/2)*FS184+(1-EXP(-LN(2)/2))/(LN(2)/2)*FM185*FP185*VLOOKUP('Données projet'!$B$16,Paramètres!$A$1:$I$89,3,0)*0.475*44/12</f>
        <v>1.129575687885745E-22</v>
      </c>
      <c r="FT185" s="22">
        <f t="shared" si="184"/>
        <v>0.49859073065520582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-1.7053025658242404E-13</v>
      </c>
      <c r="GA185" s="17">
        <f>FZ185*VLOOKUP('Données projet'!$B$17,Paramètres!$A$1:$I$89,3,0)*VLOOKUP('Données projet'!$B$17,Paramètres!$A$1:$I$89,5,0)</f>
        <v>-1.6493686416652052E-13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353.24082990916918</v>
      </c>
      <c r="GF185" s="59">
        <f t="shared" si="158"/>
        <v>219.76562717496353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0.38499792180679759</v>
      </c>
      <c r="GM185" s="21">
        <f>EXP(-LN(2)/25)*GM184+(1-EXP(-LN(2)/25))/(LN(2)/25)*Calculateur!GH185*Calculateur!GJ185*VLOOKUP('Données projet'!$B$17,Paramètres!$A$1:$I$89,3,0)*0.475*44/12</f>
        <v>0.147978376479802</v>
      </c>
      <c r="GN185" s="21">
        <f>EXP(-LN(2)/2)*GN184+(1-EXP(-LN(2)/2))/(LN(2)/2)*GH185*GK185*VLOOKUP('Données projet'!$B$17,Paramètres!$A$1:$I$89,3,0)*0.475*44/12</f>
        <v>1.2074774594640726E-22</v>
      </c>
      <c r="GO185" s="21">
        <f t="shared" si="187"/>
        <v>0.53297629828659954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378.17323480030268</v>
      </c>
      <c r="T186" s="59">
        <f t="shared" si="142"/>
        <v>471.89239871617241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0.2128116923573668</v>
      </c>
      <c r="AA186" s="21">
        <f>EXP(-LN(2)/25)*AA185+(1-EXP(-LN(2)/25))/(LN(2)/25)*Calculateur!V186*Calculateur!X186*VLOOKUP('Données projet'!$B$9,Paramètres!$A$1:$I$89,3,0)*0.475*44/12</f>
        <v>0.29908104988851891</v>
      </c>
      <c r="AB186" s="21">
        <f>EXP(-LN(2)/2)*AB185+(1-EXP(-LN(2)/2))/(LN(2)/2)*V186*Y186*VLOOKUP('Données projet'!$B$9,Paramètres!$A$1:$I$89,3,0)*0.475*44/12</f>
        <v>9.789523443135116E-23</v>
      </c>
      <c r="AC186" s="22">
        <f t="shared" si="163"/>
        <v>0.51189274224588566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141.22849894256314</v>
      </c>
      <c r="AO186" s="59">
        <f t="shared" si="144"/>
        <v>156.12101479343704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0.35536211226792425</v>
      </c>
      <c r="AV186" s="21">
        <f>EXP(-LN(2)/25)*AV185+(1-EXP(-LN(2)/25))/(LN(2)/25)*Calculateur!AQ186*Calculateur!AS186*VLOOKUP('Données projet'!$B$10,Paramètres!$A$1:$I$89,3,0)*0.475*44/12</f>
        <v>8.6591638211337862E-2</v>
      </c>
      <c r="AW186" s="21">
        <f>EXP(-LN(2)/2)*AW185+(1-EXP(-LN(2)/2))/(LN(2)/2)*AQ186*AT186*VLOOKUP('Données projet'!$B$10,Paramètres!$A$1:$I$89,3,0)*0.475*44/12</f>
        <v>2.7682113692217647E-23</v>
      </c>
      <c r="AX186" s="21">
        <f t="shared" si="166"/>
        <v>0.44195375047926211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114.25511901730295</v>
      </c>
      <c r="BJ186" s="59">
        <f t="shared" si="146"/>
        <v>180.96261947642182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0.16515360449094516</v>
      </c>
      <c r="BQ186" s="21">
        <f>EXP(-LN(2)/25)*BQ185+(1-EXP(-LN(2)/25))/(LN(2)/25)*Calculateur!BL186*Calculateur!BN186*VLOOKUP('Données projet'!$B$11,Paramètres!$A$1:$I$89,3,0)*0.475*44/12</f>
        <v>0.25614568340259114</v>
      </c>
      <c r="BR186" s="21">
        <f>EXP(-LN(2)/2)*BR185+(1-EXP(-LN(2)/2))/(LN(2)/2)*BL186*BO186*VLOOKUP('Données projet'!$B$11,Paramètres!$A$1:$I$89,3,0)*0.475*44/12</f>
        <v>6.3937722852559041E-23</v>
      </c>
      <c r="BS186" s="22">
        <f t="shared" si="169"/>
        <v>0.42129928789353632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4.4337866711430253E-14</v>
      </c>
      <c r="CA186" s="13">
        <f t="shared" si="170"/>
        <v>7.3222115536967035E-13</v>
      </c>
      <c r="CB186" s="20">
        <f t="shared" si="171"/>
        <v>1.3525069634579169E-12</v>
      </c>
      <c r="CC186" s="59">
        <f t="shared" si="119"/>
        <v>293.33333333333468</v>
      </c>
      <c r="CD186" s="59">
        <f ca="1">AVERAGE(OFFSET($CC$3,0,0,'Données projet'!$E$12+1,1))-AVERAGE(OFFSET($H$3,0,0,'Données projet'!$E$12+1,1))</f>
        <v>216.95993967070063</v>
      </c>
      <c r="CE186" s="59">
        <f t="shared" si="148"/>
        <v>208.79744153433245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0.2496179965005553</v>
      </c>
      <c r="CL186" s="21">
        <f>EXP(-LN(2)/25)*CL185+(1-EXP(-LN(2)/25))/(LN(2)/25)*Calculateur!CG186*Calculateur!CI186*VLOOKUP('Données projet'!$B$12,Paramètres!$A$1:$I$89,3,0)*0.475*44/12</f>
        <v>9.2268311847040166E-2</v>
      </c>
      <c r="CM186" s="21">
        <f>EXP(-LN(2)/2)*CM185+(1-EXP(-LN(2)/2))/(LN(2)/2)*CG186*CJ186*VLOOKUP('Données projet'!$B$12,Paramètres!$A$1:$I$89,3,0)*0.475*44/12</f>
        <v>1.1544699534866056E-23</v>
      </c>
      <c r="CN186" s="22">
        <f t="shared" si="172"/>
        <v>0.34188630834759548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3.813056537183002E-14</v>
      </c>
      <c r="CV186" s="13">
        <f t="shared" si="173"/>
        <v>6.4086286045526829E-13</v>
      </c>
      <c r="CW186" s="20">
        <f t="shared" si="174"/>
        <v>1.1825802166488628E-12</v>
      </c>
      <c r="CX186" s="59">
        <f t="shared" si="122"/>
        <v>293.33333333333451</v>
      </c>
      <c r="CY186" s="59">
        <f ca="1">AVERAGE(OFFSET($CX$3,0,0,'Données projet'!$E$13+1,1))-AVERAGE(OFFSET($H$3,0,0,'Données projet'!$E$13+1,1))</f>
        <v>181.32837315090507</v>
      </c>
      <c r="CZ186" s="59">
        <f t="shared" si="150"/>
        <v>175.03267817980338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0.26459507629058826</v>
      </c>
      <c r="DG186" s="21">
        <f>EXP(-LN(2)/25)*DG185+(1-EXP(-LN(2)/25))/(LN(2)/25)*Calculateur!DB186*Calculateur!DD186*VLOOKUP('Données projet'!$B$13,Paramètres!$A$1:$I$89,3,0)*0.475*44/12</f>
        <v>9.7804410557862612E-2</v>
      </c>
      <c r="DH186" s="21">
        <f>EXP(-LN(2)/2)*DH185+(1-EXP(-LN(2)/2))/(LN(2)/2)*DB186*DE186*VLOOKUP('Données projet'!$B$13,Paramètres!$A$1:$I$89,3,0)*0.475*44/12</f>
        <v>9.9284415999848042E-24</v>
      </c>
      <c r="DI186" s="22">
        <f t="shared" si="175"/>
        <v>0.36239948684845086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-2.8421709430404007E-13</v>
      </c>
      <c r="DP186" s="17">
        <f>DO186*VLOOKUP('Données projet'!$B$14,Paramètres!$A$1:$I$89,3,0)*VLOOKUP('Données projet'!$B$14,Paramètres!$A$1:$I$89,5,0)</f>
        <v>-2.2612312022829427E-13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325.72928944930294</v>
      </c>
      <c r="DU186" s="59">
        <f t="shared" si="152"/>
        <v>318.38876834819752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0.83652052446705372</v>
      </c>
      <c r="EB186" s="21">
        <f>EXP(-LN(2)/25)*EB185+(1-EXP(-LN(2)/25))/(LN(2)/25)*Calculateur!DW186*Calculateur!DY186*VLOOKUP('Données projet'!$B$14,Paramètres!$A$1:$I$89,3,0)*0.475*44/12</f>
        <v>0.29733392171153578</v>
      </c>
      <c r="EC186" s="21">
        <f>EXP(-LN(2)/2)*EC185+(1-EXP(-LN(2)/2))/(LN(2)/2)*DW186*DZ186*VLOOKUP('Données projet'!$B$14,Paramètres!$A$1:$I$89,3,0)*0.475*44/12</f>
        <v>1.1070821156470907E-22</v>
      </c>
      <c r="ED186" s="22">
        <f t="shared" si="178"/>
        <v>1.1338544461785895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-5.7639226724859328E-14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384.50065773787549</v>
      </c>
      <c r="EP186" s="59">
        <f t="shared" si="154"/>
        <v>231.92898690465887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0.39571197709792355</v>
      </c>
      <c r="EW186" s="21">
        <f>EXP(-LN(2)/25)*EW185+(1-EXP(-LN(2)/25))/(LN(2)/25)*Calculateur!ER186*Calculateur!ET186*VLOOKUP('Données projet'!$B$15,Paramètres!$A$1:$I$89,3,0)*0.475*44/12</f>
        <v>0.15089634676697766</v>
      </c>
      <c r="EX186" s="21">
        <f>EXP(-LN(2)/2)*EX185+(1-EXP(-LN(2)/2))/(LN(2)/2)*ER186*EU186*VLOOKUP('Données projet'!$B$15,Paramètres!$A$1:$I$89,3,0)*0.475*44/12</f>
        <v>8.9512915292906061E-23</v>
      </c>
      <c r="EY186" s="22">
        <f t="shared" si="181"/>
        <v>0.54660832386490121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-1.5429577615577727E-13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326.46362829268969</v>
      </c>
      <c r="FK186" s="59">
        <f t="shared" si="156"/>
        <v>203.5274665601915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0.35309684110276246</v>
      </c>
      <c r="FR186" s="21">
        <f>EXP(-LN(2)/25)*FR185+(1-EXP(-LN(2)/25))/(LN(2)/25)*Calculateur!FM186*Calculateur!FO186*VLOOKUP('Données projet'!$B$16,Paramètres!$A$1:$I$89,3,0)*0.475*44/12</f>
        <v>0.13464597096130285</v>
      </c>
      <c r="FS186" s="21">
        <f>EXP(-LN(2)/2)*FS185+(1-EXP(-LN(2)/2))/(LN(2)/2)*FM186*FP186*VLOOKUP('Données projet'!$B$16,Paramètres!$A$1:$I$89,3,0)*0.475*44/12</f>
        <v>7.9873062876746943E-23</v>
      </c>
      <c r="FT186" s="22">
        <f t="shared" si="184"/>
        <v>0.48774281206406533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-1.7053025658242404E-13</v>
      </c>
      <c r="GA186" s="17">
        <f>FZ186*VLOOKUP('Données projet'!$B$17,Paramètres!$A$1:$I$89,3,0)*VLOOKUP('Données projet'!$B$17,Paramètres!$A$1:$I$89,5,0)</f>
        <v>-1.6493686416652052E-13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353.24082990916918</v>
      </c>
      <c r="GF186" s="59">
        <f t="shared" si="158"/>
        <v>219.76562717496353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0.37744834738571148</v>
      </c>
      <c r="GM186" s="21">
        <f>EXP(-LN(2)/25)*GM185+(1-EXP(-LN(2)/25))/(LN(2)/25)*Calculateur!GH186*Calculateur!GJ186*VLOOKUP('Données projet'!$B$17,Paramètres!$A$1:$I$89,3,0)*0.475*44/12</f>
        <v>0.1439318999931172</v>
      </c>
      <c r="GN186" s="21">
        <f>EXP(-LN(2)/2)*GN185+(1-EXP(-LN(2)/2))/(LN(2)/2)*GH186*GK186*VLOOKUP('Données projet'!$B$17,Paramètres!$A$1:$I$89,3,0)*0.475*44/12</f>
        <v>8.5381549971695032E-23</v>
      </c>
      <c r="GO186" s="21">
        <f t="shared" si="187"/>
        <v>0.52138024737882871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378.17323480030268</v>
      </c>
      <c r="T187" s="59">
        <f t="shared" si="142"/>
        <v>471.89239871617241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0.20863858487255427</v>
      </c>
      <c r="AA187" s="21">
        <f>EXP(-LN(2)/25)*AA186+(1-EXP(-LN(2)/25))/(LN(2)/25)*Calculateur!V187*Calculateur!X187*VLOOKUP('Données projet'!$B$9,Paramètres!$A$1:$I$89,3,0)*0.475*44/12</f>
        <v>0.29090266285132849</v>
      </c>
      <c r="AB187" s="21">
        <f>EXP(-LN(2)/2)*AB186+(1-EXP(-LN(2)/2))/(LN(2)/2)*V187*Y187*VLOOKUP('Données projet'!$B$9,Paramètres!$A$1:$I$89,3,0)*0.475*44/12</f>
        <v>6.9222384112255197E-23</v>
      </c>
      <c r="AC187" s="22">
        <f t="shared" si="163"/>
        <v>0.49954124772388275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141.22849894256314</v>
      </c>
      <c r="AO187" s="59">
        <f t="shared" si="144"/>
        <v>156.12101479343704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0.34839367799583648</v>
      </c>
      <c r="AV187" s="21">
        <f>EXP(-LN(2)/25)*AV186+(1-EXP(-LN(2)/25))/(LN(2)/25)*Calculateur!AQ187*Calculateur!AS187*VLOOKUP('Données projet'!$B$10,Paramètres!$A$1:$I$89,3,0)*0.475*44/12</f>
        <v>8.4223785310792484E-2</v>
      </c>
      <c r="AW187" s="21">
        <f>EXP(-LN(2)/2)*AW186+(1-EXP(-LN(2)/2))/(LN(2)/2)*AQ187*AT187*VLOOKUP('Données projet'!$B$10,Paramètres!$A$1:$I$89,3,0)*0.475*44/12</f>
        <v>1.9574210309344075E-23</v>
      </c>
      <c r="AX187" s="21">
        <f t="shared" si="166"/>
        <v>0.43261746330662898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114.25511901730295</v>
      </c>
      <c r="BJ187" s="59">
        <f t="shared" si="146"/>
        <v>180.96261947642182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0.16191504304062984</v>
      </c>
      <c r="BQ187" s="21">
        <f>EXP(-LN(2)/25)*BQ186+(1-EXP(-LN(2)/25))/(LN(2)/25)*Calculateur!BL187*Calculateur!BN187*VLOOKUP('Données projet'!$B$11,Paramètres!$A$1:$I$89,3,0)*0.475*44/12</f>
        <v>0.24914136621983121</v>
      </c>
      <c r="BR187" s="21">
        <f>EXP(-LN(2)/2)*BR186+(1-EXP(-LN(2)/2))/(LN(2)/2)*BL187*BO187*VLOOKUP('Données projet'!$B$11,Paramètres!$A$1:$I$89,3,0)*0.475*44/12</f>
        <v>4.5210797402670586E-23</v>
      </c>
      <c r="BS187" s="22">
        <f t="shared" si="169"/>
        <v>0.41105640926046105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4.4337866711430253E-14</v>
      </c>
      <c r="CA187" s="13">
        <f t="shared" si="170"/>
        <v>7.3222115536967035E-13</v>
      </c>
      <c r="CB187" s="20">
        <f t="shared" si="171"/>
        <v>1.3525069634579169E-12</v>
      </c>
      <c r="CC187" s="59">
        <f t="shared" si="119"/>
        <v>293.33333333333468</v>
      </c>
      <c r="CD187" s="59">
        <f ca="1">AVERAGE(OFFSET($CC$3,0,0,'Données projet'!$E$12+1,1))-AVERAGE(OFFSET($H$3,0,0,'Données projet'!$E$12+1,1))</f>
        <v>216.95993967070063</v>
      </c>
      <c r="CE187" s="59">
        <f t="shared" si="148"/>
        <v>208.79744153433245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0.24472313984112365</v>
      </c>
      <c r="CL187" s="21">
        <f>EXP(-LN(2)/25)*CL186+(1-EXP(-LN(2)/25))/(LN(2)/25)*Calculateur!CG187*Calculateur!CI187*VLOOKUP('Données projet'!$B$12,Paramètres!$A$1:$I$89,3,0)*0.475*44/12</f>
        <v>8.9745230007403212E-2</v>
      </c>
      <c r="CM187" s="21">
        <f>EXP(-LN(2)/2)*CM186+(1-EXP(-LN(2)/2))/(LN(2)/2)*CG187*CJ187*VLOOKUP('Données projet'!$B$12,Paramètres!$A$1:$I$89,3,0)*0.475*44/12</f>
        <v>8.1633353278649694E-24</v>
      </c>
      <c r="CN187" s="22">
        <f t="shared" si="172"/>
        <v>0.33446836984852685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3.813056537183002E-14</v>
      </c>
      <c r="CV187" s="13">
        <f t="shared" si="173"/>
        <v>6.4086286045526829E-13</v>
      </c>
      <c r="CW187" s="20">
        <f t="shared" si="174"/>
        <v>1.1825802166488628E-12</v>
      </c>
      <c r="CX187" s="59">
        <f t="shared" si="122"/>
        <v>293.33333333333451</v>
      </c>
      <c r="CY187" s="59">
        <f ca="1">AVERAGE(OFFSET($CX$3,0,0,'Données projet'!$E$13+1,1))-AVERAGE(OFFSET($H$3,0,0,'Données projet'!$E$13+1,1))</f>
        <v>181.32837315090507</v>
      </c>
      <c r="CZ187" s="59">
        <f t="shared" si="150"/>
        <v>175.03267817980338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0.25940652823159072</v>
      </c>
      <c r="DG187" s="21">
        <f>EXP(-LN(2)/25)*DG186+(1-EXP(-LN(2)/25))/(LN(2)/25)*Calculateur!DB187*Calculateur!DD187*VLOOKUP('Données projet'!$B$13,Paramètres!$A$1:$I$89,3,0)*0.475*44/12</f>
        <v>9.5129943807847436E-2</v>
      </c>
      <c r="DH187" s="21">
        <f>EXP(-LN(2)/2)*DH186+(1-EXP(-LN(2)/2))/(LN(2)/2)*DB187*DE187*VLOOKUP('Données projet'!$B$13,Paramètres!$A$1:$I$89,3,0)*0.475*44/12</f>
        <v>7.0204683819638707E-24</v>
      </c>
      <c r="DI187" s="22">
        <f t="shared" si="175"/>
        <v>0.35453647203943817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-2.8421709430404007E-13</v>
      </c>
      <c r="DP187" s="17">
        <f>DO187*VLOOKUP('Données projet'!$B$14,Paramètres!$A$1:$I$89,3,0)*VLOOKUP('Données projet'!$B$14,Paramètres!$A$1:$I$89,5,0)</f>
        <v>-2.2612312022829427E-13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325.72928944930294</v>
      </c>
      <c r="DU187" s="59">
        <f t="shared" si="152"/>
        <v>318.38876834819752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0.82011686720939392</v>
      </c>
      <c r="EB187" s="21">
        <f>EXP(-LN(2)/25)*EB186+(1-EXP(-LN(2)/25))/(LN(2)/25)*Calculateur!DW187*Calculateur!DY187*VLOOKUP('Données projet'!$B$14,Paramètres!$A$1:$I$89,3,0)*0.475*44/12</f>
        <v>0.28920330998622246</v>
      </c>
      <c r="EC187" s="21">
        <f>EXP(-LN(2)/2)*EC186+(1-EXP(-LN(2)/2))/(LN(2)/2)*DW187*DZ187*VLOOKUP('Données projet'!$B$14,Paramètres!$A$1:$I$89,3,0)*0.475*44/12</f>
        <v>7.8282527130440752E-23</v>
      </c>
      <c r="ED187" s="22">
        <f t="shared" si="178"/>
        <v>1.1093201771956163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-5.7639226724859328E-14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384.50065773787549</v>
      </c>
      <c r="EP187" s="59">
        <f t="shared" si="154"/>
        <v>231.92898690465887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0.38795230658750696</v>
      </c>
      <c r="EW187" s="21">
        <f>EXP(-LN(2)/25)*EW186+(1-EXP(-LN(2)/25))/(LN(2)/25)*Calculateur!ER187*Calculateur!ET187*VLOOKUP('Données projet'!$B$15,Paramètres!$A$1:$I$89,3,0)*0.475*44/12</f>
        <v>0.14677007822934066</v>
      </c>
      <c r="EX187" s="21">
        <f>EXP(-LN(2)/2)*EX186+(1-EXP(-LN(2)/2))/(LN(2)/2)*ER187*EU187*VLOOKUP('Données projet'!$B$15,Paramètres!$A$1:$I$89,3,0)*0.475*44/12</f>
        <v>6.3295189407390889E-23</v>
      </c>
      <c r="EY187" s="22">
        <f t="shared" si="181"/>
        <v>0.53472238481684764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-1.5429577615577727E-13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326.46362829268969</v>
      </c>
      <c r="FK187" s="59">
        <f t="shared" si="156"/>
        <v>203.5274665601915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0.34617282741654454</v>
      </c>
      <c r="FR187" s="21">
        <f>EXP(-LN(2)/25)*FR186+(1-EXP(-LN(2)/25))/(LN(2)/25)*Calculateur!FM187*Calculateur!FO187*VLOOKUP('Données projet'!$B$16,Paramètres!$A$1:$I$89,3,0)*0.475*44/12</f>
        <v>0.13096406980464215</v>
      </c>
      <c r="FS187" s="21">
        <f>EXP(-LN(2)/2)*FS186+(1-EXP(-LN(2)/2))/(LN(2)/2)*FM187*FP187*VLOOKUP('Données projet'!$B$16,Paramètres!$A$1:$I$89,3,0)*0.475*44/12</f>
        <v>5.6478784394287252E-23</v>
      </c>
      <c r="FT187" s="22">
        <f t="shared" si="184"/>
        <v>0.47713689722118668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-1.7053025658242404E-13</v>
      </c>
      <c r="GA187" s="17">
        <f>FZ187*VLOOKUP('Données projet'!$B$17,Paramètres!$A$1:$I$89,3,0)*VLOOKUP('Données projet'!$B$17,Paramètres!$A$1:$I$89,5,0)</f>
        <v>-1.6493686416652052E-13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353.24082990916918</v>
      </c>
      <c r="GF187" s="59">
        <f t="shared" si="158"/>
        <v>219.76562717496353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0.37004681551423718</v>
      </c>
      <c r="GM187" s="21">
        <f>EXP(-LN(2)/25)*GM186+(1-EXP(-LN(2)/25))/(LN(2)/25)*Calculateur!GH187*Calculateur!GJ187*VLOOKUP('Données projet'!$B$17,Paramètres!$A$1:$I$89,3,0)*0.475*44/12</f>
        <v>0.13999607461875574</v>
      </c>
      <c r="GN187" s="21">
        <f>EXP(-LN(2)/2)*GN186+(1-EXP(-LN(2)/2))/(LN(2)/2)*GH187*GK187*VLOOKUP('Données projet'!$B$17,Paramètres!$A$1:$I$89,3,0)*0.475*44/12</f>
        <v>6.0373872973203631E-23</v>
      </c>
      <c r="GO187" s="21">
        <f t="shared" si="187"/>
        <v>0.51004289013299298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378.17323480030268</v>
      </c>
      <c r="T188" s="59">
        <f t="shared" si="142"/>
        <v>471.89239871617241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0.20454730948017466</v>
      </c>
      <c r="AA188" s="21">
        <f>EXP(-LN(2)/25)*AA187+(1-EXP(-LN(2)/25))/(LN(2)/25)*Calculateur!V188*Calculateur!X188*VLOOKUP('Données projet'!$B$9,Paramètres!$A$1:$I$89,3,0)*0.475*44/12</f>
        <v>0.28294791423775273</v>
      </c>
      <c r="AB188" s="21">
        <f>EXP(-LN(2)/2)*AB187+(1-EXP(-LN(2)/2))/(LN(2)/2)*V188*Y188*VLOOKUP('Données projet'!$B$9,Paramètres!$A$1:$I$89,3,0)*0.475*44/12</f>
        <v>4.894761721567558E-23</v>
      </c>
      <c r="AC188" s="22">
        <f t="shared" si="163"/>
        <v>0.48749522371792742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141.22849894256314</v>
      </c>
      <c r="AO188" s="59">
        <f t="shared" si="144"/>
        <v>156.12101479343704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0.34156189046949914</v>
      </c>
      <c r="AV188" s="21">
        <f>EXP(-LN(2)/25)*AV187+(1-EXP(-LN(2)/25))/(LN(2)/25)*Calculateur!AQ188*Calculateur!AS188*VLOOKUP('Données projet'!$B$10,Paramètres!$A$1:$I$89,3,0)*0.475*44/12</f>
        <v>8.1920681472332488E-2</v>
      </c>
      <c r="AW188" s="21">
        <f>EXP(-LN(2)/2)*AW187+(1-EXP(-LN(2)/2))/(LN(2)/2)*AQ188*AT188*VLOOKUP('Données projet'!$B$10,Paramètres!$A$1:$I$89,3,0)*0.475*44/12</f>
        <v>1.3841056846108824E-23</v>
      </c>
      <c r="AX188" s="21">
        <f t="shared" si="166"/>
        <v>0.42348257194183164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114.25511901730295</v>
      </c>
      <c r="BJ188" s="59">
        <f t="shared" si="146"/>
        <v>180.96261947642182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0.15873998780502777</v>
      </c>
      <c r="BQ188" s="21">
        <f>EXP(-LN(2)/25)*BQ187+(1-EXP(-LN(2)/25))/(LN(2)/25)*Calculateur!BL188*Calculateur!BN188*VLOOKUP('Données projet'!$B$11,Paramètres!$A$1:$I$89,3,0)*0.475*44/12</f>
        <v>0.24232858245877489</v>
      </c>
      <c r="BR188" s="21">
        <f>EXP(-LN(2)/2)*BR187+(1-EXP(-LN(2)/2))/(LN(2)/2)*BL188*BO188*VLOOKUP('Données projet'!$B$11,Paramètres!$A$1:$I$89,3,0)*0.475*44/12</f>
        <v>3.1968861426279521E-23</v>
      </c>
      <c r="BS188" s="22">
        <f t="shared" si="169"/>
        <v>0.40106857026380266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4.4337866711430253E-14</v>
      </c>
      <c r="CA188" s="13">
        <f t="shared" si="170"/>
        <v>7.3222115536967035E-13</v>
      </c>
      <c r="CB188" s="20">
        <f t="shared" si="171"/>
        <v>1.3525069634579169E-12</v>
      </c>
      <c r="CC188" s="59">
        <f t="shared" si="119"/>
        <v>293.33333333333468</v>
      </c>
      <c r="CD188" s="59">
        <f ca="1">AVERAGE(OFFSET($CC$3,0,0,'Données projet'!$E$12+1,1))-AVERAGE(OFFSET($H$3,0,0,'Données projet'!$E$12+1,1))</f>
        <v>216.95993967070063</v>
      </c>
      <c r="CE188" s="59">
        <f t="shared" si="148"/>
        <v>208.79744153433245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0.23992426833521568</v>
      </c>
      <c r="CL188" s="21">
        <f>EXP(-LN(2)/25)*CL187+(1-EXP(-LN(2)/25))/(LN(2)/25)*Calculateur!CG188*Calculateur!CI188*VLOOKUP('Données projet'!$B$12,Paramètres!$A$1:$I$89,3,0)*0.475*44/12</f>
        <v>8.7291141973354247E-2</v>
      </c>
      <c r="CM188" s="21">
        <f>EXP(-LN(2)/2)*CM187+(1-EXP(-LN(2)/2))/(LN(2)/2)*CG188*CJ188*VLOOKUP('Données projet'!$B$12,Paramètres!$A$1:$I$89,3,0)*0.475*44/12</f>
        <v>5.7723497674330282E-24</v>
      </c>
      <c r="CN188" s="22">
        <f t="shared" si="172"/>
        <v>0.32721541030856993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3.813056537183002E-14</v>
      </c>
      <c r="CV188" s="13">
        <f t="shared" si="173"/>
        <v>6.4086286045526829E-13</v>
      </c>
      <c r="CW188" s="20">
        <f t="shared" si="174"/>
        <v>1.1825802166488628E-12</v>
      </c>
      <c r="CX188" s="59">
        <f t="shared" si="122"/>
        <v>293.33333333333451</v>
      </c>
      <c r="CY188" s="59">
        <f ca="1">AVERAGE(OFFSET($CX$3,0,0,'Données projet'!$E$13+1,1))-AVERAGE(OFFSET($H$3,0,0,'Données projet'!$E$13+1,1))</f>
        <v>181.32837315090507</v>
      </c>
      <c r="CZ188" s="59">
        <f t="shared" si="150"/>
        <v>175.03267817980338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0.2543197244353283</v>
      </c>
      <c r="DG188" s="21">
        <f>EXP(-LN(2)/25)*DG187+(1-EXP(-LN(2)/25))/(LN(2)/25)*Calculateur!DB188*Calculateur!DD188*VLOOKUP('Données projet'!$B$13,Paramètres!$A$1:$I$89,3,0)*0.475*44/12</f>
        <v>9.2528610491755522E-2</v>
      </c>
      <c r="DH188" s="21">
        <f>EXP(-LN(2)/2)*DH187+(1-EXP(-LN(2)/2))/(LN(2)/2)*DB188*DE188*VLOOKUP('Données projet'!$B$13,Paramètres!$A$1:$I$89,3,0)*0.475*44/12</f>
        <v>4.9642207999924021E-24</v>
      </c>
      <c r="DI188" s="22">
        <f t="shared" si="175"/>
        <v>0.34684833492708383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-2.8421709430404007E-13</v>
      </c>
      <c r="DP188" s="17">
        <f>DO188*VLOOKUP('Données projet'!$B$14,Paramètres!$A$1:$I$89,3,0)*VLOOKUP('Données projet'!$B$14,Paramètres!$A$1:$I$89,5,0)</f>
        <v>-2.2612312022829427E-13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325.72928944930294</v>
      </c>
      <c r="DU188" s="59">
        <f t="shared" si="152"/>
        <v>318.38876834819752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0.80403487566531384</v>
      </c>
      <c r="EB188" s="21">
        <f>EXP(-LN(2)/25)*EB187+(1-EXP(-LN(2)/25))/(LN(2)/25)*Calculateur!DW188*Calculateur!DY188*VLOOKUP('Données projet'!$B$14,Paramètres!$A$1:$I$89,3,0)*0.475*44/12</f>
        <v>0.28129503026610814</v>
      </c>
      <c r="EC188" s="21">
        <f>EXP(-LN(2)/2)*EC187+(1-EXP(-LN(2)/2))/(LN(2)/2)*DW188*DZ188*VLOOKUP('Données projet'!$B$14,Paramètres!$A$1:$I$89,3,0)*0.475*44/12</f>
        <v>5.5354105782354537E-23</v>
      </c>
      <c r="ED188" s="22">
        <f t="shared" si="178"/>
        <v>1.0853299059314221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-5.7639226724859328E-14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384.50065773787549</v>
      </c>
      <c r="EP188" s="59">
        <f t="shared" si="154"/>
        <v>231.92898690465887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0.38034479848286795</v>
      </c>
      <c r="EW188" s="21">
        <f>EXP(-LN(2)/25)*EW187+(1-EXP(-LN(2)/25))/(LN(2)/25)*Calculateur!ER188*Calculateur!ET188*VLOOKUP('Données projet'!$B$15,Paramètres!$A$1:$I$89,3,0)*0.475*44/12</f>
        <v>0.14275664272185637</v>
      </c>
      <c r="EX188" s="21">
        <f>EXP(-LN(2)/2)*EX187+(1-EXP(-LN(2)/2))/(LN(2)/2)*ER188*EU188*VLOOKUP('Données projet'!$B$15,Paramètres!$A$1:$I$89,3,0)*0.475*44/12</f>
        <v>4.475645764645303E-23</v>
      </c>
      <c r="EY188" s="22">
        <f t="shared" si="181"/>
        <v>0.52310144120472435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-1.5429577615577727E-13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326.46362829268969</v>
      </c>
      <c r="FK188" s="59">
        <f t="shared" si="156"/>
        <v>203.5274665601915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0.33938458941548205</v>
      </c>
      <c r="FR188" s="21">
        <f>EXP(-LN(2)/25)*FR187+(1-EXP(-LN(2)/25))/(LN(2)/25)*Calculateur!FM188*Calculateur!FO188*VLOOKUP('Données projet'!$B$16,Paramètres!$A$1:$I$89,3,0)*0.475*44/12</f>
        <v>0.1273828504287331</v>
      </c>
      <c r="FS188" s="21">
        <f>EXP(-LN(2)/2)*FS187+(1-EXP(-LN(2)/2))/(LN(2)/2)*FM188*FP188*VLOOKUP('Données projet'!$B$16,Paramètres!$A$1:$I$89,3,0)*0.475*44/12</f>
        <v>3.9936531438373472E-23</v>
      </c>
      <c r="FT188" s="22">
        <f t="shared" si="184"/>
        <v>0.46676743984421515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-1.7053025658242404E-13</v>
      </c>
      <c r="GA188" s="17">
        <f>FZ188*VLOOKUP('Données projet'!$B$17,Paramètres!$A$1:$I$89,3,0)*VLOOKUP('Données projet'!$B$17,Paramètres!$A$1:$I$89,5,0)</f>
        <v>-1.6493686416652052E-13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353.24082990916918</v>
      </c>
      <c r="GF188" s="59">
        <f t="shared" si="158"/>
        <v>219.76562717496353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0.36279042316827381</v>
      </c>
      <c r="GM188" s="21">
        <f>EXP(-LN(2)/25)*GM187+(1-EXP(-LN(2)/25))/(LN(2)/25)*Calculateur!GH188*Calculateur!GJ188*VLOOKUP('Données projet'!$B$17,Paramètres!$A$1:$I$89,3,0)*0.475*44/12</f>
        <v>0.13616787459623225</v>
      </c>
      <c r="GN188" s="21">
        <f>EXP(-LN(2)/2)*GN187+(1-EXP(-LN(2)/2))/(LN(2)/2)*GH188*GK188*VLOOKUP('Données projet'!$B$17,Paramètres!$A$1:$I$89,3,0)*0.475*44/12</f>
        <v>4.2690774985847516E-23</v>
      </c>
      <c r="GO188" s="21">
        <f t="shared" si="187"/>
        <v>0.49895829776450606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378.17323480030268</v>
      </c>
      <c r="T189" s="59">
        <f t="shared" si="142"/>
        <v>471.89239871617241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0.20053626150280804</v>
      </c>
      <c r="AA189" s="21">
        <f>EXP(-LN(2)/25)*AA188+(1-EXP(-LN(2)/25))/(LN(2)/25)*Calculateur!V189*Calculateur!X189*VLOOKUP('Données projet'!$B$9,Paramètres!$A$1:$I$89,3,0)*0.475*44/12</f>
        <v>0.27521068864333725</v>
      </c>
      <c r="AB189" s="21">
        <f>EXP(-LN(2)/2)*AB188+(1-EXP(-LN(2)/2))/(LN(2)/2)*V189*Y189*VLOOKUP('Données projet'!$B$9,Paramètres!$A$1:$I$89,3,0)*0.475*44/12</f>
        <v>3.4611192056127598E-23</v>
      </c>
      <c r="AC189" s="22">
        <f t="shared" si="163"/>
        <v>0.47574695014614532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141.22849894256314</v>
      </c>
      <c r="AO189" s="59">
        <f t="shared" si="144"/>
        <v>156.12101479343704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0.33486407012957436</v>
      </c>
      <c r="AV189" s="21">
        <f>EXP(-LN(2)/25)*AV188+(1-EXP(-LN(2)/25))/(LN(2)/25)*Calculateur!AQ189*Calculateur!AS189*VLOOKUP('Données projet'!$B$10,Paramètres!$A$1:$I$89,3,0)*0.475*44/12</f>
        <v>7.9680556129450145E-2</v>
      </c>
      <c r="AW189" s="21">
        <f>EXP(-LN(2)/2)*AW188+(1-EXP(-LN(2)/2))/(LN(2)/2)*AQ189*AT189*VLOOKUP('Données projet'!$B$10,Paramètres!$A$1:$I$89,3,0)*0.475*44/12</f>
        <v>9.7871051546720376E-24</v>
      </c>
      <c r="AX189" s="21">
        <f t="shared" si="166"/>
        <v>0.4145446262590245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114.25511901730295</v>
      </c>
      <c r="BJ189" s="59">
        <f t="shared" si="146"/>
        <v>180.96261947642182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0.15562719346600337</v>
      </c>
      <c r="BQ189" s="21">
        <f>EXP(-LN(2)/25)*BQ188+(1-EXP(-LN(2)/25))/(LN(2)/25)*Calculateur!BL189*Calculateur!BN189*VLOOKUP('Données projet'!$B$11,Paramètres!$A$1:$I$89,3,0)*0.475*44/12</f>
        <v>0.2357020946279334</v>
      </c>
      <c r="BR189" s="21">
        <f>EXP(-LN(2)/2)*BR188+(1-EXP(-LN(2)/2))/(LN(2)/2)*BL189*BO189*VLOOKUP('Données projet'!$B$11,Paramètres!$A$1:$I$89,3,0)*0.475*44/12</f>
        <v>2.2605398701335293E-23</v>
      </c>
      <c r="BS189" s="22">
        <f t="shared" si="169"/>
        <v>0.39132928809393674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4.4337866711430253E-14</v>
      </c>
      <c r="CA189" s="13">
        <f t="shared" si="170"/>
        <v>7.3222115536967035E-13</v>
      </c>
      <c r="CB189" s="20">
        <f t="shared" si="171"/>
        <v>1.3525069634579169E-12</v>
      </c>
      <c r="CC189" s="59">
        <f t="shared" si="119"/>
        <v>293.33333333333468</v>
      </c>
      <c r="CD189" s="59">
        <f ca="1">AVERAGE(OFFSET($CC$3,0,0,'Données projet'!$E$12+1,1))-AVERAGE(OFFSET($H$3,0,0,'Données projet'!$E$12+1,1))</f>
        <v>216.95993967070063</v>
      </c>
      <c r="CE189" s="59">
        <f t="shared" si="148"/>
        <v>208.79744153433245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0.23521949977251597</v>
      </c>
      <c r="CL189" s="21">
        <f>EXP(-LN(2)/25)*CL188+(1-EXP(-LN(2)/25))/(LN(2)/25)*Calculateur!CG189*Calculateur!CI189*VLOOKUP('Données projet'!$B$12,Paramètres!$A$1:$I$89,3,0)*0.475*44/12</f>
        <v>8.490416110565123E-2</v>
      </c>
      <c r="CM189" s="21">
        <f>EXP(-LN(2)/2)*CM188+(1-EXP(-LN(2)/2))/(LN(2)/2)*CG189*CJ189*VLOOKUP('Données projet'!$B$12,Paramètres!$A$1:$I$89,3,0)*0.475*44/12</f>
        <v>4.0816676639324847E-24</v>
      </c>
      <c r="CN189" s="22">
        <f t="shared" si="172"/>
        <v>0.32012366087816718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3.813056537183002E-14</v>
      </c>
      <c r="CV189" s="13">
        <f t="shared" si="173"/>
        <v>6.4086286045526829E-13</v>
      </c>
      <c r="CW189" s="20">
        <f t="shared" si="174"/>
        <v>1.1825802166488628E-12</v>
      </c>
      <c r="CX189" s="59">
        <f t="shared" si="122"/>
        <v>293.33333333333451</v>
      </c>
      <c r="CY189" s="59">
        <f ca="1">AVERAGE(OFFSET($CX$3,0,0,'Données projet'!$E$13+1,1))-AVERAGE(OFFSET($H$3,0,0,'Données projet'!$E$13+1,1))</f>
        <v>181.32837315090507</v>
      </c>
      <c r="CZ189" s="59">
        <f t="shared" si="150"/>
        <v>175.03267817980338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0.24933266975886662</v>
      </c>
      <c r="DG189" s="21">
        <f>EXP(-LN(2)/25)*DG188+(1-EXP(-LN(2)/25))/(LN(2)/25)*Calculateur!DB189*Calculateur!DD189*VLOOKUP('Données projet'!$B$13,Paramètres!$A$1:$I$89,3,0)*0.475*44/12</f>
        <v>8.999841077199032E-2</v>
      </c>
      <c r="DH189" s="21">
        <f>EXP(-LN(2)/2)*DH188+(1-EXP(-LN(2)/2))/(LN(2)/2)*DB189*DE189*VLOOKUP('Données projet'!$B$13,Paramètres!$A$1:$I$89,3,0)*0.475*44/12</f>
        <v>3.5102341909819353E-24</v>
      </c>
      <c r="DI189" s="22">
        <f t="shared" si="175"/>
        <v>0.33933108053085692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-2.8421709430404007E-13</v>
      </c>
      <c r="DP189" s="17">
        <f>DO189*VLOOKUP('Données projet'!$B$14,Paramètres!$A$1:$I$89,3,0)*VLOOKUP('Données projet'!$B$14,Paramètres!$A$1:$I$89,5,0)</f>
        <v>-2.2612312022829427E-13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325.72928944930294</v>
      </c>
      <c r="DU189" s="59">
        <f t="shared" si="152"/>
        <v>318.38876834819752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0.78826824216636693</v>
      </c>
      <c r="EB189" s="21">
        <f>EXP(-LN(2)/25)*EB188+(1-EXP(-LN(2)/25))/(LN(2)/25)*Calculateur!DW189*Calculateur!DY189*VLOOKUP('Données projet'!$B$14,Paramètres!$A$1:$I$89,3,0)*0.475*44/12</f>
        <v>0.27360300287081868</v>
      </c>
      <c r="EC189" s="21">
        <f>EXP(-LN(2)/2)*EC188+(1-EXP(-LN(2)/2))/(LN(2)/2)*DW189*DZ189*VLOOKUP('Données projet'!$B$14,Paramètres!$A$1:$I$89,3,0)*0.475*44/12</f>
        <v>3.9141263565220376E-23</v>
      </c>
      <c r="ED189" s="22">
        <f t="shared" si="178"/>
        <v>1.0618712450371857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-5.7639226724859328E-14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384.50065773787549</v>
      </c>
      <c r="EP189" s="59">
        <f t="shared" si="154"/>
        <v>231.92898690465887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0.37288646897203914</v>
      </c>
      <c r="EW189" s="21">
        <f>EXP(-LN(2)/25)*EW188+(1-EXP(-LN(2)/25))/(LN(2)/25)*Calculateur!ER189*Calculateur!ET189*VLOOKUP('Données projet'!$B$15,Paramètres!$A$1:$I$89,3,0)*0.475*44/12</f>
        <v>0.13885295481938165</v>
      </c>
      <c r="EX189" s="21">
        <f>EXP(-LN(2)/2)*EX188+(1-EXP(-LN(2)/2))/(LN(2)/2)*ER189*EU189*VLOOKUP('Données projet'!$B$15,Paramètres!$A$1:$I$89,3,0)*0.475*44/12</f>
        <v>3.1647594703695444E-23</v>
      </c>
      <c r="EY189" s="22">
        <f t="shared" si="181"/>
        <v>0.51173942379142079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-1.5429577615577727E-13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326.46362829268969</v>
      </c>
      <c r="FK189" s="59">
        <f t="shared" si="156"/>
        <v>203.5274665601915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0.33272946462120401</v>
      </c>
      <c r="FR189" s="21">
        <f>EXP(-LN(2)/25)*FR188+(1-EXP(-LN(2)/25))/(LN(2)/25)*Calculateur!FM189*Calculateur!FO189*VLOOKUP('Données projet'!$B$16,Paramètres!$A$1:$I$89,3,0)*0.475*44/12</f>
        <v>0.12389955968498642</v>
      </c>
      <c r="FS189" s="21">
        <f>EXP(-LN(2)/2)*FS188+(1-EXP(-LN(2)/2))/(LN(2)/2)*FM189*FP189*VLOOKUP('Données projet'!$B$16,Paramètres!$A$1:$I$89,3,0)*0.475*44/12</f>
        <v>2.8239392197143626E-23</v>
      </c>
      <c r="FT189" s="22">
        <f t="shared" si="184"/>
        <v>0.45662902430619046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-1.7053025658242404E-13</v>
      </c>
      <c r="GA189" s="17">
        <f>FZ189*VLOOKUP('Données projet'!$B$17,Paramètres!$A$1:$I$89,3,0)*VLOOKUP('Données projet'!$B$17,Paramètres!$A$1:$I$89,5,0)</f>
        <v>-1.6493686416652052E-13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353.24082990916918</v>
      </c>
      <c r="GF189" s="59">
        <f t="shared" si="158"/>
        <v>219.76562717496353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0.35567632425025247</v>
      </c>
      <c r="GM189" s="21">
        <f>EXP(-LN(2)/25)*GM188+(1-EXP(-LN(2)/25))/(LN(2)/25)*Calculateur!GH189*Calculateur!GJ189*VLOOKUP('Données projet'!$B$17,Paramètres!$A$1:$I$89,3,0)*0.475*44/12</f>
        <v>0.13244435690464096</v>
      </c>
      <c r="GN189" s="21">
        <f>EXP(-LN(2)/2)*GN188+(1-EXP(-LN(2)/2))/(LN(2)/2)*GH189*GK189*VLOOKUP('Données projet'!$B$17,Paramètres!$A$1:$I$89,3,0)*0.475*44/12</f>
        <v>3.0186936486601816E-23</v>
      </c>
      <c r="GO189" s="21">
        <f t="shared" si="187"/>
        <v>0.48812068115489343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378.17323480030268</v>
      </c>
      <c r="T190" s="59">
        <f t="shared" si="142"/>
        <v>471.89239871617241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0.19660386772977989</v>
      </c>
      <c r="AA190" s="21">
        <f>EXP(-LN(2)/25)*AA189+(1-EXP(-LN(2)/25))/(LN(2)/25)*Calculateur!V190*Calculateur!X190*VLOOKUP('Données projet'!$B$9,Paramètres!$A$1:$I$89,3,0)*0.475*44/12</f>
        <v>0.26768503788968406</v>
      </c>
      <c r="AB190" s="21">
        <f>EXP(-LN(2)/2)*AB189+(1-EXP(-LN(2)/2))/(LN(2)/2)*V190*Y190*VLOOKUP('Données projet'!$B$9,Paramètres!$A$1:$I$89,3,0)*0.475*44/12</f>
        <v>2.447380860783779E-23</v>
      </c>
      <c r="AC190" s="22">
        <f t="shared" si="163"/>
        <v>0.46428890561946395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141.22849894256314</v>
      </c>
      <c r="AO190" s="59">
        <f t="shared" si="144"/>
        <v>156.12101479343704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0.32829758996124847</v>
      </c>
      <c r="AV190" s="21">
        <f>EXP(-LN(2)/25)*AV189+(1-EXP(-LN(2)/25))/(LN(2)/25)*Calculateur!AQ190*Calculateur!AS190*VLOOKUP('Données projet'!$B$10,Paramètres!$A$1:$I$89,3,0)*0.475*44/12</f>
        <v>7.7501687131871999E-2</v>
      </c>
      <c r="AW190" s="21">
        <f>EXP(-LN(2)/2)*AW189+(1-EXP(-LN(2)/2))/(LN(2)/2)*AQ190*AT190*VLOOKUP('Données projet'!$B$10,Paramètres!$A$1:$I$89,3,0)*0.475*44/12</f>
        <v>6.9205284230544118E-24</v>
      </c>
      <c r="AX190" s="21">
        <f t="shared" si="166"/>
        <v>0.40579927709312047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114.25511901730295</v>
      </c>
      <c r="BJ190" s="59">
        <f t="shared" si="146"/>
        <v>180.96261947642182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0.15257543912535018</v>
      </c>
      <c r="BQ190" s="21">
        <f>EXP(-LN(2)/25)*BQ189+(1-EXP(-LN(2)/25))/(LN(2)/25)*Calculateur!BL190*Calculateur!BN190*VLOOKUP('Données projet'!$B$11,Paramètres!$A$1:$I$89,3,0)*0.475*44/12</f>
        <v>0.22925680845529811</v>
      </c>
      <c r="BR190" s="21">
        <f>EXP(-LN(2)/2)*BR189+(1-EXP(-LN(2)/2))/(LN(2)/2)*BL190*BO190*VLOOKUP('Données projet'!$B$11,Paramètres!$A$1:$I$89,3,0)*0.475*44/12</f>
        <v>1.598443071313976E-23</v>
      </c>
      <c r="BS190" s="22">
        <f t="shared" si="169"/>
        <v>0.38183224758064827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4.4337866711430253E-14</v>
      </c>
      <c r="CA190" s="13">
        <f t="shared" si="170"/>
        <v>7.3222115536967035E-13</v>
      </c>
      <c r="CB190" s="20">
        <f t="shared" si="171"/>
        <v>1.3525069634579169E-12</v>
      </c>
      <c r="CC190" s="59">
        <f t="shared" si="119"/>
        <v>293.33333333333468</v>
      </c>
      <c r="CD190" s="59">
        <f ca="1">AVERAGE(OFFSET($CC$3,0,0,'Données projet'!$E$12+1,1))-AVERAGE(OFFSET($H$3,0,0,'Données projet'!$E$12+1,1))</f>
        <v>216.95993967070063</v>
      </c>
      <c r="CE190" s="59">
        <f t="shared" si="148"/>
        <v>208.79744153433245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0.23060698885170533</v>
      </c>
      <c r="CL190" s="21">
        <f>EXP(-LN(2)/25)*CL189+(1-EXP(-LN(2)/25))/(LN(2)/25)*Calculateur!CG190*Calculateur!CI190*VLOOKUP('Données projet'!$B$12,Paramètres!$A$1:$I$89,3,0)*0.475*44/12</f>
        <v>8.2582452355301414E-2</v>
      </c>
      <c r="CM190" s="21">
        <f>EXP(-LN(2)/2)*CM189+(1-EXP(-LN(2)/2))/(LN(2)/2)*CG190*CJ190*VLOOKUP('Données projet'!$B$12,Paramètres!$A$1:$I$89,3,0)*0.475*44/12</f>
        <v>2.8861748837165141E-24</v>
      </c>
      <c r="CN190" s="22">
        <f t="shared" si="172"/>
        <v>0.31318944120700676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3.813056537183002E-14</v>
      </c>
      <c r="CV190" s="13">
        <f t="shared" si="173"/>
        <v>6.4086286045526829E-13</v>
      </c>
      <c r="CW190" s="20">
        <f t="shared" si="174"/>
        <v>1.1825802166488628E-12</v>
      </c>
      <c r="CX190" s="59">
        <f t="shared" si="122"/>
        <v>293.33333333333451</v>
      </c>
      <c r="CY190" s="59">
        <f ca="1">AVERAGE(OFFSET($CX$3,0,0,'Données projet'!$E$13+1,1))-AVERAGE(OFFSET($H$3,0,0,'Données projet'!$E$13+1,1))</f>
        <v>181.32837315090507</v>
      </c>
      <c r="CZ190" s="59">
        <f t="shared" si="150"/>
        <v>175.03267817980338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0.24444340818280735</v>
      </c>
      <c r="DG190" s="21">
        <f>EXP(-LN(2)/25)*DG189+(1-EXP(-LN(2)/25))/(LN(2)/25)*Calculateur!DB190*Calculateur!DD190*VLOOKUP('Données projet'!$B$13,Paramètres!$A$1:$I$89,3,0)*0.475*44/12</f>
        <v>8.7537399496619511E-2</v>
      </c>
      <c r="DH190" s="21">
        <f>EXP(-LN(2)/2)*DH189+(1-EXP(-LN(2)/2))/(LN(2)/2)*DB190*DE190*VLOOKUP('Données projet'!$B$13,Paramètres!$A$1:$I$89,3,0)*0.475*44/12</f>
        <v>2.4821103999962011E-24</v>
      </c>
      <c r="DI190" s="22">
        <f t="shared" si="175"/>
        <v>0.33198080767942684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-2.8421709430404007E-13</v>
      </c>
      <c r="DP190" s="17">
        <f>DO190*VLOOKUP('Données projet'!$B$14,Paramètres!$A$1:$I$89,3,0)*VLOOKUP('Données projet'!$B$14,Paramètres!$A$1:$I$89,5,0)</f>
        <v>-2.2612312022829427E-13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325.72928944930294</v>
      </c>
      <c r="DU190" s="59">
        <f t="shared" si="152"/>
        <v>318.38876834819752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0.77281078273363757</v>
      </c>
      <c r="EB190" s="21">
        <f>EXP(-LN(2)/25)*EB189+(1-EXP(-LN(2)/25))/(LN(2)/25)*Calculateur!DW190*Calculateur!DY190*VLOOKUP('Données projet'!$B$14,Paramètres!$A$1:$I$89,3,0)*0.475*44/12</f>
        <v>0.26612131436915953</v>
      </c>
      <c r="EC190" s="21">
        <f>EXP(-LN(2)/2)*EC189+(1-EXP(-LN(2)/2))/(LN(2)/2)*DW190*DZ190*VLOOKUP('Données projet'!$B$14,Paramètres!$A$1:$I$89,3,0)*0.475*44/12</f>
        <v>2.7677052891177268E-23</v>
      </c>
      <c r="ED190" s="22">
        <f t="shared" si="178"/>
        <v>1.0389320971027971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-5.7639226724859328E-14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384.50065773787549</v>
      </c>
      <c r="EP190" s="59">
        <f t="shared" si="154"/>
        <v>231.92898690465887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0.36557439275378584</v>
      </c>
      <c r="EW190" s="21">
        <f>EXP(-LN(2)/25)*EW189+(1-EXP(-LN(2)/25))/(LN(2)/25)*Calculateur!ER190*Calculateur!ET190*VLOOKUP('Données projet'!$B$15,Paramètres!$A$1:$I$89,3,0)*0.475*44/12</f>
        <v>0.13505601346788612</v>
      </c>
      <c r="EX190" s="21">
        <f>EXP(-LN(2)/2)*EX189+(1-EXP(-LN(2)/2))/(LN(2)/2)*ER190*EU190*VLOOKUP('Données projet'!$B$15,Paramètres!$A$1:$I$89,3,0)*0.475*44/12</f>
        <v>2.2378228823226515E-23</v>
      </c>
      <c r="EY190" s="22">
        <f t="shared" si="181"/>
        <v>0.50063040622167199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-1.5429577615577727E-13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326.46362829268969</v>
      </c>
      <c r="FK190" s="59">
        <f t="shared" si="156"/>
        <v>203.5274665601915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0.32620484276491646</v>
      </c>
      <c r="FR190" s="21">
        <f>EXP(-LN(2)/25)*FR189+(1-EXP(-LN(2)/25))/(LN(2)/25)*Calculateur!FM190*Calculateur!FO190*VLOOKUP('Données projet'!$B$16,Paramètres!$A$1:$I$89,3,0)*0.475*44/12</f>
        <v>0.12051151970980579</v>
      </c>
      <c r="FS190" s="21">
        <f>EXP(-LN(2)/2)*FS189+(1-EXP(-LN(2)/2))/(LN(2)/2)*FM190*FP190*VLOOKUP('Données projet'!$B$16,Paramètres!$A$1:$I$89,3,0)*0.475*44/12</f>
        <v>1.9968265719186736E-23</v>
      </c>
      <c r="FT190" s="22">
        <f t="shared" si="184"/>
        <v>0.44671636247472224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-1.7053025658242404E-13</v>
      </c>
      <c r="GA190" s="17">
        <f>FZ190*VLOOKUP('Données projet'!$B$17,Paramètres!$A$1:$I$89,3,0)*VLOOKUP('Données projet'!$B$17,Paramètres!$A$1:$I$89,5,0)</f>
        <v>-1.6493686416652052E-13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353.24082990916918</v>
      </c>
      <c r="GF190" s="59">
        <f t="shared" si="158"/>
        <v>219.76562717496353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0.34870172847284164</v>
      </c>
      <c r="GM190" s="21">
        <f>EXP(-LN(2)/25)*GM189+(1-EXP(-LN(2)/25))/(LN(2)/25)*Calculateur!GH190*Calculateur!GJ190*VLOOKUP('Données projet'!$B$17,Paramètres!$A$1:$I$89,3,0)*0.475*44/12</f>
        <v>0.12882265900013753</v>
      </c>
      <c r="GN190" s="21">
        <f>EXP(-LN(2)/2)*GN189+(1-EXP(-LN(2)/2))/(LN(2)/2)*GH190*GK190*VLOOKUP('Données projet'!$B$17,Paramètres!$A$1:$I$89,3,0)*0.475*44/12</f>
        <v>2.1345387492923758E-23</v>
      </c>
      <c r="GO190" s="21">
        <f t="shared" si="187"/>
        <v>0.47752438747297921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378.17323480030268</v>
      </c>
      <c r="T191" s="59">
        <f t="shared" si="142"/>
        <v>471.89239871617241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0.19274858580011744</v>
      </c>
      <c r="AA191" s="21">
        <f>EXP(-LN(2)/25)*AA190+(1-EXP(-LN(2)/25))/(LN(2)/25)*Calculateur!V191*Calculateur!X191*VLOOKUP('Données projet'!$B$9,Paramètres!$A$1:$I$89,3,0)*0.475*44/12</f>
        <v>0.26036517645164631</v>
      </c>
      <c r="AB191" s="21">
        <f>EXP(-LN(2)/2)*AB190+(1-EXP(-LN(2)/2))/(LN(2)/2)*V191*Y191*VLOOKUP('Données projet'!$B$9,Paramètres!$A$1:$I$89,3,0)*0.475*44/12</f>
        <v>1.7305596028063799E-23</v>
      </c>
      <c r="AC191" s="22">
        <f t="shared" si="163"/>
        <v>0.45311376225176375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141.22849894256314</v>
      </c>
      <c r="AO191" s="59">
        <f t="shared" si="144"/>
        <v>156.12101479343704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0.32185987446386605</v>
      </c>
      <c r="AV191" s="21">
        <f>EXP(-LN(2)/25)*AV190+(1-EXP(-LN(2)/25))/(LN(2)/25)*Calculateur!AQ191*Calculateur!AS191*VLOOKUP('Données projet'!$B$10,Paramètres!$A$1:$I$89,3,0)*0.475*44/12</f>
        <v>7.5382399421614371E-2</v>
      </c>
      <c r="AW191" s="21">
        <f>EXP(-LN(2)/2)*AW190+(1-EXP(-LN(2)/2))/(LN(2)/2)*AQ191*AT191*VLOOKUP('Données projet'!$B$10,Paramètres!$A$1:$I$89,3,0)*0.475*44/12</f>
        <v>4.8935525773360188E-24</v>
      </c>
      <c r="AX191" s="21">
        <f t="shared" si="166"/>
        <v>0.39724227388548039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114.25511901730295</v>
      </c>
      <c r="BJ191" s="59">
        <f t="shared" si="146"/>
        <v>180.96261947642182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0.14958352782593085</v>
      </c>
      <c r="BQ191" s="21">
        <f>EXP(-LN(2)/25)*BQ190+(1-EXP(-LN(2)/25))/(LN(2)/25)*Calculateur!BL191*Calculateur!BN191*VLOOKUP('Données projet'!$B$11,Paramètres!$A$1:$I$89,3,0)*0.475*44/12</f>
        <v>0.2229877689719964</v>
      </c>
      <c r="BR191" s="21">
        <f>EXP(-LN(2)/2)*BR190+(1-EXP(-LN(2)/2))/(LN(2)/2)*BL191*BO191*VLOOKUP('Données projet'!$B$11,Paramètres!$A$1:$I$89,3,0)*0.475*44/12</f>
        <v>1.1302699350667646E-23</v>
      </c>
      <c r="BS191" s="22">
        <f t="shared" si="169"/>
        <v>0.37257129679792722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4.4337866711430253E-14</v>
      </c>
      <c r="CA191" s="13">
        <f t="shared" si="170"/>
        <v>7.3222115536967035E-13</v>
      </c>
      <c r="CB191" s="20">
        <f t="shared" si="171"/>
        <v>1.3525069634579169E-12</v>
      </c>
      <c r="CC191" s="59">
        <f t="shared" si="119"/>
        <v>293.33333333333468</v>
      </c>
      <c r="CD191" s="59">
        <f ca="1">AVERAGE(OFFSET($CC$3,0,0,'Données projet'!$E$12+1,1))-AVERAGE(OFFSET($H$3,0,0,'Données projet'!$E$12+1,1))</f>
        <v>216.95993967070063</v>
      </c>
      <c r="CE191" s="59">
        <f t="shared" si="148"/>
        <v>208.79744153433245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0.22608492645669792</v>
      </c>
      <c r="CL191" s="21">
        <f>EXP(-LN(2)/25)*CL190+(1-EXP(-LN(2)/25))/(LN(2)/25)*Calculateur!CG191*Calculateur!CI191*VLOOKUP('Données projet'!$B$12,Paramètres!$A$1:$I$89,3,0)*0.475*44/12</f>
        <v>8.0324230852823267E-2</v>
      </c>
      <c r="CM191" s="21">
        <f>EXP(-LN(2)/2)*CM190+(1-EXP(-LN(2)/2))/(LN(2)/2)*CG191*CJ191*VLOOKUP('Données projet'!$B$12,Paramètres!$A$1:$I$89,3,0)*0.475*44/12</f>
        <v>2.0408338319662423E-24</v>
      </c>
      <c r="CN191" s="22">
        <f t="shared" si="172"/>
        <v>0.30640915730952117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3.813056537183002E-14</v>
      </c>
      <c r="CV191" s="13">
        <f t="shared" si="173"/>
        <v>6.4086286045526829E-13</v>
      </c>
      <c r="CW191" s="20">
        <f t="shared" si="174"/>
        <v>1.1825802166488628E-12</v>
      </c>
      <c r="CX191" s="59">
        <f t="shared" si="122"/>
        <v>293.33333333333451</v>
      </c>
      <c r="CY191" s="59">
        <f ca="1">AVERAGE(OFFSET($CX$3,0,0,'Données projet'!$E$13+1,1))-AVERAGE(OFFSET($H$3,0,0,'Données projet'!$E$13+1,1))</f>
        <v>181.32837315090507</v>
      </c>
      <c r="CZ191" s="59">
        <f t="shared" si="150"/>
        <v>175.03267817980338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0.23965002204409952</v>
      </c>
      <c r="DG191" s="21">
        <f>EXP(-LN(2)/25)*DG190+(1-EXP(-LN(2)/25))/(LN(2)/25)*Calculateur!DB191*Calculateur!DD191*VLOOKUP('Données projet'!$B$13,Paramètres!$A$1:$I$89,3,0)*0.475*44/12</f>
        <v>8.5143684703992681E-2</v>
      </c>
      <c r="DH191" s="21">
        <f>EXP(-LN(2)/2)*DH190+(1-EXP(-LN(2)/2))/(LN(2)/2)*DB191*DE191*VLOOKUP('Données projet'!$B$13,Paramètres!$A$1:$I$89,3,0)*0.475*44/12</f>
        <v>1.7551170954909677E-24</v>
      </c>
      <c r="DI191" s="22">
        <f t="shared" si="175"/>
        <v>0.32479370674809221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-2.8421709430404007E-13</v>
      </c>
      <c r="DP191" s="17">
        <f>DO191*VLOOKUP('Données projet'!$B$14,Paramètres!$A$1:$I$89,3,0)*VLOOKUP('Données projet'!$B$14,Paramètres!$A$1:$I$89,5,0)</f>
        <v>-2.2612312022829427E-13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325.72928944930294</v>
      </c>
      <c r="DU191" s="59">
        <f t="shared" si="152"/>
        <v>318.38876834819752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0.75765643465226462</v>
      </c>
      <c r="EB191" s="21">
        <f>EXP(-LN(2)/25)*EB190+(1-EXP(-LN(2)/25))/(LN(2)/25)*Calculateur!DW191*Calculateur!DY191*VLOOKUP('Données projet'!$B$14,Paramètres!$A$1:$I$89,3,0)*0.475*44/12</f>
        <v>0.25884421303302318</v>
      </c>
      <c r="EC191" s="21">
        <f>EXP(-LN(2)/2)*EC190+(1-EXP(-LN(2)/2))/(LN(2)/2)*DW191*DZ191*VLOOKUP('Données projet'!$B$14,Paramètres!$A$1:$I$89,3,0)*0.475*44/12</f>
        <v>1.9570631782610188E-23</v>
      </c>
      <c r="ED191" s="22">
        <f t="shared" si="178"/>
        <v>1.0165006476852878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-5.7639226724859328E-14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384.50065773787549</v>
      </c>
      <c r="EP191" s="59">
        <f t="shared" si="154"/>
        <v>231.92898690465887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0.3584057018902464</v>
      </c>
      <c r="EW191" s="21">
        <f>EXP(-LN(2)/25)*EW190+(1-EXP(-LN(2)/25))/(LN(2)/25)*Calculateur!ER191*Calculateur!ET191*VLOOKUP('Données projet'!$B$15,Paramètres!$A$1:$I$89,3,0)*0.475*44/12</f>
        <v>0.13136289967731971</v>
      </c>
      <c r="EX191" s="21">
        <f>EXP(-LN(2)/2)*EX190+(1-EXP(-LN(2)/2))/(LN(2)/2)*ER191*EU191*VLOOKUP('Données projet'!$B$15,Paramètres!$A$1:$I$89,3,0)*0.475*44/12</f>
        <v>1.5823797351847722E-23</v>
      </c>
      <c r="EY191" s="22">
        <f t="shared" si="181"/>
        <v>0.48976860156756608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-1.5429577615577727E-13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326.46362829268969</v>
      </c>
      <c r="FK191" s="59">
        <f t="shared" si="156"/>
        <v>203.5274665601915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0.31980816476360435</v>
      </c>
      <c r="FR191" s="21">
        <f>EXP(-LN(2)/25)*FR190+(1-EXP(-LN(2)/25))/(LN(2)/25)*Calculateur!FM191*Calculateur!FO191*VLOOKUP('Données projet'!$B$16,Paramètres!$A$1:$I$89,3,0)*0.475*44/12</f>
        <v>0.11721612586591576</v>
      </c>
      <c r="FS191" s="21">
        <f>EXP(-LN(2)/2)*FS190+(1-EXP(-LN(2)/2))/(LN(2)/2)*FM191*FP191*VLOOKUP('Données projet'!$B$16,Paramètres!$A$1:$I$89,3,0)*0.475*44/12</f>
        <v>1.4119696098571813E-23</v>
      </c>
      <c r="FT191" s="22">
        <f t="shared" si="184"/>
        <v>0.43702429062952008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-1.7053025658242404E-13</v>
      </c>
      <c r="GA191" s="17">
        <f>FZ191*VLOOKUP('Données projet'!$B$17,Paramètres!$A$1:$I$89,3,0)*VLOOKUP('Données projet'!$B$17,Paramètres!$A$1:$I$89,5,0)</f>
        <v>-1.6493686416652052E-13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353.24082990916918</v>
      </c>
      <c r="GF191" s="59">
        <f t="shared" si="158"/>
        <v>219.76562717496353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0.3418639002645425</v>
      </c>
      <c r="GM191" s="21">
        <f>EXP(-LN(2)/25)*GM190+(1-EXP(-LN(2)/25))/(LN(2)/25)*Calculateur!GH191*Calculateur!GJ191*VLOOKUP('Données projet'!$B$17,Paramètres!$A$1:$I$89,3,0)*0.475*44/12</f>
        <v>0.12529999661528957</v>
      </c>
      <c r="GN191" s="21">
        <f>EXP(-LN(2)/2)*GN190+(1-EXP(-LN(2)/2))/(LN(2)/2)*GH191*GK191*VLOOKUP('Données projet'!$B$17,Paramètres!$A$1:$I$89,3,0)*0.475*44/12</f>
        <v>1.5093468243300908E-23</v>
      </c>
      <c r="GO191" s="21">
        <f t="shared" si="187"/>
        <v>0.46716389687983206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378.17323480030268</v>
      </c>
      <c r="T192" s="59">
        <f t="shared" si="142"/>
        <v>471.89239871617241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0.1889689035976059</v>
      </c>
      <c r="AA192" s="21">
        <f>EXP(-LN(2)/25)*AA191+(1-EXP(-LN(2)/25))/(LN(2)/25)*Calculateur!V192*Calculateur!X192*VLOOKUP('Données projet'!$B$9,Paramètres!$A$1:$I$89,3,0)*0.475*44/12</f>
        <v>0.25324547700956646</v>
      </c>
      <c r="AB192" s="21">
        <f>EXP(-LN(2)/2)*AB191+(1-EXP(-LN(2)/2))/(LN(2)/2)*V192*Y192*VLOOKUP('Données projet'!$B$9,Paramètres!$A$1:$I$89,3,0)*0.475*44/12</f>
        <v>1.2236904303918895E-23</v>
      </c>
      <c r="AC192" s="22">
        <f t="shared" si="163"/>
        <v>0.44221438060717233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141.22849894256314</v>
      </c>
      <c r="AO192" s="59">
        <f t="shared" si="144"/>
        <v>156.12101479343704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0.31554839864076856</v>
      </c>
      <c r="AV192" s="21">
        <f>EXP(-LN(2)/25)*AV191+(1-EXP(-LN(2)/25))/(LN(2)/25)*Calculateur!AQ192*Calculateur!AS192*VLOOKUP('Données projet'!$B$10,Paramètres!$A$1:$I$89,3,0)*0.475*44/12</f>
        <v>7.3321063745242235E-2</v>
      </c>
      <c r="AW192" s="21">
        <f>EXP(-LN(2)/2)*AW191+(1-EXP(-LN(2)/2))/(LN(2)/2)*AQ192*AT192*VLOOKUP('Données projet'!$B$10,Paramètres!$A$1:$I$89,3,0)*0.475*44/12</f>
        <v>3.4602642115272059E-24</v>
      </c>
      <c r="AX192" s="21">
        <f t="shared" si="166"/>
        <v>0.38886946238601078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114.25511901730295</v>
      </c>
      <c r="BJ192" s="59">
        <f t="shared" si="146"/>
        <v>180.96261947642182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0.14665028608220743</v>
      </c>
      <c r="BQ192" s="21">
        <f>EXP(-LN(2)/25)*BQ191+(1-EXP(-LN(2)/25))/(LN(2)/25)*Calculateur!BL192*Calculateur!BN192*VLOOKUP('Données projet'!$B$11,Paramètres!$A$1:$I$89,3,0)*0.475*44/12</f>
        <v>0.21689015670304004</v>
      </c>
      <c r="BR192" s="21">
        <f>EXP(-LN(2)/2)*BR191+(1-EXP(-LN(2)/2))/(LN(2)/2)*BL192*BO192*VLOOKUP('Données projet'!$B$11,Paramètres!$A$1:$I$89,3,0)*0.475*44/12</f>
        <v>7.9922153565698802E-24</v>
      </c>
      <c r="BS192" s="22">
        <f t="shared" si="169"/>
        <v>0.36354044278524744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4.4337866711430253E-14</v>
      </c>
      <c r="CA192" s="13">
        <f t="shared" si="170"/>
        <v>7.3222115536967035E-13</v>
      </c>
      <c r="CB192" s="20">
        <f t="shared" si="171"/>
        <v>1.3525069634579169E-12</v>
      </c>
      <c r="CC192" s="59">
        <f t="shared" si="119"/>
        <v>293.33333333333468</v>
      </c>
      <c r="CD192" s="59">
        <f ca="1">AVERAGE(OFFSET($CC$3,0,0,'Données projet'!$E$12+1,1))-AVERAGE(OFFSET($H$3,0,0,'Données projet'!$E$12+1,1))</f>
        <v>216.95993967070063</v>
      </c>
      <c r="CE192" s="59">
        <f t="shared" si="148"/>
        <v>208.79744153433245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0.2216515389470709</v>
      </c>
      <c r="CL192" s="21">
        <f>EXP(-LN(2)/25)*CL191+(1-EXP(-LN(2)/25))/(LN(2)/25)*Calculateur!CG192*Calculateur!CI192*VLOOKUP('Données projet'!$B$12,Paramètres!$A$1:$I$89,3,0)*0.475*44/12</f>
        <v>7.8127760536085097E-2</v>
      </c>
      <c r="CM192" s="21">
        <f>EXP(-LN(2)/2)*CM191+(1-EXP(-LN(2)/2))/(LN(2)/2)*CG192*CJ192*VLOOKUP('Données projet'!$B$12,Paramètres!$A$1:$I$89,3,0)*0.475*44/12</f>
        <v>1.443087441858257E-24</v>
      </c>
      <c r="CN192" s="22">
        <f t="shared" si="172"/>
        <v>0.29977929948315601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3.813056537183002E-14</v>
      </c>
      <c r="CV192" s="13">
        <f t="shared" si="173"/>
        <v>6.4086286045526829E-13</v>
      </c>
      <c r="CW192" s="20">
        <f t="shared" si="174"/>
        <v>1.1825802166488628E-12</v>
      </c>
      <c r="CX192" s="59">
        <f t="shared" si="122"/>
        <v>293.33333333333451</v>
      </c>
      <c r="CY192" s="59">
        <f ca="1">AVERAGE(OFFSET($CX$3,0,0,'Données projet'!$E$13+1,1))-AVERAGE(OFFSET($H$3,0,0,'Données projet'!$E$13+1,1))</f>
        <v>181.32837315090507</v>
      </c>
      <c r="CZ192" s="59">
        <f t="shared" si="150"/>
        <v>175.03267817980338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0.23495063128389487</v>
      </c>
      <c r="DG192" s="21">
        <f>EXP(-LN(2)/25)*DG191+(1-EXP(-LN(2)/25))/(LN(2)/25)*Calculateur!DB192*Calculateur!DD192*VLOOKUP('Données projet'!$B$13,Paramètres!$A$1:$I$89,3,0)*0.475*44/12</f>
        <v>8.2815426168250217E-2</v>
      </c>
      <c r="DH192" s="21">
        <f>EXP(-LN(2)/2)*DH191+(1-EXP(-LN(2)/2))/(LN(2)/2)*DB192*DE192*VLOOKUP('Données projet'!$B$13,Paramètres!$A$1:$I$89,3,0)*0.475*44/12</f>
        <v>1.2410551999981005E-24</v>
      </c>
      <c r="DI192" s="22">
        <f t="shared" si="175"/>
        <v>0.31776605745214509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-2.8421709430404007E-13</v>
      </c>
      <c r="DP192" s="17">
        <f>DO192*VLOOKUP('Données projet'!$B$14,Paramètres!$A$1:$I$89,3,0)*VLOOKUP('Données projet'!$B$14,Paramètres!$A$1:$I$89,5,0)</f>
        <v>-2.2612312022829427E-13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325.72928944930294</v>
      </c>
      <c r="DU192" s="59">
        <f t="shared" si="152"/>
        <v>318.38876834819752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0.74279925409352776</v>
      </c>
      <c r="EB192" s="21">
        <f>EXP(-LN(2)/25)*EB191+(1-EXP(-LN(2)/25))/(LN(2)/25)*Calculateur!DW192*Calculateur!DY192*VLOOKUP('Données projet'!$B$14,Paramètres!$A$1:$I$89,3,0)*0.475*44/12</f>
        <v>0.25176610441560959</v>
      </c>
      <c r="EC192" s="21">
        <f>EXP(-LN(2)/2)*EC191+(1-EXP(-LN(2)/2))/(LN(2)/2)*DW192*DZ192*VLOOKUP('Données projet'!$B$14,Paramètres!$A$1:$I$89,3,0)*0.475*44/12</f>
        <v>1.3838526445588634E-23</v>
      </c>
      <c r="ED192" s="22">
        <f t="shared" si="178"/>
        <v>0.99456535850913741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-5.7639226724859328E-14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384.50065773787549</v>
      </c>
      <c r="EP192" s="59">
        <f t="shared" si="154"/>
        <v>231.92898690465887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0.35137758468207125</v>
      </c>
      <c r="EW192" s="21">
        <f>EXP(-LN(2)/25)*EW191+(1-EXP(-LN(2)/25))/(LN(2)/25)*Calculateur!ER192*Calculateur!ET192*VLOOKUP('Données projet'!$B$15,Paramètres!$A$1:$I$89,3,0)*0.475*44/12</f>
        <v>0.12777077427756875</v>
      </c>
      <c r="EX192" s="21">
        <f>EXP(-LN(2)/2)*EX191+(1-EXP(-LN(2)/2))/(LN(2)/2)*ER192*EU192*VLOOKUP('Données projet'!$B$15,Paramètres!$A$1:$I$89,3,0)*0.475*44/12</f>
        <v>1.1189114411613258E-23</v>
      </c>
      <c r="EY192" s="22">
        <f t="shared" si="181"/>
        <v>0.47914835895964003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-1.5429577615577727E-13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326.46362829268969</v>
      </c>
      <c r="FK192" s="59">
        <f t="shared" si="156"/>
        <v>203.5274665601915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0.31353692171630965</v>
      </c>
      <c r="FR192" s="21">
        <f>EXP(-LN(2)/25)*FR191+(1-EXP(-LN(2)/25))/(LN(2)/25)*Calculateur!FM192*Calculateur!FO192*VLOOKUP('Données projet'!$B$16,Paramètres!$A$1:$I$89,3,0)*0.475*44/12</f>
        <v>0.11401084473998413</v>
      </c>
      <c r="FS192" s="21">
        <f>EXP(-LN(2)/2)*FS191+(1-EXP(-LN(2)/2))/(LN(2)/2)*FM192*FP192*VLOOKUP('Données projet'!$B$16,Paramètres!$A$1:$I$89,3,0)*0.475*44/12</f>
        <v>9.9841328595933679E-24</v>
      </c>
      <c r="FT192" s="22">
        <f t="shared" si="184"/>
        <v>0.42754776645629378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-1.7053025658242404E-13</v>
      </c>
      <c r="GA192" s="17">
        <f>FZ192*VLOOKUP('Données projet'!$B$17,Paramètres!$A$1:$I$89,3,0)*VLOOKUP('Données projet'!$B$17,Paramètres!$A$1:$I$89,5,0)</f>
        <v>-1.6493686416652052E-13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353.24082990916918</v>
      </c>
      <c r="GF192" s="59">
        <f t="shared" si="158"/>
        <v>219.76562717496353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0.33516015769674468</v>
      </c>
      <c r="GM192" s="21">
        <f>EXP(-LN(2)/25)*GM191+(1-EXP(-LN(2)/25))/(LN(2)/25)*Calculateur!GH192*Calculateur!GJ192*VLOOKUP('Données projet'!$B$17,Paramètres!$A$1:$I$89,3,0)*0.475*44/12</f>
        <v>0.12187366161860402</v>
      </c>
      <c r="GN192" s="21">
        <f>EXP(-LN(2)/2)*GN191+(1-EXP(-LN(2)/2))/(LN(2)/2)*GH192*GK192*VLOOKUP('Données projet'!$B$17,Paramètres!$A$1:$I$89,3,0)*0.475*44/12</f>
        <v>1.0672693746461879E-23</v>
      </c>
      <c r="GO192" s="21">
        <f t="shared" si="187"/>
        <v>0.4570338193153487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378.17323480030268</v>
      </c>
      <c r="T193" s="59">
        <f t="shared" si="142"/>
        <v>471.89239871617241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0.18526333865770711</v>
      </c>
      <c r="AA193" s="21">
        <f>EXP(-LN(2)/25)*AA192+(1-EXP(-LN(2)/25))/(LN(2)/25)*Calculateur!V193*Calculateur!X193*VLOOKUP('Données projet'!$B$9,Paramètres!$A$1:$I$89,3,0)*0.475*44/12</f>
        <v>0.24632046612313901</v>
      </c>
      <c r="AB193" s="21">
        <f>EXP(-LN(2)/2)*AB192+(1-EXP(-LN(2)/2))/(LN(2)/2)*V193*Y193*VLOOKUP('Données projet'!$B$9,Paramètres!$A$1:$I$89,3,0)*0.475*44/12</f>
        <v>8.6527980140318996E-24</v>
      </c>
      <c r="AC193" s="22">
        <f t="shared" si="163"/>
        <v>0.43158380478084613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141.22849894256314</v>
      </c>
      <c r="AO193" s="59">
        <f t="shared" si="144"/>
        <v>156.12101479343704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0.30936068700894187</v>
      </c>
      <c r="AV193" s="21">
        <f>EXP(-LN(2)/25)*AV192+(1-EXP(-LN(2)/25))/(LN(2)/25)*Calculateur!AQ193*Calculateur!AS193*VLOOKUP('Données projet'!$B$10,Paramètres!$A$1:$I$89,3,0)*0.475*44/12</f>
        <v>7.1316095401341414E-2</v>
      </c>
      <c r="AW193" s="21">
        <f>EXP(-LN(2)/2)*AW192+(1-EXP(-LN(2)/2))/(LN(2)/2)*AQ193*AT193*VLOOKUP('Données projet'!$B$10,Paramètres!$A$1:$I$89,3,0)*0.475*44/12</f>
        <v>2.4467762886680094E-24</v>
      </c>
      <c r="AX193" s="21">
        <f t="shared" si="166"/>
        <v>0.3806767824102833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114.25511901730295</v>
      </c>
      <c r="BJ193" s="59">
        <f t="shared" si="146"/>
        <v>180.96261947642182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0.1437745634199776</v>
      </c>
      <c r="BQ193" s="21">
        <f>EXP(-LN(2)/25)*BQ192+(1-EXP(-LN(2)/25))/(LN(2)/25)*Calculateur!BL193*Calculateur!BN193*VLOOKUP('Données projet'!$B$11,Paramètres!$A$1:$I$89,3,0)*0.475*44/12</f>
        <v>0.21095928396223779</v>
      </c>
      <c r="BR193" s="21">
        <f>EXP(-LN(2)/2)*BR192+(1-EXP(-LN(2)/2))/(LN(2)/2)*BL193*BO193*VLOOKUP('Données projet'!$B$11,Paramètres!$A$1:$I$89,3,0)*0.475*44/12</f>
        <v>5.6513496753338232E-24</v>
      </c>
      <c r="BS193" s="22">
        <f t="shared" si="169"/>
        <v>0.35473384738221536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4.4337866711430253E-14</v>
      </c>
      <c r="CA193" s="13">
        <f t="shared" si="170"/>
        <v>7.3222115536967035E-13</v>
      </c>
      <c r="CB193" s="20">
        <f t="shared" si="171"/>
        <v>1.3525069634579169E-12</v>
      </c>
      <c r="CC193" s="59">
        <f t="shared" si="119"/>
        <v>293.33333333333468</v>
      </c>
      <c r="CD193" s="59">
        <f ca="1">AVERAGE(OFFSET($CC$3,0,0,'Données projet'!$E$12+1,1))-AVERAGE(OFFSET($H$3,0,0,'Données projet'!$E$12+1,1))</f>
        <v>216.95993967070063</v>
      </c>
      <c r="CE193" s="59">
        <f t="shared" si="148"/>
        <v>208.79744153433245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0.21730508746240829</v>
      </c>
      <c r="CL193" s="21">
        <f>EXP(-LN(2)/25)*CL192+(1-EXP(-LN(2)/25))/(LN(2)/25)*Calculateur!CG193*Calculateur!CI193*VLOOKUP('Données projet'!$B$12,Paramètres!$A$1:$I$89,3,0)*0.475*44/12</f>
        <v>7.5991352815665492E-2</v>
      </c>
      <c r="CM193" s="21">
        <f>EXP(-LN(2)/2)*CM192+(1-EXP(-LN(2)/2))/(LN(2)/2)*CG193*CJ193*VLOOKUP('Données projet'!$B$12,Paramètres!$A$1:$I$89,3,0)*0.475*44/12</f>
        <v>1.0204169159831212E-24</v>
      </c>
      <c r="CN193" s="22">
        <f t="shared" si="172"/>
        <v>0.29329644027807378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3.813056537183002E-14</v>
      </c>
      <c r="CV193" s="13">
        <f t="shared" si="173"/>
        <v>6.4086286045526829E-13</v>
      </c>
      <c r="CW193" s="20">
        <f t="shared" si="174"/>
        <v>1.1825802166488628E-12</v>
      </c>
      <c r="CX193" s="59">
        <f t="shared" si="122"/>
        <v>293.33333333333451</v>
      </c>
      <c r="CY193" s="59">
        <f ca="1">AVERAGE(OFFSET($CX$3,0,0,'Données projet'!$E$13+1,1))-AVERAGE(OFFSET($H$3,0,0,'Données projet'!$E$13+1,1))</f>
        <v>181.32837315090507</v>
      </c>
      <c r="CZ193" s="59">
        <f t="shared" si="150"/>
        <v>175.03267817980338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0.2303433927101525</v>
      </c>
      <c r="DG193" s="21">
        <f>EXP(-LN(2)/25)*DG192+(1-EXP(-LN(2)/25))/(LN(2)/25)*Calculateur!DB193*Calculateur!DD193*VLOOKUP('Données projet'!$B$13,Paramètres!$A$1:$I$89,3,0)*0.475*44/12</f>
        <v>8.0550833984605427E-2</v>
      </c>
      <c r="DH193" s="21">
        <f>EXP(-LN(2)/2)*DH192+(1-EXP(-LN(2)/2))/(LN(2)/2)*DB193*DE193*VLOOKUP('Données projet'!$B$13,Paramètres!$A$1:$I$89,3,0)*0.475*44/12</f>
        <v>8.7755854774548383E-25</v>
      </c>
      <c r="DI193" s="22">
        <f t="shared" si="175"/>
        <v>0.31089422669475791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-2.8421709430404007E-13</v>
      </c>
      <c r="DP193" s="17">
        <f>DO193*VLOOKUP('Données projet'!$B$14,Paramètres!$A$1:$I$89,3,0)*VLOOKUP('Données projet'!$B$14,Paramètres!$A$1:$I$89,5,0)</f>
        <v>-2.2612312022829427E-13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325.72928944930294</v>
      </c>
      <c r="DU193" s="59">
        <f t="shared" si="152"/>
        <v>318.38876834819752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0.72823341378356243</v>
      </c>
      <c r="EB193" s="21">
        <f>EXP(-LN(2)/25)*EB192+(1-EXP(-LN(2)/25))/(LN(2)/25)*Calculateur!DW193*Calculateur!DY193*VLOOKUP('Données projet'!$B$14,Paramètres!$A$1:$I$89,3,0)*0.475*44/12</f>
        <v>0.24488154705056073</v>
      </c>
      <c r="EC193" s="21">
        <f>EXP(-LN(2)/2)*EC192+(1-EXP(-LN(2)/2))/(LN(2)/2)*DW193*DZ193*VLOOKUP('Données projet'!$B$14,Paramètres!$A$1:$I$89,3,0)*0.475*44/12</f>
        <v>9.785315891305094E-24</v>
      </c>
      <c r="ED193" s="22">
        <f t="shared" si="178"/>
        <v>0.97311496083412319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-5.7639226724859328E-14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384.50065773787549</v>
      </c>
      <c r="EP193" s="59">
        <f t="shared" si="154"/>
        <v>231.92898690465887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0.34448728456562022</v>
      </c>
      <c r="EW193" s="21">
        <f>EXP(-LN(2)/25)*EW192+(1-EXP(-LN(2)/25))/(LN(2)/25)*Calculateur!ER193*Calculateur!ET193*VLOOKUP('Données projet'!$B$15,Paramètres!$A$1:$I$89,3,0)*0.475*44/12</f>
        <v>0.12427687573577563</v>
      </c>
      <c r="EX193" s="21">
        <f>EXP(-LN(2)/2)*EX192+(1-EXP(-LN(2)/2))/(LN(2)/2)*ER193*EU193*VLOOKUP('Données projet'!$B$15,Paramètres!$A$1:$I$89,3,0)*0.475*44/12</f>
        <v>7.9118986759238611E-24</v>
      </c>
      <c r="EY193" s="22">
        <f t="shared" si="181"/>
        <v>0.46876416030139584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-1.5429577615577727E-13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326.46362829268969</v>
      </c>
      <c r="FK193" s="59">
        <f t="shared" si="156"/>
        <v>203.5274665601915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0.30738865392009179</v>
      </c>
      <c r="FR193" s="21">
        <f>EXP(-LN(2)/25)*FR192+(1-EXP(-LN(2)/25))/(LN(2)/25)*Calculateur!FM193*Calculateur!FO193*VLOOKUP('Données projet'!$B$16,Paramètres!$A$1:$I$89,3,0)*0.475*44/12</f>
        <v>0.11089321219499951</v>
      </c>
      <c r="FS193" s="21">
        <f>EXP(-LN(2)/2)*FS192+(1-EXP(-LN(2)/2))/(LN(2)/2)*FM193*FP193*VLOOKUP('Données projet'!$B$16,Paramètres!$A$1:$I$89,3,0)*0.475*44/12</f>
        <v>7.0598480492859065E-24</v>
      </c>
      <c r="FT193" s="22">
        <f t="shared" si="184"/>
        <v>0.41828186611509133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-1.7053025658242404E-13</v>
      </c>
      <c r="GA193" s="17">
        <f>FZ193*VLOOKUP('Données projet'!$B$17,Paramètres!$A$1:$I$89,3,0)*VLOOKUP('Données projet'!$B$17,Paramètres!$A$1:$I$89,5,0)</f>
        <v>-1.6493686416652052E-13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353.24082990916918</v>
      </c>
      <c r="GF193" s="59">
        <f t="shared" si="158"/>
        <v>219.76562717496353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0.32858787143182216</v>
      </c>
      <c r="GM193" s="21">
        <f>EXP(-LN(2)/25)*GM192+(1-EXP(-LN(2)/25))/(LN(2)/25)*Calculateur!GH193*Calculateur!GJ193*VLOOKUP('Données projet'!$B$17,Paramètres!$A$1:$I$89,3,0)*0.475*44/12</f>
        <v>0.11854101993258598</v>
      </c>
      <c r="GN193" s="21">
        <f>EXP(-LN(2)/2)*GN192+(1-EXP(-LN(2)/2))/(LN(2)/2)*GH193*GK193*VLOOKUP('Données projet'!$B$17,Paramètres!$A$1:$I$89,3,0)*0.475*44/12</f>
        <v>7.5467341216504539E-24</v>
      </c>
      <c r="GO193" s="21">
        <f t="shared" si="187"/>
        <v>0.44712889136440814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378.17323480030268</v>
      </c>
      <c r="T194" s="59">
        <f t="shared" si="142"/>
        <v>471.89239871617241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0.18163043758610828</v>
      </c>
      <c r="AA194" s="21">
        <f>EXP(-LN(2)/25)*AA193+(1-EXP(-LN(2)/25))/(LN(2)/25)*Calculateur!V194*Calculateur!X194*VLOOKUP('Données projet'!$B$9,Paramètres!$A$1:$I$89,3,0)*0.475*44/12</f>
        <v>0.23958482002357143</v>
      </c>
      <c r="AB194" s="21">
        <f>EXP(-LN(2)/2)*AB193+(1-EXP(-LN(2)/2))/(LN(2)/2)*V194*Y194*VLOOKUP('Données projet'!$B$9,Paramètres!$A$1:$I$89,3,0)*0.475*44/12</f>
        <v>6.1184521519594475E-24</v>
      </c>
      <c r="AC194" s="22">
        <f t="shared" si="163"/>
        <v>0.42121525760967971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141.22849894256314</v>
      </c>
      <c r="AO194" s="59">
        <f t="shared" si="144"/>
        <v>156.12101479343704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0.30329431262808387</v>
      </c>
      <c r="AV194" s="21">
        <f>EXP(-LN(2)/25)*AV193+(1-EXP(-LN(2)/25))/(LN(2)/25)*Calculateur!AQ194*Calculateur!AS194*VLOOKUP('Données projet'!$B$10,Paramètres!$A$1:$I$89,3,0)*0.475*44/12</f>
        <v>6.9365953022241272E-2</v>
      </c>
      <c r="AW194" s="21">
        <f>EXP(-LN(2)/2)*AW193+(1-EXP(-LN(2)/2))/(LN(2)/2)*AQ194*AT194*VLOOKUP('Données projet'!$B$10,Paramètres!$A$1:$I$89,3,0)*0.475*44/12</f>
        <v>1.7301321057636029E-24</v>
      </c>
      <c r="AX194" s="21">
        <f t="shared" si="166"/>
        <v>0.37266026565032517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114.25511901730295</v>
      </c>
      <c r="BJ194" s="59">
        <f t="shared" si="146"/>
        <v>180.96261947642182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0.14095523192513648</v>
      </c>
      <c r="BQ194" s="21">
        <f>EXP(-LN(2)/25)*BQ193+(1-EXP(-LN(2)/25))/(LN(2)/25)*Calculateur!BL194*Calculateur!BN194*VLOOKUP('Données projet'!$B$11,Paramètres!$A$1:$I$89,3,0)*0.475*44/12</f>
        <v>0.20519059124842381</v>
      </c>
      <c r="BR194" s="21">
        <f>EXP(-LN(2)/2)*BR193+(1-EXP(-LN(2)/2))/(LN(2)/2)*BL194*BO194*VLOOKUP('Données projet'!$B$11,Paramètres!$A$1:$I$89,3,0)*0.475*44/12</f>
        <v>3.9961076782849401E-24</v>
      </c>
      <c r="BS194" s="22">
        <f t="shared" si="169"/>
        <v>0.3461458231735603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4.4337866711430253E-14</v>
      </c>
      <c r="CA194" s="13">
        <f t="shared" si="170"/>
        <v>7.3222115536967035E-13</v>
      </c>
      <c r="CB194" s="20">
        <f t="shared" si="171"/>
        <v>1.3525069634579169E-12</v>
      </c>
      <c r="CC194" s="59">
        <f t="shared" si="119"/>
        <v>293.33333333333468</v>
      </c>
      <c r="CD194" s="59">
        <f ca="1">AVERAGE(OFFSET($CC$3,0,0,'Données projet'!$E$12+1,1))-AVERAGE(OFFSET($H$3,0,0,'Données projet'!$E$12+1,1))</f>
        <v>216.95993967070063</v>
      </c>
      <c r="CE194" s="59">
        <f t="shared" si="148"/>
        <v>208.79744153433245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0.21304386724028629</v>
      </c>
      <c r="CL194" s="21">
        <f>EXP(-LN(2)/25)*CL193+(1-EXP(-LN(2)/25))/(LN(2)/25)*Calculateur!CG194*Calculateur!CI194*VLOOKUP('Données projet'!$B$12,Paramètres!$A$1:$I$89,3,0)*0.475*44/12</f>
        <v>7.3913365276709553E-2</v>
      </c>
      <c r="CM194" s="21">
        <f>EXP(-LN(2)/2)*CM193+(1-EXP(-LN(2)/2))/(LN(2)/2)*CG194*CJ194*VLOOKUP('Données projet'!$B$12,Paramètres!$A$1:$I$89,3,0)*0.475*44/12</f>
        <v>7.2154372092912852E-25</v>
      </c>
      <c r="CN194" s="22">
        <f t="shared" si="172"/>
        <v>0.28695723251699584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3.813056537183002E-14</v>
      </c>
      <c r="CV194" s="13">
        <f t="shared" si="173"/>
        <v>6.4086286045526829E-13</v>
      </c>
      <c r="CW194" s="20">
        <f t="shared" si="174"/>
        <v>1.1825802166488628E-12</v>
      </c>
      <c r="CX194" s="59">
        <f t="shared" si="122"/>
        <v>293.33333333333451</v>
      </c>
      <c r="CY194" s="59">
        <f ca="1">AVERAGE(OFFSET($CX$3,0,0,'Données projet'!$E$13+1,1))-AVERAGE(OFFSET($H$3,0,0,'Données projet'!$E$13+1,1))</f>
        <v>181.32837315090507</v>
      </c>
      <c r="CZ194" s="59">
        <f t="shared" si="150"/>
        <v>175.03267817980338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0.22582649927470316</v>
      </c>
      <c r="DG194" s="21">
        <f>EXP(-LN(2)/25)*DG193+(1-EXP(-LN(2)/25))/(LN(2)/25)*Calculateur!DB194*Calculateur!DD194*VLOOKUP('Données projet'!$B$13,Paramètres!$A$1:$I$89,3,0)*0.475*44/12</f>
        <v>7.834816719331214E-2</v>
      </c>
      <c r="DH194" s="21">
        <f>EXP(-LN(2)/2)*DH193+(1-EXP(-LN(2)/2))/(LN(2)/2)*DB194*DE194*VLOOKUP('Données projet'!$B$13,Paramètres!$A$1:$I$89,3,0)*0.475*44/12</f>
        <v>6.2052759999905026E-25</v>
      </c>
      <c r="DI194" s="22">
        <f t="shared" si="175"/>
        <v>0.30417466646801528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-2.8421709430404007E-13</v>
      </c>
      <c r="DP194" s="17">
        <f>DO194*VLOOKUP('Données projet'!$B$14,Paramètres!$A$1:$I$89,3,0)*VLOOKUP('Données projet'!$B$14,Paramètres!$A$1:$I$89,5,0)</f>
        <v>-2.2612312022829427E-13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325.72928944930294</v>
      </c>
      <c r="DU194" s="59">
        <f t="shared" si="152"/>
        <v>318.38876834819752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0.71395320071779023</v>
      </c>
      <c r="EB194" s="21">
        <f>EXP(-LN(2)/25)*EB193+(1-EXP(-LN(2)/25))/(LN(2)/25)*Calculateur!DW194*Calculateur!DY194*VLOOKUP('Données projet'!$B$14,Paramètres!$A$1:$I$89,3,0)*0.475*44/12</f>
        <v>0.23818524826870227</v>
      </c>
      <c r="EC194" s="21">
        <f>EXP(-LN(2)/2)*EC193+(1-EXP(-LN(2)/2))/(LN(2)/2)*DW194*DZ194*VLOOKUP('Données projet'!$B$14,Paramètres!$A$1:$I$89,3,0)*0.475*44/12</f>
        <v>6.9192632227943171E-24</v>
      </c>
      <c r="ED194" s="22">
        <f t="shared" si="178"/>
        <v>0.95213844898649247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-5.7639226724859328E-14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384.50065773787549</v>
      </c>
      <c r="EP194" s="59">
        <f t="shared" si="154"/>
        <v>231.92898690465887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0.33773209903178469</v>
      </c>
      <c r="EW194" s="21">
        <f>EXP(-LN(2)/25)*EW193+(1-EXP(-LN(2)/25))/(LN(2)/25)*Calculateur!ER194*Calculateur!ET194*VLOOKUP('Données projet'!$B$15,Paramètres!$A$1:$I$89,3,0)*0.475*44/12</f>
        <v>0.12087851803334398</v>
      </c>
      <c r="EX194" s="21">
        <f>EXP(-LN(2)/2)*EX193+(1-EXP(-LN(2)/2))/(LN(2)/2)*ER194*EU194*VLOOKUP('Données projet'!$B$15,Paramètres!$A$1:$I$89,3,0)*0.475*44/12</f>
        <v>5.5945572058066288E-24</v>
      </c>
      <c r="EY194" s="22">
        <f t="shared" si="181"/>
        <v>0.45861061706512868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-1.5429577615577727E-13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326.46362829268969</v>
      </c>
      <c r="FK194" s="59">
        <f t="shared" si="156"/>
        <v>203.5274665601915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0.30136094990528473</v>
      </c>
      <c r="FR194" s="21">
        <f>EXP(-LN(2)/25)*FR193+(1-EXP(-LN(2)/25))/(LN(2)/25)*Calculateur!FM194*Calculateur!FO194*VLOOKUP('Données projet'!$B$16,Paramètres!$A$1:$I$89,3,0)*0.475*44/12</f>
        <v>0.10786083147590667</v>
      </c>
      <c r="FS194" s="21">
        <f>EXP(-LN(2)/2)*FS193+(1-EXP(-LN(2)/2))/(LN(2)/2)*FM194*FP194*VLOOKUP('Données projet'!$B$16,Paramètres!$A$1:$I$89,3,0)*0.475*44/12</f>
        <v>4.9920664297966839E-24</v>
      </c>
      <c r="FT194" s="22">
        <f t="shared" si="184"/>
        <v>0.40922178138119136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-1.7053025658242404E-13</v>
      </c>
      <c r="GA194" s="17">
        <f>FZ194*VLOOKUP('Données projet'!$B$17,Paramètres!$A$1:$I$89,3,0)*VLOOKUP('Données projet'!$B$17,Paramètres!$A$1:$I$89,5,0)</f>
        <v>-1.6493686416652052E-13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353.24082990916918</v>
      </c>
      <c r="GF194" s="59">
        <f t="shared" si="158"/>
        <v>219.76562717496353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0.32214446369185601</v>
      </c>
      <c r="GM194" s="21">
        <f>EXP(-LN(2)/25)*GM193+(1-EXP(-LN(2)/25))/(LN(2)/25)*Calculateur!GH194*Calculateur!GJ194*VLOOKUP('Données projet'!$B$17,Paramètres!$A$1:$I$89,3,0)*0.475*44/12</f>
        <v>0.11529950950872811</v>
      </c>
      <c r="GN194" s="21">
        <f>EXP(-LN(2)/2)*GN193+(1-EXP(-LN(2)/2))/(LN(2)/2)*GH194*GK194*VLOOKUP('Données projet'!$B$17,Paramètres!$A$1:$I$89,3,0)*0.475*44/12</f>
        <v>5.3363468732309395E-24</v>
      </c>
      <c r="GO194" s="21">
        <f t="shared" si="187"/>
        <v>0.43744397320058415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378.17323480030268</v>
      </c>
      <c r="T195" s="59">
        <f t="shared" si="142"/>
        <v>471.89239871617241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0.17806877548867264</v>
      </c>
      <c r="AA195" s="21">
        <f>EXP(-LN(2)/25)*AA194+(1-EXP(-LN(2)/25))/(LN(2)/25)*Calculateur!V195*Calculateur!X195*VLOOKUP('Données projet'!$B$9,Paramètres!$A$1:$I$89,3,0)*0.475*44/12</f>
        <v>0.23303336052080875</v>
      </c>
      <c r="AB195" s="21">
        <f>EXP(-LN(2)/2)*AB194+(1-EXP(-LN(2)/2))/(LN(2)/2)*V195*Y195*VLOOKUP('Données projet'!$B$9,Paramètres!$A$1:$I$89,3,0)*0.475*44/12</f>
        <v>4.3263990070159498E-24</v>
      </c>
      <c r="AC195" s="22">
        <f t="shared" si="163"/>
        <v>0.41110213600948142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141.22849894256314</v>
      </c>
      <c r="AO195" s="59">
        <f t="shared" si="144"/>
        <v>156.12101479343704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0.29734689614871146</v>
      </c>
      <c r="AV195" s="21">
        <f>EXP(-LN(2)/25)*AV194+(1-EXP(-LN(2)/25))/(LN(2)/25)*Calculateur!AQ195*Calculateur!AS195*VLOOKUP('Données projet'!$B$10,Paramètres!$A$1:$I$89,3,0)*0.475*44/12</f>
        <v>6.7469137389051151E-2</v>
      </c>
      <c r="AW195" s="21">
        <f>EXP(-LN(2)/2)*AW194+(1-EXP(-LN(2)/2))/(LN(2)/2)*AQ195*AT195*VLOOKUP('Données projet'!$B$10,Paramètres!$A$1:$I$89,3,0)*0.475*44/12</f>
        <v>1.2233881443340047E-24</v>
      </c>
      <c r="AX195" s="21">
        <f t="shared" si="166"/>
        <v>0.3648160335377626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114.25511901730295</v>
      </c>
      <c r="BJ195" s="59">
        <f t="shared" si="146"/>
        <v>180.96261947642182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0.13819118580128678</v>
      </c>
      <c r="BQ195" s="21">
        <f>EXP(-LN(2)/25)*BQ194+(1-EXP(-LN(2)/25))/(LN(2)/25)*Calculateur!BL195*Calculateur!BN195*VLOOKUP('Données projet'!$B$11,Paramètres!$A$1:$I$89,3,0)*0.475*44/12</f>
        <v>0.19957964374023143</v>
      </c>
      <c r="BR195" s="21">
        <f>EXP(-LN(2)/2)*BR194+(1-EXP(-LN(2)/2))/(LN(2)/2)*BL195*BO195*VLOOKUP('Données projet'!$B$11,Paramètres!$A$1:$I$89,3,0)*0.475*44/12</f>
        <v>2.8256748376669116E-24</v>
      </c>
      <c r="BS195" s="22">
        <f t="shared" si="169"/>
        <v>0.33777082954151821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4.4337866711430253E-14</v>
      </c>
      <c r="CA195" s="13">
        <f t="shared" si="170"/>
        <v>7.3222115536967035E-13</v>
      </c>
      <c r="CB195" s="20">
        <f t="shared" si="171"/>
        <v>1.3525069634579169E-12</v>
      </c>
      <c r="CC195" s="59">
        <f t="shared" si="119"/>
        <v>293.33333333333468</v>
      </c>
      <c r="CD195" s="59">
        <f ca="1">AVERAGE(OFFSET($CC$3,0,0,'Données projet'!$E$12+1,1))-AVERAGE(OFFSET($H$3,0,0,'Données projet'!$E$12+1,1))</f>
        <v>216.95993967070063</v>
      </c>
      <c r="CE195" s="59">
        <f t="shared" si="148"/>
        <v>208.79744153433245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0.20886620694763239</v>
      </c>
      <c r="CL195" s="21">
        <f>EXP(-LN(2)/25)*CL194+(1-EXP(-LN(2)/25))/(LN(2)/25)*Calculateur!CG195*Calculateur!CI195*VLOOKUP('Données projet'!$B$12,Paramètres!$A$1:$I$89,3,0)*0.475*44/12</f>
        <v>7.1892200416282984E-2</v>
      </c>
      <c r="CM195" s="21">
        <f>EXP(-LN(2)/2)*CM194+(1-EXP(-LN(2)/2))/(LN(2)/2)*CG195*CJ195*VLOOKUP('Données projet'!$B$12,Paramètres!$A$1:$I$89,3,0)*0.475*44/12</f>
        <v>5.1020845799156059E-25</v>
      </c>
      <c r="CN195" s="22">
        <f t="shared" si="172"/>
        <v>0.28075840736391539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3.813056537183002E-14</v>
      </c>
      <c r="CV195" s="13">
        <f t="shared" si="173"/>
        <v>6.4086286045526829E-13</v>
      </c>
      <c r="CW195" s="20">
        <f t="shared" si="174"/>
        <v>1.1825802166488628E-12</v>
      </c>
      <c r="CX195" s="59">
        <f t="shared" si="122"/>
        <v>293.33333333333451</v>
      </c>
      <c r="CY195" s="59">
        <f ca="1">AVERAGE(OFFSET($CX$3,0,0,'Données projet'!$E$13+1,1))-AVERAGE(OFFSET($H$3,0,0,'Données projet'!$E$13+1,1))</f>
        <v>181.32837315090507</v>
      </c>
      <c r="CZ195" s="59">
        <f t="shared" si="150"/>
        <v>175.03267817980338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0.22139817936449005</v>
      </c>
      <c r="DG195" s="21">
        <f>EXP(-LN(2)/25)*DG194+(1-EXP(-LN(2)/25))/(LN(2)/25)*Calculateur!DB195*Calculateur!DD195*VLOOKUP('Données projet'!$B$13,Paramètres!$A$1:$I$89,3,0)*0.475*44/12</f>
        <v>7.6205732441259971E-2</v>
      </c>
      <c r="DH195" s="21">
        <f>EXP(-LN(2)/2)*DH194+(1-EXP(-LN(2)/2))/(LN(2)/2)*DB195*DE195*VLOOKUP('Données projet'!$B$13,Paramètres!$A$1:$I$89,3,0)*0.475*44/12</f>
        <v>4.3877927387274192E-25</v>
      </c>
      <c r="DI195" s="22">
        <f t="shared" si="175"/>
        <v>0.29760391180575002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-2.8421709430404007E-13</v>
      </c>
      <c r="DP195" s="17">
        <f>DO195*VLOOKUP('Données projet'!$B$14,Paramètres!$A$1:$I$89,3,0)*VLOOKUP('Données projet'!$B$14,Paramètres!$A$1:$I$89,5,0)</f>
        <v>-2.2612312022829427E-13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325.72928944930294</v>
      </c>
      <c r="DU195" s="59">
        <f t="shared" si="152"/>
        <v>318.38876834819752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0.69995301392016784</v>
      </c>
      <c r="EB195" s="21">
        <f>EXP(-LN(2)/25)*EB194+(1-EXP(-LN(2)/25))/(LN(2)/25)*Calculateur!DW195*Calculateur!DY195*VLOOKUP('Données projet'!$B$14,Paramètres!$A$1:$I$89,3,0)*0.475*44/12</f>
        <v>0.23167206012917679</v>
      </c>
      <c r="EC195" s="21">
        <f>EXP(-LN(2)/2)*EC194+(1-EXP(-LN(2)/2))/(LN(2)/2)*DW195*DZ195*VLOOKUP('Données projet'!$B$14,Paramètres!$A$1:$I$89,3,0)*0.475*44/12</f>
        <v>4.892657945652547E-24</v>
      </c>
      <c r="ED195" s="22">
        <f t="shared" si="178"/>
        <v>0.93162507404934458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-5.7639226724859328E-14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384.50065773787549</v>
      </c>
      <c r="EP195" s="59">
        <f t="shared" si="154"/>
        <v>231.92898690465887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0.33110937856601136</v>
      </c>
      <c r="EW195" s="21">
        <f>EXP(-LN(2)/25)*EW194+(1-EXP(-LN(2)/25))/(LN(2)/25)*Calculateur!ER195*Calculateur!ET195*VLOOKUP('Données projet'!$B$15,Paramètres!$A$1:$I$89,3,0)*0.475*44/12</f>
        <v>0.1175730886009972</v>
      </c>
      <c r="EX195" s="21">
        <f>EXP(-LN(2)/2)*EX194+(1-EXP(-LN(2)/2))/(LN(2)/2)*ER195*EU195*VLOOKUP('Données projet'!$B$15,Paramètres!$A$1:$I$89,3,0)*0.475*44/12</f>
        <v>3.9559493379619305E-24</v>
      </c>
      <c r="EY195" s="22">
        <f t="shared" si="181"/>
        <v>0.44868246716700855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-1.5429577615577727E-13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326.46362829268969</v>
      </c>
      <c r="FK195" s="59">
        <f t="shared" si="156"/>
        <v>203.5274665601915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0.29545144548967162</v>
      </c>
      <c r="FR195" s="21">
        <f>EXP(-LN(2)/25)*FR194+(1-EXP(-LN(2)/25))/(LN(2)/25)*Calculateur!FM195*Calculateur!FO195*VLOOKUP('Données projet'!$B$16,Paramètres!$A$1:$I$89,3,0)*0.475*44/12</f>
        <v>0.10491137136704339</v>
      </c>
      <c r="FS195" s="21">
        <f>EXP(-LN(2)/2)*FS194+(1-EXP(-LN(2)/2))/(LN(2)/2)*FM195*FP195*VLOOKUP('Données projet'!$B$16,Paramètres!$A$1:$I$89,3,0)*0.475*44/12</f>
        <v>3.5299240246429533E-24</v>
      </c>
      <c r="FT195" s="22">
        <f t="shared" si="184"/>
        <v>0.40036281685671499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-1.7053025658242404E-13</v>
      </c>
      <c r="GA195" s="17">
        <f>FZ195*VLOOKUP('Données projet'!$B$17,Paramètres!$A$1:$I$89,3,0)*VLOOKUP('Données projet'!$B$17,Paramètres!$A$1:$I$89,5,0)</f>
        <v>-1.6493686416652052E-13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353.24082990916918</v>
      </c>
      <c r="GF195" s="59">
        <f t="shared" si="158"/>
        <v>219.76562717496353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0.31582740724757991</v>
      </c>
      <c r="GM195" s="21">
        <f>EXP(-LN(2)/25)*GM194+(1-EXP(-LN(2)/25))/(LN(2)/25)*Calculateur!GH195*Calculateur!GJ195*VLOOKUP('Données projet'!$B$17,Paramètres!$A$1:$I$89,3,0)*0.475*44/12</f>
        <v>0.11214663835787425</v>
      </c>
      <c r="GN195" s="21">
        <f>EXP(-LN(2)/2)*GN194+(1-EXP(-LN(2)/2))/(LN(2)/2)*GH195*GK195*VLOOKUP('Données projet'!$B$17,Paramètres!$A$1:$I$89,3,0)*0.475*44/12</f>
        <v>3.7733670608252269E-24</v>
      </c>
      <c r="GO195" s="21">
        <f t="shared" si="187"/>
        <v>0.42797404560545416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378.17323480030268</v>
      </c>
      <c r="T196" s="59">
        <f t="shared" si="142"/>
        <v>471.89239871617241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0.17457695541256835</v>
      </c>
      <c r="AA196" s="21">
        <f>EXP(-LN(2)/25)*AA195+(1-EXP(-LN(2)/25))/(LN(2)/25)*Calculateur!V196*Calculateur!X196*VLOOKUP('Données projet'!$B$9,Paramètres!$A$1:$I$89,3,0)*0.475*44/12</f>
        <v>0.22666105102267542</v>
      </c>
      <c r="AB196" s="21">
        <f>EXP(-LN(2)/2)*AB195+(1-EXP(-LN(2)/2))/(LN(2)/2)*V196*Y196*VLOOKUP('Données projet'!$B$9,Paramètres!$A$1:$I$89,3,0)*0.475*44/12</f>
        <v>3.0592260759797237E-24</v>
      </c>
      <c r="AC196" s="22">
        <f t="shared" si="163"/>
        <v>0.40123800643524377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141.22849894256314</v>
      </c>
      <c r="AO196" s="59">
        <f t="shared" si="144"/>
        <v>156.12101479343704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0.2915161048789337</v>
      </c>
      <c r="AV196" s="21">
        <f>EXP(-LN(2)/25)*AV195+(1-EXP(-LN(2)/25))/(LN(2)/25)*Calculateur!AQ196*Calculateur!AS196*VLOOKUP('Données projet'!$B$10,Paramètres!$A$1:$I$89,3,0)*0.475*44/12</f>
        <v>6.5624190279099812E-2</v>
      </c>
      <c r="AW196" s="21">
        <f>EXP(-LN(2)/2)*AW195+(1-EXP(-LN(2)/2))/(LN(2)/2)*AQ196*AT196*VLOOKUP('Données projet'!$B$10,Paramètres!$A$1:$I$89,3,0)*0.475*44/12</f>
        <v>8.6506605288180147E-25</v>
      </c>
      <c r="AX196" s="21">
        <f t="shared" si="166"/>
        <v>0.35714029515803353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114.25511901730295</v>
      </c>
      <c r="BJ196" s="59">
        <f t="shared" si="146"/>
        <v>180.96261947642182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0.1354813409360241</v>
      </c>
      <c r="BQ196" s="21">
        <f>EXP(-LN(2)/25)*BQ195+(1-EXP(-LN(2)/25))/(LN(2)/25)*Calculateur!BL196*Calculateur!BN196*VLOOKUP('Données projet'!$B$11,Paramètres!$A$1:$I$89,3,0)*0.475*44/12</f>
        <v>0.19412212788671748</v>
      </c>
      <c r="BR196" s="21">
        <f>EXP(-LN(2)/2)*BR195+(1-EXP(-LN(2)/2))/(LN(2)/2)*BL196*BO196*VLOOKUP('Données projet'!$B$11,Paramètres!$A$1:$I$89,3,0)*0.475*44/12</f>
        <v>1.99805383914247E-24</v>
      </c>
      <c r="BS196" s="22">
        <f t="shared" si="169"/>
        <v>0.32960346882274161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4.4337866711430253E-14</v>
      </c>
      <c r="CA196" s="13">
        <f t="shared" si="170"/>
        <v>7.3222115536967035E-13</v>
      </c>
      <c r="CB196" s="20">
        <f t="shared" si="171"/>
        <v>1.3525069634579169E-12</v>
      </c>
      <c r="CC196" s="59">
        <f t="shared" ref="CC196:CC203" si="195">CB196+(BT196+BU196)*44/12</f>
        <v>293.33333333333468</v>
      </c>
      <c r="CD196" s="59">
        <f ca="1">AVERAGE(OFFSET($CC$3,0,0,'Données projet'!$E$12+1,1))-AVERAGE(OFFSET($H$3,0,0,'Données projet'!$E$12+1,1))</f>
        <v>216.95993967070063</v>
      </c>
      <c r="CE196" s="59">
        <f t="shared" si="148"/>
        <v>208.79744153433245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0.20477046802519627</v>
      </c>
      <c r="CL196" s="21">
        <f>EXP(-LN(2)/25)*CL195+(1-EXP(-LN(2)/25))/(LN(2)/25)*Calculateur!CG196*Calculateur!CI196*VLOOKUP('Données projet'!$B$12,Paramètres!$A$1:$I$89,3,0)*0.475*44/12</f>
        <v>6.9926304415253215E-2</v>
      </c>
      <c r="CM196" s="21">
        <f>EXP(-LN(2)/2)*CM195+(1-EXP(-LN(2)/2))/(LN(2)/2)*CG196*CJ196*VLOOKUP('Données projet'!$B$12,Paramètres!$A$1:$I$89,3,0)*0.475*44/12</f>
        <v>3.6077186046456426E-25</v>
      </c>
      <c r="CN196" s="22">
        <f t="shared" si="172"/>
        <v>0.27469677244044949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3.813056537183002E-14</v>
      </c>
      <c r="CV196" s="13">
        <f t="shared" si="173"/>
        <v>6.4086286045526829E-13</v>
      </c>
      <c r="CW196" s="20">
        <f t="shared" si="174"/>
        <v>1.1825802166488628E-12</v>
      </c>
      <c r="CX196" s="59">
        <f t="shared" ref="CX196:CX203" si="196">CW196+(CO196+CP196)*44/12</f>
        <v>293.33333333333451</v>
      </c>
      <c r="CY196" s="59">
        <f ca="1">AVERAGE(OFFSET($CX$3,0,0,'Données projet'!$E$13+1,1))-AVERAGE(OFFSET($H$3,0,0,'Données projet'!$E$13+1,1))</f>
        <v>181.32837315090507</v>
      </c>
      <c r="CZ196" s="59">
        <f t="shared" si="150"/>
        <v>175.03267817980338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0.21705669610670777</v>
      </c>
      <c r="DG196" s="21">
        <f>EXP(-LN(2)/25)*DG195+(1-EXP(-LN(2)/25))/(LN(2)/25)*Calculateur!DB196*Calculateur!DD196*VLOOKUP('Données projet'!$B$13,Paramètres!$A$1:$I$89,3,0)*0.475*44/12</f>
        <v>7.4121882680168422E-2</v>
      </c>
      <c r="DH196" s="21">
        <f>EXP(-LN(2)/2)*DH195+(1-EXP(-LN(2)/2))/(LN(2)/2)*DB196*DE196*VLOOKUP('Données projet'!$B$13,Paramètres!$A$1:$I$89,3,0)*0.475*44/12</f>
        <v>3.1026379999952513E-25</v>
      </c>
      <c r="DI196" s="22">
        <f t="shared" si="175"/>
        <v>0.2911785787868762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-2.8421709430404007E-13</v>
      </c>
      <c r="DP196" s="17">
        <f>DO196*VLOOKUP('Données projet'!$B$14,Paramètres!$A$1:$I$89,3,0)*VLOOKUP('Données projet'!$B$14,Paramètres!$A$1:$I$89,5,0)</f>
        <v>-2.2612312022829427E-13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325.72928944930294</v>
      </c>
      <c r="DU196" s="59">
        <f t="shared" si="152"/>
        <v>318.38876834819752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0.68622736224637604</v>
      </c>
      <c r="EB196" s="21">
        <f>EXP(-LN(2)/25)*EB195+(1-EXP(-LN(2)/25))/(LN(2)/25)*Calculateur!DW196*Calculateur!DY196*VLOOKUP('Données projet'!$B$14,Paramètres!$A$1:$I$89,3,0)*0.475*44/12</f>
        <v>0.22533697546184031</v>
      </c>
      <c r="EC196" s="21">
        <f>EXP(-LN(2)/2)*EC195+(1-EXP(-LN(2)/2))/(LN(2)/2)*DW196*DZ196*VLOOKUP('Données projet'!$B$14,Paramètres!$A$1:$I$89,3,0)*0.475*44/12</f>
        <v>3.4596316113971586E-24</v>
      </c>
      <c r="ED196" s="22">
        <f t="shared" si="178"/>
        <v>0.91156433770821632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-5.7639226724859328E-14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384.50065773787549</v>
      </c>
      <c r="EP196" s="59">
        <f t="shared" si="154"/>
        <v>231.92898690465887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0.32461652560911125</v>
      </c>
      <c r="EW196" s="21">
        <f>EXP(-LN(2)/25)*EW195+(1-EXP(-LN(2)/25))/(LN(2)/25)*Calculateur!ER196*Calculateur!ET196*VLOOKUP('Données projet'!$B$15,Paramètres!$A$1:$I$89,3,0)*0.475*44/12</f>
        <v>0.11435804631030293</v>
      </c>
      <c r="EX196" s="21">
        <f>EXP(-LN(2)/2)*EX195+(1-EXP(-LN(2)/2))/(LN(2)/2)*ER196*EU196*VLOOKUP('Données projet'!$B$15,Paramètres!$A$1:$I$89,3,0)*0.475*44/12</f>
        <v>2.7972786029033144E-24</v>
      </c>
      <c r="EY196" s="22">
        <f t="shared" si="181"/>
        <v>0.43897457191941419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-1.5429577615577727E-13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326.46362829268969</v>
      </c>
      <c r="FK196" s="59">
        <f t="shared" si="156"/>
        <v>203.5274665601915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0.28965782285120689</v>
      </c>
      <c r="FR196" s="21">
        <f>EXP(-LN(2)/25)*FR195+(1-EXP(-LN(2)/25))/(LN(2)/25)*Calculateur!FM196*Calculateur!FO196*VLOOKUP('Données projet'!$B$16,Paramètres!$A$1:$I$89,3,0)*0.475*44/12</f>
        <v>0.10204256439996234</v>
      </c>
      <c r="FS196" s="21">
        <f>EXP(-LN(2)/2)*FS195+(1-EXP(-LN(2)/2))/(LN(2)/2)*FM196*FP196*VLOOKUP('Données projet'!$B$16,Paramètres!$A$1:$I$89,3,0)*0.475*44/12</f>
        <v>2.496033214898342E-24</v>
      </c>
      <c r="FT196" s="22">
        <f t="shared" si="184"/>
        <v>0.39170038725116924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-1.7053025658242404E-13</v>
      </c>
      <c r="GA196" s="17">
        <f>FZ196*VLOOKUP('Données projet'!$B$17,Paramètres!$A$1:$I$89,3,0)*VLOOKUP('Données projet'!$B$17,Paramètres!$A$1:$I$89,5,0)</f>
        <v>-1.6493686416652052E-13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353.24082990916918</v>
      </c>
      <c r="GF196" s="59">
        <f t="shared" si="158"/>
        <v>219.76562717496353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0.3096342244271521</v>
      </c>
      <c r="GM196" s="21">
        <f>EXP(-LN(2)/25)*GM195+(1-EXP(-LN(2)/25))/(LN(2)/25)*Calculateur!GH196*Calculateur!GJ196*VLOOKUP('Données projet'!$B$17,Paramètres!$A$1:$I$89,3,0)*0.475*44/12</f>
        <v>0.10907998263444278</v>
      </c>
      <c r="GN196" s="21">
        <f>EXP(-LN(2)/2)*GN195+(1-EXP(-LN(2)/2))/(LN(2)/2)*GH196*GK196*VLOOKUP('Données projet'!$B$17,Paramètres!$A$1:$I$89,3,0)*0.475*44/12</f>
        <v>2.6681734366154698E-24</v>
      </c>
      <c r="GO196" s="21">
        <f t="shared" si="187"/>
        <v>0.4187142070615949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378.17323480030268</v>
      </c>
      <c r="T197" s="59">
        <f t="shared" ref="T197:T203" si="204">$T$3</f>
        <v>471.89239871617241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0.17115360779835651</v>
      </c>
      <c r="AA197" s="21">
        <f>EXP(-LN(2)/25)*AA196+(1-EXP(-LN(2)/25))/(LN(2)/25)*Calculateur!V197*Calculateur!X197*VLOOKUP('Données projet'!$B$9,Paramètres!$A$1:$I$89,3,0)*0.475*44/12</f>
        <v>0.22046299266287372</v>
      </c>
      <c r="AB197" s="21">
        <f>EXP(-LN(2)/2)*AB196+(1-EXP(-LN(2)/2))/(LN(2)/2)*V197*Y197*VLOOKUP('Données projet'!$B$9,Paramètres!$A$1:$I$89,3,0)*0.475*44/12</f>
        <v>2.1631995035079749E-24</v>
      </c>
      <c r="AC197" s="22">
        <f t="shared" si="163"/>
        <v>0.39161660046123026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141.22849894256314</v>
      </c>
      <c r="AO197" s="59">
        <f t="shared" ref="AO197:AO203" si="205">$AO$3</f>
        <v>156.12101479343704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0.28579965186952477</v>
      </c>
      <c r="AV197" s="21">
        <f>EXP(-LN(2)/25)*AV196+(1-EXP(-LN(2)/25))/(LN(2)/25)*Calculateur!AQ197*Calculateur!AS197*VLOOKUP('Données projet'!$B$10,Paramètres!$A$1:$I$89,3,0)*0.475*44/12</f>
        <v>6.382969334489165E-2</v>
      </c>
      <c r="AW197" s="21">
        <f>EXP(-LN(2)/2)*AW196+(1-EXP(-LN(2)/2))/(LN(2)/2)*AQ197*AT197*VLOOKUP('Données projet'!$B$10,Paramètres!$A$1:$I$89,3,0)*0.475*44/12</f>
        <v>6.1169407216700235E-25</v>
      </c>
      <c r="AX197" s="21">
        <f t="shared" si="166"/>
        <v>0.34962934521441641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114.25511901730295</v>
      </c>
      <c r="BJ197" s="59">
        <f t="shared" ref="BJ197:BJ203" si="206">$BJ$3</f>
        <v>180.96261947642182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0.13282463447572707</v>
      </c>
      <c r="BQ197" s="21">
        <f>EXP(-LN(2)/25)*BQ196+(1-EXP(-LN(2)/25))/(LN(2)/25)*Calculateur!BL197*Calculateur!BN197*VLOOKUP('Données projet'!$B$11,Paramètres!$A$1:$I$89,3,0)*0.475*44/12</f>
        <v>0.18881384809121615</v>
      </c>
      <c r="BR197" s="21">
        <f>EXP(-LN(2)/2)*BR196+(1-EXP(-LN(2)/2))/(LN(2)/2)*BL197*BO197*VLOOKUP('Données projet'!$B$11,Paramètres!$A$1:$I$89,3,0)*0.475*44/12</f>
        <v>1.4128374188334558E-24</v>
      </c>
      <c r="BS197" s="22">
        <f t="shared" si="169"/>
        <v>0.32163848256694322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4.4337866711430253E-14</v>
      </c>
      <c r="CA197" s="13">
        <f t="shared" si="170"/>
        <v>7.3222115536967035E-13</v>
      </c>
      <c r="CB197" s="20">
        <f t="shared" si="171"/>
        <v>1.3525069634579169E-12</v>
      </c>
      <c r="CC197" s="59">
        <f t="shared" si="195"/>
        <v>293.33333333333468</v>
      </c>
      <c r="CD197" s="59">
        <f ca="1">AVERAGE(OFFSET($CC$3,0,0,'Données projet'!$E$12+1,1))-AVERAGE(OFFSET($H$3,0,0,'Données projet'!$E$12+1,1))</f>
        <v>216.95993967070063</v>
      </c>
      <c r="CE197" s="59">
        <f t="shared" ref="CE197:CE203" si="207">$CE$3</f>
        <v>208.79744153433245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0.20075504404487504</v>
      </c>
      <c r="CL197" s="21">
        <f>EXP(-LN(2)/25)*CL196+(1-EXP(-LN(2)/25))/(LN(2)/25)*Calculateur!CG197*Calculateur!CI197*VLOOKUP('Données projet'!$B$12,Paramètres!$A$1:$I$89,3,0)*0.475*44/12</f>
        <v>6.8014165943753591E-2</v>
      </c>
      <c r="CM197" s="21">
        <f>EXP(-LN(2)/2)*CM196+(1-EXP(-LN(2)/2))/(LN(2)/2)*CG197*CJ197*VLOOKUP('Données projet'!$B$12,Paramètres!$A$1:$I$89,3,0)*0.475*44/12</f>
        <v>2.5510422899578029E-25</v>
      </c>
      <c r="CN197" s="22">
        <f t="shared" si="172"/>
        <v>0.26876920998862863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3.813056537183002E-14</v>
      </c>
      <c r="CV197" s="13">
        <f t="shared" si="173"/>
        <v>6.4086286045526829E-13</v>
      </c>
      <c r="CW197" s="20">
        <f t="shared" si="174"/>
        <v>1.1825802166488628E-12</v>
      </c>
      <c r="CX197" s="59">
        <f t="shared" si="196"/>
        <v>293.33333333333451</v>
      </c>
      <c r="CY197" s="59">
        <f ca="1">AVERAGE(OFFSET($CX$3,0,0,'Données projet'!$E$13+1,1))-AVERAGE(OFFSET($H$3,0,0,'Données projet'!$E$13+1,1))</f>
        <v>181.32837315090507</v>
      </c>
      <c r="CZ197" s="59">
        <f t="shared" ref="CZ197:CZ203" si="208">$CZ$3</f>
        <v>175.03267817980338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0.21280034668756728</v>
      </c>
      <c r="DG197" s="21">
        <f>EXP(-LN(2)/25)*DG196+(1-EXP(-LN(2)/25))/(LN(2)/25)*Calculateur!DB197*Calculateur!DD197*VLOOKUP('Données projet'!$B$13,Paramètres!$A$1:$I$89,3,0)*0.475*44/12</f>
        <v>7.2095015900378812E-2</v>
      </c>
      <c r="DH197" s="21">
        <f>EXP(-LN(2)/2)*DH196+(1-EXP(-LN(2)/2))/(LN(2)/2)*DB197*DE197*VLOOKUP('Données projet'!$B$13,Paramètres!$A$1:$I$89,3,0)*0.475*44/12</f>
        <v>2.1938963693637096E-25</v>
      </c>
      <c r="DI197" s="22">
        <f t="shared" si="175"/>
        <v>0.28489536258794612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-2.8421709430404007E-13</v>
      </c>
      <c r="DP197" s="17">
        <f>DO197*VLOOKUP('Données projet'!$B$14,Paramètres!$A$1:$I$89,3,0)*VLOOKUP('Données projet'!$B$14,Paramètres!$A$1:$I$89,5,0)</f>
        <v>-2.2612312022829427E-13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325.72928944930294</v>
      </c>
      <c r="DU197" s="59">
        <f t="shared" ref="DU197:DU203" si="209">$DU$3</f>
        <v>318.38876834819752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0.67277086223008642</v>
      </c>
      <c r="EB197" s="21">
        <f>EXP(-LN(2)/25)*EB196+(1-EXP(-LN(2)/25))/(LN(2)/25)*Calculateur!DW197*Calculateur!DY197*VLOOKUP('Données projet'!$B$14,Paramètres!$A$1:$I$89,3,0)*0.475*44/12</f>
        <v>0.21917512401787975</v>
      </c>
      <c r="EC197" s="21">
        <f>EXP(-LN(2)/2)*EC196+(1-EXP(-LN(2)/2))/(LN(2)/2)*DW197*DZ197*VLOOKUP('Données projet'!$B$14,Paramètres!$A$1:$I$89,3,0)*0.475*44/12</f>
        <v>2.4463289728262735E-24</v>
      </c>
      <c r="ED197" s="22">
        <f t="shared" si="178"/>
        <v>0.89194598624796617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-5.7639226724859328E-14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384.50065773787549</v>
      </c>
      <c r="EP197" s="59">
        <f t="shared" ref="EP197:EP203" si="210">$EP$3</f>
        <v>231.92898690465887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0.31825099353844666</v>
      </c>
      <c r="EW197" s="21">
        <f>EXP(-LN(2)/25)*EW196+(1-EXP(-LN(2)/25))/(LN(2)/25)*Calculateur!ER197*Calculateur!ET197*VLOOKUP('Données projet'!$B$15,Paramètres!$A$1:$I$89,3,0)*0.475*44/12</f>
        <v>0.1112309195201194</v>
      </c>
      <c r="EX197" s="21">
        <f>EXP(-LN(2)/2)*EX196+(1-EXP(-LN(2)/2))/(LN(2)/2)*ER197*EU197*VLOOKUP('Données projet'!$B$15,Paramètres!$A$1:$I$89,3,0)*0.475*44/12</f>
        <v>1.9779746689809653E-24</v>
      </c>
      <c r="EY197" s="22">
        <f t="shared" si="181"/>
        <v>0.42948191305856609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-1.5429577615577727E-13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326.46362829268969</v>
      </c>
      <c r="FK197" s="59">
        <f t="shared" ref="FK197:FK203" si="211">$FK$3</f>
        <v>203.5274665601915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0.28397780961892155</v>
      </c>
      <c r="FR197" s="21">
        <f>EXP(-LN(2)/25)*FR196+(1-EXP(-LN(2)/25))/(LN(2)/25)*Calculateur!FM197*Calculateur!FO197*VLOOKUP('Données projet'!$B$16,Paramètres!$A$1:$I$89,3,0)*0.475*44/12</f>
        <v>9.925220511026013E-2</v>
      </c>
      <c r="FS197" s="21">
        <f>EXP(-LN(2)/2)*FS196+(1-EXP(-LN(2)/2))/(LN(2)/2)*FM197*FP197*VLOOKUP('Données projet'!$B$16,Paramètres!$A$1:$I$89,3,0)*0.475*44/12</f>
        <v>1.7649620123214766E-24</v>
      </c>
      <c r="FT197" s="22">
        <f t="shared" si="184"/>
        <v>0.38323001472918167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-1.7053025658242404E-13</v>
      </c>
      <c r="GA197" s="17">
        <f>FZ197*VLOOKUP('Données projet'!$B$17,Paramètres!$A$1:$I$89,3,0)*VLOOKUP('Données projet'!$B$17,Paramètres!$A$1:$I$89,5,0)</f>
        <v>-1.6493686416652052E-13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353.24082990916918</v>
      </c>
      <c r="GF197" s="59">
        <f t="shared" ref="GF197:GF203" si="212">$GF$3</f>
        <v>219.76562717496353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0.30356248614436437</v>
      </c>
      <c r="GM197" s="21">
        <f>EXP(-LN(2)/25)*GM196+(1-EXP(-LN(2)/25))/(LN(2)/25)*Calculateur!GH197*Calculateur!GJ197*VLOOKUP('Données projet'!$B$17,Paramètres!$A$1:$I$89,3,0)*0.475*44/12</f>
        <v>0.10609718477303696</v>
      </c>
      <c r="GN197" s="21">
        <f>EXP(-LN(2)/2)*GN196+(1-EXP(-LN(2)/2))/(LN(2)/2)*GH197*GK197*VLOOKUP('Données projet'!$B$17,Paramètres!$A$1:$I$89,3,0)*0.475*44/12</f>
        <v>1.8866835304126135E-24</v>
      </c>
      <c r="GO197" s="21">
        <f t="shared" si="187"/>
        <v>0.40965967091740135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378.17323480030268</v>
      </c>
      <c r="T198" s="59">
        <f t="shared" si="204"/>
        <v>471.89239871617241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0.1677973899428235</v>
      </c>
      <c r="AA198" s="21">
        <f>EXP(-LN(2)/25)*AA197+(1-EXP(-LN(2)/25))/(LN(2)/25)*Calculateur!V198*Calculateur!X198*VLOOKUP('Données projet'!$B$9,Paramètres!$A$1:$I$89,3,0)*0.475*44/12</f>
        <v>0.21443442053486253</v>
      </c>
      <c r="AB198" s="21">
        <f>EXP(-LN(2)/2)*AB197+(1-EXP(-LN(2)/2))/(LN(2)/2)*V198*Y198*VLOOKUP('Données projet'!$B$9,Paramètres!$A$1:$I$89,3,0)*0.475*44/12</f>
        <v>1.5296130379898619E-24</v>
      </c>
      <c r="AC198" s="22">
        <f t="shared" si="163"/>
        <v>0.38223181047768606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141.22849894256314</v>
      </c>
      <c r="AO198" s="59">
        <f t="shared" si="205"/>
        <v>156.12101479343704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0.28019529501693829</v>
      </c>
      <c r="AV198" s="21">
        <f>EXP(-LN(2)/25)*AV197+(1-EXP(-LN(2)/25))/(LN(2)/25)*Calculateur!AQ198*Calculateur!AS198*VLOOKUP('Données projet'!$B$10,Paramètres!$A$1:$I$89,3,0)*0.475*44/12</f>
        <v>6.2084267023717901E-2</v>
      </c>
      <c r="AW198" s="21">
        <f>EXP(-LN(2)/2)*AW197+(1-EXP(-LN(2)/2))/(LN(2)/2)*AQ198*AT198*VLOOKUP('Données projet'!$B$10,Paramètres!$A$1:$I$89,3,0)*0.475*44/12</f>
        <v>4.3253302644090074E-25</v>
      </c>
      <c r="AX198" s="21">
        <f t="shared" si="166"/>
        <v>0.34227956204065618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114.25511901730295</v>
      </c>
      <c r="BJ198" s="59">
        <f t="shared" si="206"/>
        <v>180.96261947642182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0.13022002440868552</v>
      </c>
      <c r="BQ198" s="21">
        <f>EXP(-LN(2)/25)*BQ197+(1-EXP(-LN(2)/25))/(LN(2)/25)*Calculateur!BL198*Calculateur!BN198*VLOOKUP('Données projet'!$B$11,Paramètres!$A$1:$I$89,3,0)*0.475*44/12</f>
        <v>0.18365072348587311</v>
      </c>
      <c r="BR198" s="21">
        <f>EXP(-LN(2)/2)*BR197+(1-EXP(-LN(2)/2))/(LN(2)/2)*BL198*BO198*VLOOKUP('Données projet'!$B$11,Paramètres!$A$1:$I$89,3,0)*0.475*44/12</f>
        <v>9.9902691957123502E-25</v>
      </c>
      <c r="BS198" s="22">
        <f t="shared" si="169"/>
        <v>0.3138707478945586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4.4337866711430253E-14</v>
      </c>
      <c r="CA198" s="13">
        <f t="shared" si="170"/>
        <v>7.3222115536967035E-13</v>
      </c>
      <c r="CB198" s="20">
        <f t="shared" si="171"/>
        <v>1.3525069634579169E-12</v>
      </c>
      <c r="CC198" s="59">
        <f t="shared" si="195"/>
        <v>293.33333333333468</v>
      </c>
      <c r="CD198" s="59">
        <f ca="1">AVERAGE(OFFSET($CC$3,0,0,'Données projet'!$E$12+1,1))-AVERAGE(OFFSET($H$3,0,0,'Données projet'!$E$12+1,1))</f>
        <v>216.95993967070063</v>
      </c>
      <c r="CE198" s="59">
        <f t="shared" si="207"/>
        <v>208.79744153433245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0.19681836007964112</v>
      </c>
      <c r="CL198" s="21">
        <f>EXP(-LN(2)/25)*CL197+(1-EXP(-LN(2)/25))/(LN(2)/25)*Calculateur!CG198*Calculateur!CI198*VLOOKUP('Données projet'!$B$12,Paramètres!$A$1:$I$89,3,0)*0.475*44/12</f>
        <v>6.6154314999312111E-2</v>
      </c>
      <c r="CM198" s="21">
        <f>EXP(-LN(2)/2)*CM197+(1-EXP(-LN(2)/2))/(LN(2)/2)*CG198*CJ198*VLOOKUP('Données projet'!$B$12,Paramètres!$A$1:$I$89,3,0)*0.475*44/12</f>
        <v>1.8038593023228213E-25</v>
      </c>
      <c r="CN198" s="22">
        <f t="shared" si="172"/>
        <v>0.26297267507895322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3.813056537183002E-14</v>
      </c>
      <c r="CV198" s="13">
        <f t="shared" si="173"/>
        <v>6.4086286045526829E-13</v>
      </c>
      <c r="CW198" s="20">
        <f t="shared" si="174"/>
        <v>1.1825802166488628E-12</v>
      </c>
      <c r="CX198" s="59">
        <f t="shared" si="196"/>
        <v>293.33333333333451</v>
      </c>
      <c r="CY198" s="59">
        <f ca="1">AVERAGE(OFFSET($CX$3,0,0,'Données projet'!$E$13+1,1))-AVERAGE(OFFSET($H$3,0,0,'Données projet'!$E$13+1,1))</f>
        <v>181.32837315090507</v>
      </c>
      <c r="CZ198" s="59">
        <f t="shared" si="208"/>
        <v>175.03267817980338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0.20862746168441934</v>
      </c>
      <c r="DG198" s="21">
        <f>EXP(-LN(2)/25)*DG197+(1-EXP(-LN(2)/25))/(LN(2)/25)*Calculateur!DB198*Calculateur!DD198*VLOOKUP('Données projet'!$B$13,Paramètres!$A$1:$I$89,3,0)*0.475*44/12</f>
        <v>7.0123573899270847E-2</v>
      </c>
      <c r="DH198" s="21">
        <f>EXP(-LN(2)/2)*DH197+(1-EXP(-LN(2)/2))/(LN(2)/2)*DB198*DE198*VLOOKUP('Données projet'!$B$13,Paramètres!$A$1:$I$89,3,0)*0.475*44/12</f>
        <v>1.5513189999976257E-25</v>
      </c>
      <c r="DI198" s="22">
        <f t="shared" si="175"/>
        <v>0.27875103558369019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-2.8421709430404007E-13</v>
      </c>
      <c r="DP198" s="17">
        <f>DO198*VLOOKUP('Données projet'!$B$14,Paramètres!$A$1:$I$89,3,0)*VLOOKUP('Données projet'!$B$14,Paramètres!$A$1:$I$89,5,0)</f>
        <v>-2.2612312022829427E-13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325.72928944930294</v>
      </c>
      <c r="DU198" s="59">
        <f t="shared" si="209"/>
        <v>318.38876834819752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0.6595782359714617</v>
      </c>
      <c r="EB198" s="21">
        <f>EXP(-LN(2)/25)*EB197+(1-EXP(-LN(2)/25))/(LN(2)/25)*Calculateur!DW198*Calculateur!DY198*VLOOKUP('Données projet'!$B$14,Paramètres!$A$1:$I$89,3,0)*0.475*44/12</f>
        <v>0.213181768725692</v>
      </c>
      <c r="EC198" s="21">
        <f>EXP(-LN(2)/2)*EC197+(1-EXP(-LN(2)/2))/(LN(2)/2)*DW198*DZ198*VLOOKUP('Données projet'!$B$14,Paramètres!$A$1:$I$89,3,0)*0.475*44/12</f>
        <v>1.7298158056985793E-24</v>
      </c>
      <c r="ED198" s="22">
        <f t="shared" si="178"/>
        <v>0.87276000469715376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-5.7639226724859328E-14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384.50065773787549</v>
      </c>
      <c r="EP198" s="59">
        <f t="shared" si="210"/>
        <v>231.92898690465887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0.31201028566909661</v>
      </c>
      <c r="EW198" s="21">
        <f>EXP(-LN(2)/25)*EW197+(1-EXP(-LN(2)/25))/(LN(2)/25)*Calculateur!ER198*Calculateur!ET198*VLOOKUP('Données projet'!$B$15,Paramètres!$A$1:$I$89,3,0)*0.475*44/12</f>
        <v>0.1081893041764619</v>
      </c>
      <c r="EX198" s="21">
        <f>EXP(-LN(2)/2)*EX197+(1-EXP(-LN(2)/2))/(LN(2)/2)*ER198*EU198*VLOOKUP('Données projet'!$B$15,Paramètres!$A$1:$I$89,3,0)*0.475*44/12</f>
        <v>1.3986393014516572E-24</v>
      </c>
      <c r="EY198" s="22">
        <f t="shared" si="181"/>
        <v>0.4201995898455585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-1.5429577615577727E-13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326.46362829268969</v>
      </c>
      <c r="FK198" s="59">
        <f t="shared" si="211"/>
        <v>203.5274665601915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0.27840917798165538</v>
      </c>
      <c r="FR198" s="21">
        <f>EXP(-LN(2)/25)*FR197+(1-EXP(-LN(2)/25))/(LN(2)/25)*Calculateur!FM198*Calculateur!FO198*VLOOKUP('Données projet'!$B$16,Paramètres!$A$1:$I$89,3,0)*0.475*44/12</f>
        <v>9.6538148342073443E-2</v>
      </c>
      <c r="FS198" s="21">
        <f>EXP(-LN(2)/2)*FS197+(1-EXP(-LN(2)/2))/(LN(2)/2)*FM198*FP198*VLOOKUP('Données projet'!$B$16,Paramètres!$A$1:$I$89,3,0)*0.475*44/12</f>
        <v>1.248016607449171E-24</v>
      </c>
      <c r="FT198" s="22">
        <f t="shared" si="184"/>
        <v>0.37494732632372885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-1.7053025658242404E-13</v>
      </c>
      <c r="GA198" s="17">
        <f>FZ198*VLOOKUP('Données projet'!$B$17,Paramètres!$A$1:$I$89,3,0)*VLOOKUP('Données projet'!$B$17,Paramètres!$A$1:$I$89,5,0)</f>
        <v>-1.6493686416652052E-13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353.24082990916918</v>
      </c>
      <c r="GF198" s="59">
        <f t="shared" si="212"/>
        <v>219.76562717496353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0.29760981094590744</v>
      </c>
      <c r="GM198" s="21">
        <f>EXP(-LN(2)/25)*GM197+(1-EXP(-LN(2)/25))/(LN(2)/25)*Calculateur!GH198*Calculateur!GJ198*VLOOKUP('Données projet'!$B$17,Paramètres!$A$1:$I$89,3,0)*0.475*44/12</f>
        <v>0.10319595167600981</v>
      </c>
      <c r="GN198" s="21">
        <f>EXP(-LN(2)/2)*GN197+(1-EXP(-LN(2)/2))/(LN(2)/2)*GH198*GK198*VLOOKUP('Données projet'!$B$17,Paramètres!$A$1:$I$89,3,0)*0.475*44/12</f>
        <v>1.3340867183077349E-24</v>
      </c>
      <c r="GO198" s="21">
        <f t="shared" si="187"/>
        <v>0.40080576262191725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378.17323480030268</v>
      </c>
      <c r="T199" s="59">
        <f t="shared" si="204"/>
        <v>471.89239871617241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0.16450698547234674</v>
      </c>
      <c r="AA199" s="21">
        <f>EXP(-LN(2)/25)*AA198+(1-EXP(-LN(2)/25))/(LN(2)/25)*Calculateur!V199*Calculateur!X199*VLOOKUP('Données projet'!$B$9,Paramètres!$A$1:$I$89,3,0)*0.475*44/12</f>
        <v>0.20857070002872063</v>
      </c>
      <c r="AB199" s="21">
        <f>EXP(-LN(2)/2)*AB198+(1-EXP(-LN(2)/2))/(LN(2)/2)*V199*Y199*VLOOKUP('Données projet'!$B$9,Paramètres!$A$1:$I$89,3,0)*0.475*44/12</f>
        <v>1.0815997517539874E-24</v>
      </c>
      <c r="AC199" s="22">
        <f t="shared" si="163"/>
        <v>0.37307768550106735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141.22849894256314</v>
      </c>
      <c r="AO199" s="59">
        <f t="shared" si="205"/>
        <v>156.12101479343704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0.27470083618391089</v>
      </c>
      <c r="AV199" s="21">
        <f>EXP(-LN(2)/25)*AV198+(1-EXP(-LN(2)/25))/(LN(2)/25)*Calculateur!AQ199*Calculateur!AS199*VLOOKUP('Données projet'!$B$10,Paramètres!$A$1:$I$89,3,0)*0.475*44/12</f>
        <v>6.038656947708463E-2</v>
      </c>
      <c r="AW199" s="21">
        <f>EXP(-LN(2)/2)*AW198+(1-EXP(-LN(2)/2))/(LN(2)/2)*AQ199*AT199*VLOOKUP('Données projet'!$B$10,Paramètres!$A$1:$I$89,3,0)*0.475*44/12</f>
        <v>3.0584703608350118E-25</v>
      </c>
      <c r="AX199" s="21">
        <f t="shared" si="166"/>
        <v>0.33508740566099554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114.25511901730295</v>
      </c>
      <c r="BJ199" s="59">
        <f t="shared" si="206"/>
        <v>180.96261947642182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0.12766648915640338</v>
      </c>
      <c r="BQ199" s="21">
        <f>EXP(-LN(2)/25)*BQ198+(1-EXP(-LN(2)/25))/(LN(2)/25)*Calculateur!BL199*Calculateur!BN199*VLOOKUP('Données projet'!$B$11,Paramètres!$A$1:$I$89,3,0)*0.475*44/12</f>
        <v>0.1786287847943801</v>
      </c>
      <c r="BR199" s="21">
        <f>EXP(-LN(2)/2)*BR198+(1-EXP(-LN(2)/2))/(LN(2)/2)*BL199*BO199*VLOOKUP('Données projet'!$B$11,Paramètres!$A$1:$I$89,3,0)*0.475*44/12</f>
        <v>7.0641870941672791E-25</v>
      </c>
      <c r="BS199" s="22">
        <f t="shared" si="169"/>
        <v>0.30629527395078349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4.4337866711430253E-14</v>
      </c>
      <c r="CA199" s="13">
        <f t="shared" si="170"/>
        <v>7.3222115536967035E-13</v>
      </c>
      <c r="CB199" s="20">
        <f t="shared" si="171"/>
        <v>1.3525069634579169E-12</v>
      </c>
      <c r="CC199" s="59">
        <f t="shared" si="195"/>
        <v>293.33333333333468</v>
      </c>
      <c r="CD199" s="59">
        <f ca="1">AVERAGE(OFFSET($CC$3,0,0,'Données projet'!$E$12+1,1))-AVERAGE(OFFSET($H$3,0,0,'Données projet'!$E$12+1,1))</f>
        <v>216.95993967070063</v>
      </c>
      <c r="CE199" s="59">
        <f t="shared" si="207"/>
        <v>208.79744153433245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0.19295887208582532</v>
      </c>
      <c r="CL199" s="21">
        <f>EXP(-LN(2)/25)*CL198+(1-EXP(-LN(2)/25))/(LN(2)/25)*Calculateur!CG199*Calculateur!CI199*VLOOKUP('Données projet'!$B$12,Paramètres!$A$1:$I$89,3,0)*0.475*44/12</f>
        <v>6.4345321776751688E-2</v>
      </c>
      <c r="CM199" s="21">
        <f>EXP(-LN(2)/2)*CM198+(1-EXP(-LN(2)/2))/(LN(2)/2)*CG199*CJ199*VLOOKUP('Données projet'!$B$12,Paramètres!$A$1:$I$89,3,0)*0.475*44/12</f>
        <v>1.2755211449789015E-25</v>
      </c>
      <c r="CN199" s="22">
        <f t="shared" si="172"/>
        <v>0.25730419386257702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3.813056537183002E-14</v>
      </c>
      <c r="CV199" s="13">
        <f t="shared" si="173"/>
        <v>6.4086286045526829E-13</v>
      </c>
      <c r="CW199" s="20">
        <f t="shared" si="174"/>
        <v>1.1825802166488628E-12</v>
      </c>
      <c r="CX199" s="59">
        <f t="shared" si="196"/>
        <v>293.33333333333451</v>
      </c>
      <c r="CY199" s="59">
        <f ca="1">AVERAGE(OFFSET($CX$3,0,0,'Données projet'!$E$13+1,1))-AVERAGE(OFFSET($H$3,0,0,'Données projet'!$E$13+1,1))</f>
        <v>181.32837315090507</v>
      </c>
      <c r="CZ199" s="59">
        <f t="shared" si="208"/>
        <v>175.03267817980338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0.20453640441097459</v>
      </c>
      <c r="DG199" s="21">
        <f>EXP(-LN(2)/25)*DG198+(1-EXP(-LN(2)/25))/(LN(2)/25)*Calculateur!DB199*Calculateur!DD199*VLOOKUP('Données projet'!$B$13,Paramètres!$A$1:$I$89,3,0)*0.475*44/12</f>
        <v>6.8206041083356803E-2</v>
      </c>
      <c r="DH199" s="21">
        <f>EXP(-LN(2)/2)*DH198+(1-EXP(-LN(2)/2))/(LN(2)/2)*DB199*DE199*VLOOKUP('Données projet'!$B$13,Paramètres!$A$1:$I$89,3,0)*0.475*44/12</f>
        <v>1.0969481846818548E-25</v>
      </c>
      <c r="DI199" s="22">
        <f t="shared" si="175"/>
        <v>0.27274244549433141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-2.8421709430404007E-13</v>
      </c>
      <c r="DP199" s="17">
        <f>DO199*VLOOKUP('Données projet'!$B$14,Paramètres!$A$1:$I$89,3,0)*VLOOKUP('Données projet'!$B$14,Paramètres!$A$1:$I$89,5,0)</f>
        <v>-2.2612312022829427E-13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325.72928944930294</v>
      </c>
      <c r="DU199" s="59">
        <f t="shared" si="209"/>
        <v>318.38876834819752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0.64664430906706116</v>
      </c>
      <c r="EB199" s="21">
        <f>EXP(-LN(2)/25)*EB198+(1-EXP(-LN(2)/25))/(LN(2)/25)*Calculateur!DW199*Calculateur!DY199*VLOOKUP('Données projet'!$B$14,Paramètres!$A$1:$I$89,3,0)*0.475*44/12</f>
        <v>0.20735230204914598</v>
      </c>
      <c r="EC199" s="21">
        <f>EXP(-LN(2)/2)*EC198+(1-EXP(-LN(2)/2))/(LN(2)/2)*DW199*DZ199*VLOOKUP('Données projet'!$B$14,Paramètres!$A$1:$I$89,3,0)*0.475*44/12</f>
        <v>1.2231644864131368E-24</v>
      </c>
      <c r="ED199" s="22">
        <f t="shared" si="178"/>
        <v>0.85399661111620717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-5.7639226724859328E-14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384.50065773787549</v>
      </c>
      <c r="EP199" s="59">
        <f t="shared" si="210"/>
        <v>231.92898690465887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0.30589195427460858</v>
      </c>
      <c r="EW199" s="21">
        <f>EXP(-LN(2)/25)*EW198+(1-EXP(-LN(2)/25))/(LN(2)/25)*Calculateur!ER199*Calculateur!ET199*VLOOKUP('Données projet'!$B$15,Paramètres!$A$1:$I$89,3,0)*0.475*44/12</f>
        <v>0.10523086196432831</v>
      </c>
      <c r="EX199" s="21">
        <f>EXP(-LN(2)/2)*EX198+(1-EXP(-LN(2)/2))/(LN(2)/2)*ER199*EU199*VLOOKUP('Données projet'!$B$15,Paramètres!$A$1:$I$89,3,0)*0.475*44/12</f>
        <v>9.8898733449048264E-25</v>
      </c>
      <c r="EY199" s="22">
        <f t="shared" si="181"/>
        <v>0.41112281623893687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-1.5429577615577727E-13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326.46362829268969</v>
      </c>
      <c r="FK199" s="59">
        <f t="shared" si="211"/>
        <v>203.5274665601915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0.27294974381426607</v>
      </c>
      <c r="FR199" s="21">
        <f>EXP(-LN(2)/25)*FR198+(1-EXP(-LN(2)/25))/(LN(2)/25)*Calculateur!FM199*Calculateur!FO199*VLOOKUP('Données projet'!$B$16,Paramètres!$A$1:$I$89,3,0)*0.475*44/12</f>
        <v>9.3898307598938871E-2</v>
      </c>
      <c r="FS199" s="21">
        <f>EXP(-LN(2)/2)*FS198+(1-EXP(-LN(2)/2))/(LN(2)/2)*FM199*FP199*VLOOKUP('Données projet'!$B$16,Paramètres!$A$1:$I$89,3,0)*0.475*44/12</f>
        <v>8.8248100616073832E-25</v>
      </c>
      <c r="FT199" s="22">
        <f t="shared" si="184"/>
        <v>0.36684805141320492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-1.7053025658242404E-13</v>
      </c>
      <c r="GA199" s="17">
        <f>FZ199*VLOOKUP('Données projet'!$B$17,Paramètres!$A$1:$I$89,3,0)*VLOOKUP('Données projet'!$B$17,Paramètres!$A$1:$I$89,5,0)</f>
        <v>-1.6493686416652052E-13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353.24082990916918</v>
      </c>
      <c r="GF199" s="59">
        <f t="shared" si="212"/>
        <v>219.76562717496353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0.29177386407731887</v>
      </c>
      <c r="GM199" s="21">
        <f>EXP(-LN(2)/25)*GM198+(1-EXP(-LN(2)/25))/(LN(2)/25)*Calculateur!GH199*Calculateur!GJ199*VLOOKUP('Données projet'!$B$17,Paramètres!$A$1:$I$89,3,0)*0.475*44/12</f>
        <v>0.10037405295059008</v>
      </c>
      <c r="GN199" s="21">
        <f>EXP(-LN(2)/2)*GN198+(1-EXP(-LN(2)/2))/(LN(2)/2)*GH199*GK199*VLOOKUP('Données projet'!$B$17,Paramètres!$A$1:$I$89,3,0)*0.475*44/12</f>
        <v>9.4334176520630674E-25</v>
      </c>
      <c r="GO199" s="21">
        <f t="shared" si="187"/>
        <v>0.39214791702790897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378.17323480030268</v>
      </c>
      <c r="T200" s="59">
        <f t="shared" si="204"/>
        <v>471.89239871617241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0.16128110382658747</v>
      </c>
      <c r="AA200" s="21">
        <f>EXP(-LN(2)/25)*AA199+(1-EXP(-LN(2)/25))/(LN(2)/25)*Calculateur!V200*Calculateur!X200*VLOOKUP('Données projet'!$B$9,Paramètres!$A$1:$I$89,3,0)*0.475*44/12</f>
        <v>0.20286732326817886</v>
      </c>
      <c r="AB200" s="21">
        <f>EXP(-LN(2)/2)*AB199+(1-EXP(-LN(2)/2))/(LN(2)/2)*V200*Y200*VLOOKUP('Données projet'!$B$9,Paramètres!$A$1:$I$89,3,0)*0.475*44/12</f>
        <v>7.6480651899493094E-25</v>
      </c>
      <c r="AC200" s="22">
        <f t="shared" si="163"/>
        <v>0.36414842709476636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141.22849894256314</v>
      </c>
      <c r="AO200" s="59">
        <f t="shared" si="205"/>
        <v>156.12101479343704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0.26931412033731017</v>
      </c>
      <c r="AV200" s="21">
        <f>EXP(-LN(2)/25)*AV199+(1-EXP(-LN(2)/25))/(LN(2)/25)*Calculateur!AQ200*Calculateur!AS200*VLOOKUP('Données projet'!$B$10,Paramètres!$A$1:$I$89,3,0)*0.475*44/12</f>
        <v>5.873529555914208E-2</v>
      </c>
      <c r="AW200" s="21">
        <f>EXP(-LN(2)/2)*AW199+(1-EXP(-LN(2)/2))/(LN(2)/2)*AQ200*AT200*VLOOKUP('Données projet'!$B$10,Paramètres!$A$1:$I$89,3,0)*0.475*44/12</f>
        <v>2.1626651322045037E-25</v>
      </c>
      <c r="AX200" s="21">
        <f t="shared" si="166"/>
        <v>0.32804941589645226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114.25511901730295</v>
      </c>
      <c r="BJ200" s="59">
        <f t="shared" si="206"/>
        <v>180.96261947642182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0.12516302717291578</v>
      </c>
      <c r="BQ200" s="21">
        <f>EXP(-LN(2)/25)*BQ199+(1-EXP(-LN(2)/25))/(LN(2)/25)*Calculateur!BL200*Calculateur!BN200*VLOOKUP('Données projet'!$B$11,Paramètres!$A$1:$I$89,3,0)*0.475*44/12</f>
        <v>0.17374417128049824</v>
      </c>
      <c r="BR200" s="21">
        <f>EXP(-LN(2)/2)*BR199+(1-EXP(-LN(2)/2))/(LN(2)/2)*BL200*BO200*VLOOKUP('Données projet'!$B$11,Paramètres!$A$1:$I$89,3,0)*0.475*44/12</f>
        <v>4.9951345978561751E-25</v>
      </c>
      <c r="BS200" s="22">
        <f t="shared" si="169"/>
        <v>0.29890719845341401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4.4337866711430253E-14</v>
      </c>
      <c r="CA200" s="13">
        <f t="shared" si="170"/>
        <v>7.3222115536967035E-13</v>
      </c>
      <c r="CB200" s="20">
        <f t="shared" si="171"/>
        <v>1.3525069634579169E-12</v>
      </c>
      <c r="CC200" s="59">
        <f t="shared" si="195"/>
        <v>293.33333333333468</v>
      </c>
      <c r="CD200" s="59">
        <f ca="1">AVERAGE(OFFSET($CC$3,0,0,'Données projet'!$E$12+1,1))-AVERAGE(OFFSET($H$3,0,0,'Données projet'!$E$12+1,1))</f>
        <v>216.95993967070063</v>
      </c>
      <c r="CE200" s="59">
        <f t="shared" si="207"/>
        <v>208.79744153433245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0.18917506629751302</v>
      </c>
      <c r="CL200" s="21">
        <f>EXP(-LN(2)/25)*CL199+(1-EXP(-LN(2)/25))/(LN(2)/25)*Calculateur!CG200*Calculateur!CI200*VLOOKUP('Données projet'!$B$12,Paramètres!$A$1:$I$89,3,0)*0.475*44/12</f>
        <v>6.2585795568993005E-2</v>
      </c>
      <c r="CM200" s="21">
        <f>EXP(-LN(2)/2)*CM199+(1-EXP(-LN(2)/2))/(LN(2)/2)*CG200*CJ200*VLOOKUP('Données projet'!$B$12,Paramètres!$A$1:$I$89,3,0)*0.475*44/12</f>
        <v>9.0192965116141065E-26</v>
      </c>
      <c r="CN200" s="22">
        <f t="shared" si="172"/>
        <v>0.25176086186650604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3.813056537183002E-14</v>
      </c>
      <c r="CV200" s="13">
        <f t="shared" si="173"/>
        <v>6.4086286045526829E-13</v>
      </c>
      <c r="CW200" s="20">
        <f t="shared" si="174"/>
        <v>1.1825802166488628E-12</v>
      </c>
      <c r="CX200" s="59">
        <f t="shared" si="196"/>
        <v>293.33333333333451</v>
      </c>
      <c r="CY200" s="59">
        <f ca="1">AVERAGE(OFFSET($CX$3,0,0,'Données projet'!$E$13+1,1))-AVERAGE(OFFSET($H$3,0,0,'Données projet'!$E$13+1,1))</f>
        <v>181.32837315090507</v>
      </c>
      <c r="CZ200" s="59">
        <f t="shared" si="208"/>
        <v>175.03267817980338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0.20052557027536355</v>
      </c>
      <c r="DG200" s="21">
        <f>EXP(-LN(2)/25)*DG199+(1-EXP(-LN(2)/25))/(LN(2)/25)*Calculateur!DB200*Calculateur!DD200*VLOOKUP('Données projet'!$B$13,Paramètres!$A$1:$I$89,3,0)*0.475*44/12</f>
        <v>6.6340943303132602E-2</v>
      </c>
      <c r="DH200" s="21">
        <f>EXP(-LN(2)/2)*DH199+(1-EXP(-LN(2)/2))/(LN(2)/2)*DB200*DE200*VLOOKUP('Données projet'!$B$13,Paramètres!$A$1:$I$89,3,0)*0.475*44/12</f>
        <v>7.7565949999881283E-26</v>
      </c>
      <c r="DI200" s="22">
        <f t="shared" si="175"/>
        <v>0.26686651357849617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-2.8421709430404007E-13</v>
      </c>
      <c r="DP200" s="17">
        <f>DO200*VLOOKUP('Données projet'!$B$14,Paramètres!$A$1:$I$89,3,0)*VLOOKUP('Données projet'!$B$14,Paramètres!$A$1:$I$89,5,0)</f>
        <v>-2.2612312022829427E-13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325.72928944930294</v>
      </c>
      <c r="DU200" s="59">
        <f t="shared" si="209"/>
        <v>318.38876834819752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0.63396400858033952</v>
      </c>
      <c r="EB200" s="21">
        <f>EXP(-LN(2)/25)*EB199+(1-EXP(-LN(2)/25))/(LN(2)/25)*Calculateur!DW200*Calculateur!DY200*VLOOKUP('Données projet'!$B$14,Paramètres!$A$1:$I$89,3,0)*0.475*44/12</f>
        <v>0.20168224244542843</v>
      </c>
      <c r="EC200" s="21">
        <f>EXP(-LN(2)/2)*EC199+(1-EXP(-LN(2)/2))/(LN(2)/2)*DW200*DZ200*VLOOKUP('Données projet'!$B$14,Paramètres!$A$1:$I$89,3,0)*0.475*44/12</f>
        <v>8.6490790284928964E-25</v>
      </c>
      <c r="ED200" s="22">
        <f t="shared" si="178"/>
        <v>0.83564625102576795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-5.7639226724859328E-14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384.50065773787549</v>
      </c>
      <c r="EP200" s="59">
        <f t="shared" si="210"/>
        <v>231.92898690465887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0.29989359962695278</v>
      </c>
      <c r="EW200" s="21">
        <f>EXP(-LN(2)/25)*EW199+(1-EXP(-LN(2)/25))/(LN(2)/25)*Calculateur!ER200*Calculateur!ET200*VLOOKUP('Données projet'!$B$15,Paramètres!$A$1:$I$89,3,0)*0.475*44/12</f>
        <v>0.10235331851006323</v>
      </c>
      <c r="EX200" s="21">
        <f>EXP(-LN(2)/2)*EX199+(1-EXP(-LN(2)/2))/(LN(2)/2)*ER200*EU200*VLOOKUP('Données projet'!$B$15,Paramètres!$A$1:$I$89,3,0)*0.475*44/12</f>
        <v>6.993196507258286E-25</v>
      </c>
      <c r="EY200" s="22">
        <f t="shared" si="181"/>
        <v>0.40224691813701602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-1.5429577615577727E-13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326.46362829268969</v>
      </c>
      <c r="FK200" s="59">
        <f t="shared" si="211"/>
        <v>203.5274665601915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0.26759736582097321</v>
      </c>
      <c r="FR200" s="21">
        <f>EXP(-LN(2)/25)*FR199+(1-EXP(-LN(2)/25))/(LN(2)/25)*Calculateur!FM200*Calculateur!FO200*VLOOKUP('Données projet'!$B$16,Paramètres!$A$1:$I$89,3,0)*0.475*44/12</f>
        <v>9.1330653439748499E-2</v>
      </c>
      <c r="FS200" s="21">
        <f>EXP(-LN(2)/2)*FS199+(1-EXP(-LN(2)/2))/(LN(2)/2)*FM200*FP200*VLOOKUP('Données projet'!$B$16,Paramètres!$A$1:$I$89,3,0)*0.475*44/12</f>
        <v>6.2400830372458549E-25</v>
      </c>
      <c r="FT200" s="22">
        <f t="shared" si="184"/>
        <v>0.35892801926072171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-1.7053025658242404E-13</v>
      </c>
      <c r="GA200" s="17">
        <f>FZ200*VLOOKUP('Données projet'!$B$17,Paramètres!$A$1:$I$89,3,0)*VLOOKUP('Données projet'!$B$17,Paramètres!$A$1:$I$89,5,0)</f>
        <v>-1.6493686416652052E-13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353.24082990916918</v>
      </c>
      <c r="GF200" s="59">
        <f t="shared" si="212"/>
        <v>219.76562717496353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0.2860523565672472</v>
      </c>
      <c r="GM200" s="21">
        <f>EXP(-LN(2)/25)*GM199+(1-EXP(-LN(2)/25))/(LN(2)/25)*Calculateur!GH200*Calculateur!GJ200*VLOOKUP('Données projet'!$B$17,Paramètres!$A$1:$I$89,3,0)*0.475*44/12</f>
        <v>9.7629319194214165E-2</v>
      </c>
      <c r="GN200" s="21">
        <f>EXP(-LN(2)/2)*GN199+(1-EXP(-LN(2)/2))/(LN(2)/2)*GH200*GK200*VLOOKUP('Données projet'!$B$17,Paramètres!$A$1:$I$89,3,0)*0.475*44/12</f>
        <v>6.6704335915386744E-25</v>
      </c>
      <c r="GO200" s="21">
        <f t="shared" si="187"/>
        <v>0.38368167576146139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378.17323480030268</v>
      </c>
      <c r="T201" s="59">
        <f t="shared" si="204"/>
        <v>471.89239871617241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0.15811847975230803</v>
      </c>
      <c r="AA201" s="21">
        <f>EXP(-LN(2)/25)*AA200+(1-EXP(-LN(2)/25))/(LN(2)/25)*Calculateur!V201*Calculateur!X201*VLOOKUP('Données projet'!$B$9,Paramètres!$A$1:$I$89,3,0)*0.475*44/12</f>
        <v>0.19731990564508164</v>
      </c>
      <c r="AB201" s="21">
        <f>EXP(-LN(2)/2)*AB200+(1-EXP(-LN(2)/2))/(LN(2)/2)*V201*Y201*VLOOKUP('Données projet'!$B$9,Paramètres!$A$1:$I$89,3,0)*0.475*44/12</f>
        <v>5.4079987587699372E-25</v>
      </c>
      <c r="AC201" s="22">
        <f t="shared" si="163"/>
        <v>0.3554383853973897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141.22849894256314</v>
      </c>
      <c r="AO201" s="59">
        <f t="shared" si="205"/>
        <v>156.12101479343704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0.26403303470288908</v>
      </c>
      <c r="AV201" s="21">
        <f>EXP(-LN(2)/25)*AV200+(1-EXP(-LN(2)/25))/(LN(2)/25)*Calculateur!AQ201*Calculateur!AS201*VLOOKUP('Données projet'!$B$10,Paramètres!$A$1:$I$89,3,0)*0.475*44/12</f>
        <v>5.7129175813322386E-2</v>
      </c>
      <c r="AW201" s="21">
        <f>EXP(-LN(2)/2)*AW200+(1-EXP(-LN(2)/2))/(LN(2)/2)*AQ201*AT201*VLOOKUP('Données projet'!$B$10,Paramètres!$A$1:$I$89,3,0)*0.475*44/12</f>
        <v>1.5292351804175059E-25</v>
      </c>
      <c r="AX201" s="21">
        <f t="shared" si="166"/>
        <v>0.32116221051621147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114.25511901730295</v>
      </c>
      <c r="BJ201" s="59">
        <f t="shared" si="206"/>
        <v>180.96261947642182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0.12270865655196334</v>
      </c>
      <c r="BQ201" s="21">
        <f>EXP(-LN(2)/25)*BQ200+(1-EXP(-LN(2)/25))/(LN(2)/25)*Calculateur!BL201*Calculateur!BN201*VLOOKUP('Données projet'!$B$11,Paramètres!$A$1:$I$89,3,0)*0.475*44/12</f>
        <v>0.16899312778002415</v>
      </c>
      <c r="BR201" s="21">
        <f>EXP(-LN(2)/2)*BR200+(1-EXP(-LN(2)/2))/(LN(2)/2)*BL201*BO201*VLOOKUP('Données projet'!$B$11,Paramètres!$A$1:$I$89,3,0)*0.475*44/12</f>
        <v>3.5320935470836395E-25</v>
      </c>
      <c r="BS201" s="22">
        <f t="shared" si="169"/>
        <v>0.29170178433198746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4.4337866711430253E-14</v>
      </c>
      <c r="CA201" s="13">
        <f t="shared" si="170"/>
        <v>7.3222115536967035E-13</v>
      </c>
      <c r="CB201" s="20">
        <f t="shared" si="171"/>
        <v>1.3525069634579169E-12</v>
      </c>
      <c r="CC201" s="59">
        <f t="shared" si="195"/>
        <v>293.33333333333468</v>
      </c>
      <c r="CD201" s="59">
        <f ca="1">AVERAGE(OFFSET($CC$3,0,0,'Données projet'!$E$12+1,1))-AVERAGE(OFFSET($H$3,0,0,'Données projet'!$E$12+1,1))</f>
        <v>216.95993967070063</v>
      </c>
      <c r="CE201" s="59">
        <f t="shared" si="207"/>
        <v>208.79744153433245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0.18546545863281585</v>
      </c>
      <c r="CL201" s="21">
        <f>EXP(-LN(2)/25)*CL200+(1-EXP(-LN(2)/25))/(LN(2)/25)*Calculateur!CG201*Calculateur!CI201*VLOOKUP('Données projet'!$B$12,Paramètres!$A$1:$I$89,3,0)*0.475*44/12</f>
        <v>6.0874383697914945E-2</v>
      </c>
      <c r="CM201" s="21">
        <f>EXP(-LN(2)/2)*CM200+(1-EXP(-LN(2)/2))/(LN(2)/2)*CG201*CJ201*VLOOKUP('Données projet'!$B$12,Paramètres!$A$1:$I$89,3,0)*0.475*44/12</f>
        <v>6.3776057248945073E-26</v>
      </c>
      <c r="CN201" s="22">
        <f t="shared" si="172"/>
        <v>0.24633984233073081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3.813056537183002E-14</v>
      </c>
      <c r="CV201" s="13">
        <f t="shared" si="173"/>
        <v>6.4086286045526829E-13</v>
      </c>
      <c r="CW201" s="20">
        <f t="shared" si="174"/>
        <v>1.1825802166488628E-12</v>
      </c>
      <c r="CX201" s="59">
        <f t="shared" si="196"/>
        <v>293.33333333333451</v>
      </c>
      <c r="CY201" s="59">
        <f ca="1">AVERAGE(OFFSET($CX$3,0,0,'Données projet'!$E$13+1,1))-AVERAGE(OFFSET($H$3,0,0,'Données projet'!$E$13+1,1))</f>
        <v>181.32837315090507</v>
      </c>
      <c r="CZ201" s="59">
        <f t="shared" si="208"/>
        <v>175.03267817980338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0.19659338615078459</v>
      </c>
      <c r="DG201" s="21">
        <f>EXP(-LN(2)/25)*DG200+(1-EXP(-LN(2)/25))/(LN(2)/25)*Calculateur!DB201*Calculateur!DD201*VLOOKUP('Données projet'!$B$13,Paramètres!$A$1:$I$89,3,0)*0.475*44/12</f>
        <v>6.4526846719789852E-2</v>
      </c>
      <c r="DH201" s="21">
        <f>EXP(-LN(2)/2)*DH200+(1-EXP(-LN(2)/2))/(LN(2)/2)*DB201*DE201*VLOOKUP('Données projet'!$B$13,Paramètres!$A$1:$I$89,3,0)*0.475*44/12</f>
        <v>5.484740923409274E-26</v>
      </c>
      <c r="DI201" s="22">
        <f t="shared" si="175"/>
        <v>0.26112023287057445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-2.8421709430404007E-13</v>
      </c>
      <c r="DP201" s="17">
        <f>DO201*VLOOKUP('Données projet'!$B$14,Paramètres!$A$1:$I$89,3,0)*VLOOKUP('Données projet'!$B$14,Paramètres!$A$1:$I$89,5,0)</f>
        <v>-2.2612312022829427E-13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325.72928944930294</v>
      </c>
      <c r="DU201" s="59">
        <f t="shared" si="209"/>
        <v>318.38876834819752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0.62153236105194287</v>
      </c>
      <c r="EB201" s="21">
        <f>EXP(-LN(2)/25)*EB200+(1-EXP(-LN(2)/25))/(LN(2)/25)*Calculateur!DW201*Calculateur!DY201*VLOOKUP('Données projet'!$B$14,Paramètres!$A$1:$I$89,3,0)*0.475*44/12</f>
        <v>0.19616723091975</v>
      </c>
      <c r="EC201" s="21">
        <f>EXP(-LN(2)/2)*EC200+(1-EXP(-LN(2)/2))/(LN(2)/2)*DW201*DZ201*VLOOKUP('Données projet'!$B$14,Paramètres!$A$1:$I$89,3,0)*0.475*44/12</f>
        <v>6.1158224320656838E-25</v>
      </c>
      <c r="ED201" s="22">
        <f t="shared" si="178"/>
        <v>0.81769959197169284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-5.7639226724859328E-14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384.50065773787549</v>
      </c>
      <c r="EP201" s="59">
        <f t="shared" si="210"/>
        <v>231.92898690465887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0.29401286905530244</v>
      </c>
      <c r="EW201" s="21">
        <f>EXP(-LN(2)/25)*EW200+(1-EXP(-LN(2)/25))/(LN(2)/25)*Calculateur!ER201*Calculateur!ET201*VLOOKUP('Données projet'!$B$15,Paramètres!$A$1:$I$89,3,0)*0.475*44/12</f>
        <v>9.9554461632878455E-2</v>
      </c>
      <c r="EX201" s="21">
        <f>EXP(-LN(2)/2)*EX200+(1-EXP(-LN(2)/2))/(LN(2)/2)*ER201*EU201*VLOOKUP('Données projet'!$B$15,Paramètres!$A$1:$I$89,3,0)*0.475*44/12</f>
        <v>4.9449366724524132E-25</v>
      </c>
      <c r="EY201" s="22">
        <f t="shared" si="181"/>
        <v>0.39356733068818089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-1.5429577615577727E-13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326.46362829268969</v>
      </c>
      <c r="FK201" s="59">
        <f t="shared" si="211"/>
        <v>203.5274665601915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0.2623499446955006</v>
      </c>
      <c r="FR201" s="21">
        <f>EXP(-LN(2)/25)*FR200+(1-EXP(-LN(2)/25))/(LN(2)/25)*Calculateur!FM201*Calculateur!FO201*VLOOKUP('Données projet'!$B$16,Paramètres!$A$1:$I$89,3,0)*0.475*44/12</f>
        <v>8.8833211918568245E-2</v>
      </c>
      <c r="FS201" s="21">
        <f>EXP(-LN(2)/2)*FS200+(1-EXP(-LN(2)/2))/(LN(2)/2)*FM201*FP201*VLOOKUP('Données projet'!$B$16,Paramètres!$A$1:$I$89,3,0)*0.475*44/12</f>
        <v>4.4124050308036916E-25</v>
      </c>
      <c r="FT201" s="22">
        <f t="shared" si="184"/>
        <v>0.35118315661406885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-1.7053025658242404E-13</v>
      </c>
      <c r="GA201" s="17">
        <f>FZ201*VLOOKUP('Données projet'!$B$17,Paramètres!$A$1:$I$89,3,0)*VLOOKUP('Données projet'!$B$17,Paramètres!$A$1:$I$89,5,0)</f>
        <v>-1.6493686416652052E-13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353.24082990916918</v>
      </c>
      <c r="GF201" s="59">
        <f t="shared" si="212"/>
        <v>219.76562717496353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0.28044304432967304</v>
      </c>
      <c r="GM201" s="21">
        <f>EXP(-LN(2)/25)*GM200+(1-EXP(-LN(2)/25))/(LN(2)/25)*Calculateur!GH201*Calculateur!GJ201*VLOOKUP('Données projet'!$B$17,Paramètres!$A$1:$I$89,3,0)*0.475*44/12</f>
        <v>9.4959640326745615E-2</v>
      </c>
      <c r="GN201" s="21">
        <f>EXP(-LN(2)/2)*GN200+(1-EXP(-LN(2)/2))/(LN(2)/2)*GH201*GK201*VLOOKUP('Données projet'!$B$17,Paramètres!$A$1:$I$89,3,0)*0.475*44/12</f>
        <v>4.7167088260315337E-25</v>
      </c>
      <c r="GO201" s="21">
        <f t="shared" si="187"/>
        <v>0.37540268465641868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378.17323480030268</v>
      </c>
      <c r="T202" s="59">
        <f t="shared" si="204"/>
        <v>471.89239871617241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0.15501787280711499</v>
      </c>
      <c r="AA202" s="21">
        <f>EXP(-LN(2)/25)*AA201+(1-EXP(-LN(2)/25))/(LN(2)/25)*Calculateur!V202*Calculateur!X202*VLOOKUP('Données projet'!$B$9,Paramètres!$A$1:$I$89,3,0)*0.475*44/12</f>
        <v>0.19192418244861403</v>
      </c>
      <c r="AB202" s="21">
        <f>EXP(-LN(2)/2)*AB201+(1-EXP(-LN(2)/2))/(LN(2)/2)*V202*Y202*VLOOKUP('Données projet'!$B$9,Paramètres!$A$1:$I$89,3,0)*0.475*44/12</f>
        <v>3.8240325949746547E-25</v>
      </c>
      <c r="AC202" s="22">
        <f t="shared" si="163"/>
        <v>0.34694205525572902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141.22849894256314</v>
      </c>
      <c r="AO202" s="59">
        <f t="shared" si="205"/>
        <v>156.12101479343704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0.25885550793661477</v>
      </c>
      <c r="AV202" s="21">
        <f>EXP(-LN(2)/25)*AV201+(1-EXP(-LN(2)/25))/(LN(2)/25)*Calculateur!AQ202*Calculateur!AS202*VLOOKUP('Données projet'!$B$10,Paramètres!$A$1:$I$89,3,0)*0.475*44/12</f>
        <v>5.5566975496414303E-2</v>
      </c>
      <c r="AW202" s="21">
        <f>EXP(-LN(2)/2)*AW201+(1-EXP(-LN(2)/2))/(LN(2)/2)*AQ202*AT202*VLOOKUP('Données projet'!$B$10,Paramètres!$A$1:$I$89,3,0)*0.475*44/12</f>
        <v>1.0813325661022518E-25</v>
      </c>
      <c r="AX202" s="21">
        <f t="shared" si="166"/>
        <v>0.31442248343302909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114.25511901730295</v>
      </c>
      <c r="BJ202" s="59">
        <f t="shared" si="206"/>
        <v>180.96261947642182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0.12030241464186951</v>
      </c>
      <c r="BQ202" s="21">
        <f>EXP(-LN(2)/25)*BQ201+(1-EXP(-LN(2)/25))/(LN(2)/25)*Calculateur!BL202*Calculateur!BN202*VLOOKUP('Données projet'!$B$11,Paramètres!$A$1:$I$89,3,0)*0.475*44/12</f>
        <v>0.16437200181391703</v>
      </c>
      <c r="BR202" s="21">
        <f>EXP(-LN(2)/2)*BR201+(1-EXP(-LN(2)/2))/(LN(2)/2)*BL202*BO202*VLOOKUP('Données projet'!$B$11,Paramètres!$A$1:$I$89,3,0)*0.475*44/12</f>
        <v>2.4975672989280876E-25</v>
      </c>
      <c r="BS202" s="22">
        <f t="shared" si="169"/>
        <v>0.28467441645578656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4.4337866711430253E-14</v>
      </c>
      <c r="CA202" s="13">
        <f t="shared" si="170"/>
        <v>7.3222115536967035E-13</v>
      </c>
      <c r="CB202" s="20">
        <f t="shared" si="171"/>
        <v>1.3525069634579169E-12</v>
      </c>
      <c r="CC202" s="59">
        <f t="shared" si="195"/>
        <v>293.33333333333468</v>
      </c>
      <c r="CD202" s="59">
        <f ca="1">AVERAGE(OFFSET($CC$3,0,0,'Données projet'!$E$12+1,1))-AVERAGE(OFFSET($H$3,0,0,'Données projet'!$E$12+1,1))</f>
        <v>216.95993967070063</v>
      </c>
      <c r="CE202" s="59">
        <f t="shared" si="207"/>
        <v>208.79744153433245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0.18182859411178615</v>
      </c>
      <c r="CL202" s="21">
        <f>EXP(-LN(2)/25)*CL201+(1-EXP(-LN(2)/25))/(LN(2)/25)*Calculateur!CG202*Calculateur!CI202*VLOOKUP('Données projet'!$B$12,Paramètres!$A$1:$I$89,3,0)*0.475*44/12</f>
        <v>5.9209770474450751E-2</v>
      </c>
      <c r="CM202" s="21">
        <f>EXP(-LN(2)/2)*CM201+(1-EXP(-LN(2)/2))/(LN(2)/2)*CG202*CJ202*VLOOKUP('Données projet'!$B$12,Paramètres!$A$1:$I$89,3,0)*0.475*44/12</f>
        <v>4.5096482558070533E-26</v>
      </c>
      <c r="CN202" s="22">
        <f t="shared" si="172"/>
        <v>0.2410383645862369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3.813056537183002E-14</v>
      </c>
      <c r="CV202" s="13">
        <f t="shared" si="173"/>
        <v>6.4086286045526829E-13</v>
      </c>
      <c r="CW202" s="20">
        <f t="shared" si="174"/>
        <v>1.1825802166488628E-12</v>
      </c>
      <c r="CX202" s="59">
        <f t="shared" si="196"/>
        <v>293.33333333333451</v>
      </c>
      <c r="CY202" s="59">
        <f ca="1">AVERAGE(OFFSET($CX$3,0,0,'Données projet'!$E$13+1,1))-AVERAGE(OFFSET($H$3,0,0,'Données projet'!$E$13+1,1))</f>
        <v>181.32837315090507</v>
      </c>
      <c r="CZ202" s="59">
        <f t="shared" si="208"/>
        <v>175.03267817980338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0.19273830975849313</v>
      </c>
      <c r="DG202" s="21">
        <f>EXP(-LN(2)/25)*DG201+(1-EXP(-LN(2)/25))/(LN(2)/25)*Calculateur!DB202*Calculateur!DD202*VLOOKUP('Données projet'!$B$13,Paramètres!$A$1:$I$89,3,0)*0.475*44/12</f>
        <v>6.2762356702917813E-2</v>
      </c>
      <c r="DH202" s="21">
        <f>EXP(-LN(2)/2)*DH201+(1-EXP(-LN(2)/2))/(LN(2)/2)*DB202*DE202*VLOOKUP('Données projet'!$B$13,Paramètres!$A$1:$I$89,3,0)*0.475*44/12</f>
        <v>3.8782974999940642E-26</v>
      </c>
      <c r="DI202" s="22">
        <f t="shared" si="175"/>
        <v>0.25550066646141095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-2.8421709430404007E-13</v>
      </c>
      <c r="DP202" s="17">
        <f>DO202*VLOOKUP('Données projet'!$B$14,Paramètres!$A$1:$I$89,3,0)*VLOOKUP('Données projet'!$B$14,Paramètres!$A$1:$I$89,5,0)</f>
        <v>-2.2612312022829427E-13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325.72928944930294</v>
      </c>
      <c r="DU202" s="59">
        <f t="shared" si="209"/>
        <v>318.38876834819752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0.60934449054902173</v>
      </c>
      <c r="EB202" s="21">
        <f>EXP(-LN(2)/25)*EB201+(1-EXP(-LN(2)/25))/(LN(2)/25)*Calculateur!DW202*Calculateur!DY202*VLOOKUP('Données projet'!$B$14,Paramètres!$A$1:$I$89,3,0)*0.475*44/12</f>
        <v>0.1908030276742631</v>
      </c>
      <c r="EC202" s="21">
        <f>EXP(-LN(2)/2)*EC201+(1-EXP(-LN(2)/2))/(LN(2)/2)*DW202*DZ202*VLOOKUP('Données projet'!$B$14,Paramètres!$A$1:$I$89,3,0)*0.475*44/12</f>
        <v>4.3245395142464482E-25</v>
      </c>
      <c r="ED202" s="22">
        <f t="shared" si="178"/>
        <v>0.80014751822328489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-5.7639226724859328E-14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384.50065773787549</v>
      </c>
      <c r="EP202" s="59">
        <f t="shared" si="210"/>
        <v>231.92898690465887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0.28824745602327068</v>
      </c>
      <c r="EW202" s="21">
        <f>EXP(-LN(2)/25)*EW201+(1-EXP(-LN(2)/25))/(LN(2)/25)*Calculateur!ER202*Calculateur!ET202*VLOOKUP('Données projet'!$B$15,Paramètres!$A$1:$I$89,3,0)*0.475*44/12</f>
        <v>9.6832139644185786E-2</v>
      </c>
      <c r="EX202" s="21">
        <f>EXP(-LN(2)/2)*EX201+(1-EXP(-LN(2)/2))/(LN(2)/2)*ER202*EU202*VLOOKUP('Données projet'!$B$15,Paramètres!$A$1:$I$89,3,0)*0.475*44/12</f>
        <v>3.496598253629143E-25</v>
      </c>
      <c r="EY202" s="22">
        <f t="shared" si="181"/>
        <v>0.38507959566745648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-1.5429577615577727E-13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326.46362829268969</v>
      </c>
      <c r="FK202" s="59">
        <f t="shared" si="211"/>
        <v>203.5274665601915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0.25720542229768767</v>
      </c>
      <c r="FR202" s="21">
        <f>EXP(-LN(2)/25)*FR201+(1-EXP(-LN(2)/25))/(LN(2)/25)*Calculateur!FM202*Calculateur!FO202*VLOOKUP('Données projet'!$B$16,Paramètres!$A$1:$I$89,3,0)*0.475*44/12</f>
        <v>8.640406306711941E-2</v>
      </c>
      <c r="FS202" s="21">
        <f>EXP(-LN(2)/2)*FS201+(1-EXP(-LN(2)/2))/(LN(2)/2)*FM202*FP202*VLOOKUP('Données projet'!$B$16,Paramètres!$A$1:$I$89,3,0)*0.475*44/12</f>
        <v>3.1200415186229275E-25</v>
      </c>
      <c r="FT202" s="22">
        <f t="shared" si="184"/>
        <v>0.34360948536480707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-1.7053025658242404E-13</v>
      </c>
      <c r="GA202" s="17">
        <f>FZ202*VLOOKUP('Données projet'!$B$17,Paramètres!$A$1:$I$89,3,0)*VLOOKUP('Données projet'!$B$17,Paramètres!$A$1:$I$89,5,0)</f>
        <v>-1.6493686416652052E-13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353.24082990916918</v>
      </c>
      <c r="GF202" s="59">
        <f t="shared" si="212"/>
        <v>219.76562717496353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0.27494372728373506</v>
      </c>
      <c r="GM202" s="21">
        <f>EXP(-LN(2)/25)*GM201+(1-EXP(-LN(2)/25))/(LN(2)/25)*Calculateur!GH202*Calculateur!GJ202*VLOOKUP('Données projet'!$B$17,Paramètres!$A$1:$I$89,3,0)*0.475*44/12</f>
        <v>9.2362963968300307E-2</v>
      </c>
      <c r="GN202" s="21">
        <f>EXP(-LN(2)/2)*GN201+(1-EXP(-LN(2)/2))/(LN(2)/2)*GH202*GK202*VLOOKUP('Données projet'!$B$17,Paramètres!$A$1:$I$89,3,0)*0.475*44/12</f>
        <v>3.3352167957693372E-25</v>
      </c>
      <c r="GO202" s="21">
        <f t="shared" si="187"/>
        <v>0.36730669125203536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378.17323480030268</v>
      </c>
      <c r="T203" s="59">
        <f t="shared" si="204"/>
        <v>471.89239871617241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0.15197806687293369</v>
      </c>
      <c r="AA203" s="21">
        <f>EXP(-LN(2)/25)*AA202+(1-EXP(-LN(2)/25))/(LN(2)/25)*Calculateur!V203*Calculateur!X203*VLOOKUP('Données projet'!$B$9,Paramètres!$A$1:$I$89,3,0)*0.475*44/12</f>
        <v>0.18667600558670258</v>
      </c>
      <c r="AB203" s="21">
        <f>EXP(-LN(2)/2)*AB202+(1-EXP(-LN(2)/2))/(LN(2)/2)*V203*Y203*VLOOKUP('Données projet'!$B$9,Paramètres!$A$1:$I$89,3,0)*0.475*44/12</f>
        <v>2.7039993793849686E-25</v>
      </c>
      <c r="AC203" s="22">
        <f t="shared" si="163"/>
        <v>0.3386540724596363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141.22849894256314</v>
      </c>
      <c r="AO203" s="59">
        <f t="shared" si="205"/>
        <v>156.12101479343704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0.25377950931224763</v>
      </c>
      <c r="AV203" s="21">
        <f>EXP(-LN(2)/25)*AV202+(1-EXP(-LN(2)/25))/(LN(2)/25)*Calculateur!AQ203*Calculateur!AS203*VLOOKUP('Données projet'!$B$10,Paramètres!$A$1:$I$89,3,0)*0.475*44/12</f>
        <v>5.4047493629324615E-2</v>
      </c>
      <c r="AW203" s="21">
        <f>EXP(-LN(2)/2)*AW202+(1-EXP(-LN(2)/2))/(LN(2)/2)*AQ203*AT203*VLOOKUP('Données projet'!$B$10,Paramètres!$A$1:$I$89,3,0)*0.475*44/12</f>
        <v>7.6461759020875294E-26</v>
      </c>
      <c r="AX203" s="21">
        <f t="shared" si="166"/>
        <v>0.30782700294157223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114.25511901730295</v>
      </c>
      <c r="BJ203" s="59">
        <f t="shared" si="206"/>
        <v>180.96261947642182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0.11794335766796998</v>
      </c>
      <c r="BQ203" s="21">
        <f>EXP(-LN(2)/25)*BQ202+(1-EXP(-LN(2)/25))/(LN(2)/25)*Calculateur!BL203*Calculateur!BN203*VLOOKUP('Données projet'!$B$11,Paramètres!$A$1:$I$89,3,0)*0.475*44/12</f>
        <v>0.15987724078036758</v>
      </c>
      <c r="BR203" s="21">
        <f>EXP(-LN(2)/2)*BR202+(1-EXP(-LN(2)/2))/(LN(2)/2)*BL203*BO203*VLOOKUP('Données projet'!$B$11,Paramètres!$A$1:$I$89,3,0)*0.475*44/12</f>
        <v>1.7660467735418198E-25</v>
      </c>
      <c r="BS203" s="22">
        <f t="shared" si="169"/>
        <v>0.27782059844833756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4.4337866711430253E-14</v>
      </c>
      <c r="CA203" s="13">
        <f t="shared" si="170"/>
        <v>7.3222115536967035E-13</v>
      </c>
      <c r="CB203" s="20">
        <f t="shared" si="171"/>
        <v>1.3525069634579169E-12</v>
      </c>
      <c r="CC203" s="59">
        <f t="shared" si="195"/>
        <v>293.33333333333468</v>
      </c>
      <c r="CD203" s="59">
        <f ca="1">AVERAGE(OFFSET($CC$3,0,0,'Données projet'!$E$12+1,1))-AVERAGE(OFFSET($H$3,0,0,'Données projet'!$E$12+1,1))</f>
        <v>216.95993967070063</v>
      </c>
      <c r="CE203" s="59">
        <f t="shared" si="207"/>
        <v>208.79744153433245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0.17826304628574552</v>
      </c>
      <c r="CL203" s="21">
        <f>EXP(-LN(2)/25)*CL202+(1-EXP(-LN(2)/25))/(LN(2)/25)*Calculateur!CG203*Calculateur!CI203*VLOOKUP('Données projet'!$B$12,Paramètres!$A$1:$I$89,3,0)*0.475*44/12</f>
        <v>5.7590676187120389E-2</v>
      </c>
      <c r="CM203" s="21">
        <f>EXP(-LN(2)/2)*CM202+(1-EXP(-LN(2)/2))/(LN(2)/2)*CG203*CJ203*VLOOKUP('Données projet'!$B$12,Paramètres!$A$1:$I$89,3,0)*0.475*44/12</f>
        <v>3.1888028624472537E-26</v>
      </c>
      <c r="CN203" s="22">
        <f t="shared" si="172"/>
        <v>0.2358537224728659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3.813056537183002E-14</v>
      </c>
      <c r="CV203" s="13">
        <f t="shared" si="173"/>
        <v>6.4086286045526829E-13</v>
      </c>
      <c r="CW203" s="20">
        <f t="shared" si="174"/>
        <v>1.1825802166488628E-12</v>
      </c>
      <c r="CX203" s="59">
        <f t="shared" si="196"/>
        <v>293.33333333333451</v>
      </c>
      <c r="CY203" s="59">
        <f ca="1">AVERAGE(OFFSET($CX$3,0,0,'Données projet'!$E$13+1,1))-AVERAGE(OFFSET($H$3,0,0,'Données projet'!$E$13+1,1))</f>
        <v>181.32837315090507</v>
      </c>
      <c r="CZ203" s="59">
        <f t="shared" si="208"/>
        <v>175.03267817980338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0.18895882906289008</v>
      </c>
      <c r="DG203" s="21">
        <f>EXP(-LN(2)/25)*DG202+(1-EXP(-LN(2)/25))/(LN(2)/25)*Calculateur!DB203*Calculateur!DD203*VLOOKUP('Données projet'!$B$13,Paramètres!$A$1:$I$89,3,0)*0.475*44/12</f>
        <v>6.1046116758347632E-2</v>
      </c>
      <c r="DH203" s="21">
        <f>EXP(-LN(2)/2)*DH202+(1-EXP(-LN(2)/2))/(LN(2)/2)*DB203*DE203*VLOOKUP('Données projet'!$B$13,Paramètres!$A$1:$I$89,3,0)*0.475*44/12</f>
        <v>2.742370461704637E-26</v>
      </c>
      <c r="DI203" s="22">
        <f t="shared" si="175"/>
        <v>0.25000494582123772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-2.8421709430404007E-13</v>
      </c>
      <c r="DP203" s="17">
        <f>DO203*VLOOKUP('Données projet'!$B$14,Paramètres!$A$1:$I$89,3,0)*VLOOKUP('Données projet'!$B$14,Paramètres!$A$1:$I$89,5,0)</f>
        <v>-2.2612312022829427E-13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325.72928944930294</v>
      </c>
      <c r="DU203" s="59">
        <f t="shared" si="209"/>
        <v>318.38876834819752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0.59739561675279595</v>
      </c>
      <c r="EB203" s="21">
        <f>EXP(-LN(2)/25)*EB202+(1-EXP(-LN(2)/25))/(LN(2)/25)*Calculateur!DW203*Calculateur!DY203*VLOOKUP('Données projet'!$B$14,Paramètres!$A$1:$I$89,3,0)*0.475*44/12</f>
        <v>0.18558550884861524</v>
      </c>
      <c r="EC203" s="21">
        <f>EXP(-LN(2)/2)*EC202+(1-EXP(-LN(2)/2))/(LN(2)/2)*DW203*DZ203*VLOOKUP('Données projet'!$B$14,Paramètres!$A$1:$I$89,3,0)*0.475*44/12</f>
        <v>3.0579112160328419E-25</v>
      </c>
      <c r="ED203" s="22">
        <f t="shared" si="178"/>
        <v>0.7829811256014112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-5.7639226724859328E-14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384.50065773787549</v>
      </c>
      <c r="EP203" s="59">
        <f t="shared" si="210"/>
        <v>231.92898690465887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0.28259509922424236</v>
      </c>
      <c r="EW203" s="21">
        <f>EXP(-LN(2)/25)*EW202+(1-EXP(-LN(2)/25))/(LN(2)/25)*Calculateur!ER203*Calculateur!ET203*VLOOKUP('Données projet'!$B$15,Paramètres!$A$1:$I$89,3,0)*0.475*44/12</f>
        <v>9.4184259693434608E-2</v>
      </c>
      <c r="EX203" s="21">
        <f>EXP(-LN(2)/2)*EX202+(1-EXP(-LN(2)/2))/(LN(2)/2)*ER203*EU203*VLOOKUP('Données projet'!$B$15,Paramètres!$A$1:$I$89,3,0)*0.475*44/12</f>
        <v>2.4724683362262066E-25</v>
      </c>
      <c r="EY203" s="22">
        <f t="shared" si="181"/>
        <v>0.376779358917677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-1.5429577615577727E-13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326.46362829268969</v>
      </c>
      <c r="FK203" s="59">
        <f t="shared" si="211"/>
        <v>203.5274665601915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0.25216178084624702</v>
      </c>
      <c r="FR203" s="21">
        <f>EXP(-LN(2)/25)*FR202+(1-EXP(-LN(2)/25))/(LN(2)/25)*Calculateur!FM203*Calculateur!FO203*VLOOKUP('Données projet'!$B$16,Paramètres!$A$1:$I$89,3,0)*0.475*44/12</f>
        <v>8.4041339418756827E-2</v>
      </c>
      <c r="FS203" s="21">
        <f>EXP(-LN(2)/2)*FS202+(1-EXP(-LN(2)/2))/(LN(2)/2)*FM203*FP203*VLOOKUP('Données projet'!$B$16,Paramètres!$A$1:$I$89,3,0)*0.475*44/12</f>
        <v>2.2062025154018458E-25</v>
      </c>
      <c r="FT203" s="22">
        <f t="shared" si="184"/>
        <v>0.33620312026500387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-1.7053025658242404E-13</v>
      </c>
      <c r="GA203" s="17">
        <f>FZ203*VLOOKUP('Données projet'!$B$17,Paramètres!$A$1:$I$89,3,0)*VLOOKUP('Données projet'!$B$17,Paramètres!$A$1:$I$89,5,0)</f>
        <v>-1.6493686416652052E-13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353.24082990916918</v>
      </c>
      <c r="GF203" s="59">
        <f t="shared" si="212"/>
        <v>219.76562717496353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0.26955224849081577</v>
      </c>
      <c r="GM203" s="21">
        <f>EXP(-LN(2)/25)*GM202+(1-EXP(-LN(2)/25))/(LN(2)/25)*Calculateur!GH203*Calculateur!GJ203*VLOOKUP('Données projet'!$B$17,Paramètres!$A$1:$I$89,3,0)*0.475*44/12</f>
        <v>8.9837293861429954E-2</v>
      </c>
      <c r="GN203" s="21">
        <f>EXP(-LN(2)/2)*GN202+(1-EXP(-LN(2)/2))/(LN(2)/2)*GH203*GK203*VLOOKUP('Données projet'!$B$17,Paramètres!$A$1:$I$89,3,0)*0.475*44/12</f>
        <v>2.3583544130157668E-25</v>
      </c>
      <c r="GO203" s="21">
        <f t="shared" si="187"/>
        <v>0.35938954235224574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1.3076604860118306</v>
      </c>
      <c r="BA205" s="82">
        <f>EXP(LN('Données projet'!B88)/'Données projet'!A88)</f>
        <v>1.2997069632623315</v>
      </c>
      <c r="BV205" s="82">
        <f>EXP(LN('Données projet'!B114)/'Données projet'!A114)</f>
        <v>1.2788040393997409</v>
      </c>
      <c r="CQ205" s="82">
        <f>EXP(LN('Données projet'!B140)/'Données projet'!A140)</f>
        <v>1.2788040393997409</v>
      </c>
      <c r="DL205" s="82">
        <f>EXP(LN('Données projet'!B166)/'Données projet'!A166)</f>
        <v>1.3423796509621049</v>
      </c>
      <c r="EG205" s="82">
        <f>EXP(LN('Données projet'!B192)/'Données projet'!A192)</f>
        <v>1.2392705892426346</v>
      </c>
      <c r="FB205" s="82">
        <f>EXP(LN('Données projet'!B218)/'Données projet'!A218)</f>
        <v>1.2392705892426346</v>
      </c>
      <c r="FW205" s="82">
        <f>EXP(LN('Données projet'!B244)/'Données projet'!A244)</f>
        <v>1.2392705892426346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2.7515650000000003</v>
      </c>
      <c r="C6" s="147">
        <f ca="1">IF(OR('Données projet'!B9="",'Données projet'!C9="",'Données projet'!C9=0%),0,Calculateur!S3)</f>
        <v>378.17323480030268</v>
      </c>
      <c r="D6" s="147">
        <f>IF(OR('Données projet'!B9="",'Données projet'!C9="",'Données projet'!C9=0%),0,Calculateur!T3)</f>
        <v>471.89239871617241</v>
      </c>
      <c r="E6" s="147">
        <f ca="1">MIN(C6,D6)</f>
        <v>378.17323480030268</v>
      </c>
      <c r="F6" s="147">
        <f ca="1">E6*B6</f>
        <v>1040.568236813295</v>
      </c>
      <c r="G6" s="147">
        <f ca="1">F6*(100%-'Données projet'!$C$24)*(100%-'Données projet'!$C$25)*(100%-'Données projet'!$C$26)*(100%-'Données projet'!$C$27)</f>
        <v>936.51141313196558</v>
      </c>
      <c r="H6" s="148">
        <f>IF(OR('Données projet'!B9="",'Données projet'!C9="",'Données projet'!C9=0%),0,AVERAGE(Calculateur!$AC$3:$AC$33)*B6)</f>
        <v>11.968733048261447</v>
      </c>
      <c r="I6" s="149">
        <f>H6*(100%-'Données projet'!$C$24)*(100%-'Données projet'!$C$25)*(100%-'Données projet'!$C$26)*(100%-'Données projet'!$C$27)</f>
        <v>10.771859743435302</v>
      </c>
      <c r="J6" s="150">
        <f>IF(OR('Données projet'!B9="",'Données projet'!C9="",'Données projet'!C9=0%),0,SUM(Calculateur!$V$3:$V$33)*VLOOKUP('Données projet'!$B$9,Paramètres!$A$1:$I$89,9,0)*B6)</f>
        <v>127.78267860000001</v>
      </c>
      <c r="K6" s="151">
        <f>J6*(100%-'Données projet'!$C$24)*(100%-'Données projet'!$C$25)*(100%-'Données projet'!$C$26)*(100%-'Données projet'!$C$27)</f>
        <v>115.00441074000001</v>
      </c>
      <c r="L6" s="152">
        <f ca="1">G6+I6+K6</f>
        <v>1062.287683615401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maritime</v>
      </c>
      <c r="B7" s="154">
        <f>'Données projet'!D10</f>
        <v>0.8650000000000001</v>
      </c>
      <c r="C7" s="147">
        <f ca="1">IF(OR('Données projet'!B10="",'Données projet'!C10="",'Données projet'!C10=0%),0,Calculateur!AN3)</f>
        <v>141.22849894256314</v>
      </c>
      <c r="D7" s="147">
        <f>IF(OR('Données projet'!B10="",'Données projet'!C10="",'Données projet'!C10=0%),0,Calculateur!AO3)</f>
        <v>156.12101479343704</v>
      </c>
      <c r="E7" s="147">
        <f t="shared" ref="E7:E15" ca="1" si="0">MIN(C7,D7)</f>
        <v>141.22849894256314</v>
      </c>
      <c r="F7" s="147">
        <f t="shared" ref="F7:F15" ca="1" si="1">E7*B7</f>
        <v>122.16265158531712</v>
      </c>
      <c r="G7" s="147">
        <f ca="1">F7*(100%-'Données projet'!$C$24)*(100%-'Données projet'!$C$25)*(100%-'Données projet'!$C$26)*(100%-'Données projet'!$C$27)</f>
        <v>109.94638642678541</v>
      </c>
      <c r="H7" s="155">
        <f>IF(OR('Données projet'!B10="",'Données projet'!C10="",'Données projet'!C10=0%),0,AVERAGE(Calculateur!$AX$3:$AX$33)*B7)</f>
        <v>3.9509488817867107</v>
      </c>
      <c r="I7" s="149">
        <f>H7*(100%-'Données projet'!$C$24)*(100%-'Données projet'!$C$25)*(100%-'Données projet'!$C$26)*(100%-'Données projet'!$C$27)</f>
        <v>3.5558539936080398</v>
      </c>
      <c r="J7" s="150">
        <f>IF(OR('Données projet'!B10="",'Données projet'!C10="",'Données projet'!C10=0%),0,SUM(Calculateur!$AQ$3:$AQ$33)*VLOOKUP('Données projet'!$B$10,Paramètres!$A$1:$I$89,9,0)*B7)</f>
        <v>33.172750000000008</v>
      </c>
      <c r="K7" s="151">
        <f>J7*(100%-'Données projet'!$C$24)*(100%-'Données projet'!$C$25)*(100%-'Données projet'!$C$26)*(100%-'Données projet'!$C$27)</f>
        <v>29.855475000000009</v>
      </c>
      <c r="L7" s="152">
        <f t="shared" ref="L7:L15" ca="1" si="2">G7+I7+K7</f>
        <v>143.35771542039345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Séquoia toujours vert</v>
      </c>
      <c r="B8" s="154">
        <f>'Données projet'!D11</f>
        <v>0.8650000000000001</v>
      </c>
      <c r="C8" s="147">
        <f ca="1">IF(OR('Données projet'!B11="",'Données projet'!C11="",'Données projet'!C11=0%),0,Calculateur!BI3)</f>
        <v>114.25511901730295</v>
      </c>
      <c r="D8" s="147">
        <f>IF(OR('Données projet'!B11="",'Données projet'!C11="",'Données projet'!C11=0%),0,Calculateur!BJ3)</f>
        <v>180.96261947642182</v>
      </c>
      <c r="E8" s="147">
        <f t="shared" ca="1" si="0"/>
        <v>114.25511901730295</v>
      </c>
      <c r="F8" s="147">
        <f t="shared" ca="1" si="1"/>
        <v>98.830677949967054</v>
      </c>
      <c r="G8" s="147">
        <f ca="1">F8*(100%-'Données projet'!$C$24)*(100%-'Données projet'!$C$25)*(100%-'Données projet'!$C$26)*(100%-'Données projet'!$C$27)</f>
        <v>88.947610154970349</v>
      </c>
      <c r="H8" s="155">
        <f>IF(OR('Données projet'!B11="",'Données projet'!C11="",'Données projet'!C11=0%),0,AVERAGE(Calculateur!$BS$3:$BS$33)*B8)</f>
        <v>4.8606927857075517</v>
      </c>
      <c r="I8" s="149">
        <f>H8*(100%-'Données projet'!$C$24)*(100%-'Données projet'!$C$25)*(100%-'Données projet'!$C$26)*(100%-'Données projet'!$C$27)</f>
        <v>4.3746235071367963</v>
      </c>
      <c r="J8" s="150">
        <f>IF(OR('Données projet'!B11="",'Données projet'!C11="",'Données projet'!C11=0%),0,SUM(Calculateur!$BL$3:$BL$33)*VLOOKUP('Données projet'!$B$11,Paramètres!$A$1:$I$89,9,0)*B8)</f>
        <v>47.609600000000007</v>
      </c>
      <c r="K8" s="151">
        <f>J8*(100%-'Données projet'!$C$24)*(100%-'Données projet'!$C$25)*(100%-'Données projet'!$C$26)*(100%-'Données projet'!$C$27)</f>
        <v>42.84864000000001</v>
      </c>
      <c r="L8" s="152">
        <f t="shared" ca="1" si="2"/>
        <v>136.17087366210717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Merisier</v>
      </c>
      <c r="B9" s="154">
        <f>'Données projet'!D12</f>
        <v>0.17300000000000001</v>
      </c>
      <c r="C9" s="147">
        <f ca="1">IF(OR('Données projet'!B12="",'Données projet'!C12="",'Données projet'!C12=0%),0,Calculateur!CD3)</f>
        <v>216.95993967070063</v>
      </c>
      <c r="D9" s="147">
        <f>IF(OR('Données projet'!B12="",'Données projet'!C12="",'Données projet'!C12=0%),0,Calculateur!CE3)</f>
        <v>208.79744153433245</v>
      </c>
      <c r="E9" s="147">
        <f t="shared" ca="1" si="0"/>
        <v>208.79744153433245</v>
      </c>
      <c r="F9" s="147">
        <f t="shared" ca="1" si="1"/>
        <v>36.121957385439515</v>
      </c>
      <c r="G9" s="147">
        <f ca="1">F9*(100%-'Données projet'!$C$24)*(100%-'Données projet'!$C$25)*(100%-'Données projet'!$C$26)*(100%-'Données projet'!$C$27)</f>
        <v>32.509761646895562</v>
      </c>
      <c r="H9" s="155">
        <f>IF(OR('Données projet'!B12="",'Données projet'!C12="",'Données projet'!C12=0%),0,AVERAGE(Calculateur!$CN$3:$CN$33)*B9)</f>
        <v>0.83431414226536671</v>
      </c>
      <c r="I9" s="149">
        <f>H9*(100%-'Données projet'!$C$24)*(100%-'Données projet'!$C$25)*(100%-'Données projet'!$C$26)*(100%-'Données projet'!$C$27)</f>
        <v>0.75088272803883005</v>
      </c>
      <c r="J9" s="150">
        <f>IF(OR('Données projet'!B12="",'Données projet'!C12="",'Données projet'!C12=0%),0,SUM(Calculateur!$CG$3:$CG$33)*VLOOKUP('Données projet'!$B$12,Paramètres!$A$1:$I$89,9,0)*B9)</f>
        <v>2.3787500000000001</v>
      </c>
      <c r="K9" s="151">
        <f>J9*(100%-'Données projet'!$C$24)*(100%-'Données projet'!$C$25)*(100%-'Données projet'!$C$26)*(100%-'Données projet'!$C$27)</f>
        <v>2.1408750000000003</v>
      </c>
      <c r="L9" s="152">
        <f t="shared" ca="1" si="2"/>
        <v>35.401519374934395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Tilleul</v>
      </c>
      <c r="B10" s="154">
        <f>'Données projet'!D13</f>
        <v>0.17300000000000001</v>
      </c>
      <c r="C10" s="147">
        <f ca="1">IF(OR('Données projet'!B13="",'Données projet'!C13="",'Données projet'!C13=0%),0,Calculateur!CY3)</f>
        <v>181.32837315090507</v>
      </c>
      <c r="D10" s="147">
        <f>IF(OR('Données projet'!B13="",'Données projet'!C13="",'Données projet'!C13=0%),0,Calculateur!CZ3)</f>
        <v>175.03267817980338</v>
      </c>
      <c r="E10" s="147">
        <f t="shared" ca="1" si="0"/>
        <v>175.03267817980338</v>
      </c>
      <c r="F10" s="147">
        <f t="shared" ca="1" si="1"/>
        <v>30.280653325105988</v>
      </c>
      <c r="G10" s="147">
        <f ca="1">F10*(100%-'Données projet'!$C$24)*(100%-'Données projet'!$C$25)*(100%-'Données projet'!$C$26)*(100%-'Données projet'!$C$27)</f>
        <v>27.252587992595391</v>
      </c>
      <c r="H10" s="155">
        <f>IF(OR('Données projet'!B13="",'Données projet'!C13="",'Données projet'!C13=0%),0,AVERAGE(Calculateur!$DI$3:$DI$33)*B10)</f>
        <v>0.83889890370623199</v>
      </c>
      <c r="I10" s="149">
        <f>H10*(100%-'Données projet'!$C$24)*(100%-'Données projet'!$C$25)*(100%-'Données projet'!$C$26)*(100%-'Données projet'!$C$27)</f>
        <v>0.75500901333560877</v>
      </c>
      <c r="J10" s="150">
        <f>IF(OR('Données projet'!B13="",'Données projet'!C13="",'Données projet'!C13=0%),0,SUM(Calculateur!$DB$3:$DB$33)*VLOOKUP('Données projet'!$B$13,Paramètres!$A$1:$I$89,9,0)*B10)</f>
        <v>2.3787500000000001</v>
      </c>
      <c r="K10" s="151">
        <f>J10*(100%-'Données projet'!$C$24)*(100%-'Données projet'!$C$25)*(100%-'Données projet'!$C$26)*(100%-'Données projet'!$C$27)</f>
        <v>2.1408750000000003</v>
      </c>
      <c r="L10" s="152">
        <f t="shared" ca="1" si="2"/>
        <v>30.148472005931001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Erable sycomore</v>
      </c>
      <c r="B11" s="154">
        <f>'Données projet'!D14</f>
        <v>0.17300000000000001</v>
      </c>
      <c r="C11" s="147">
        <f ca="1">IF(OR('Données projet'!B14="",'Données projet'!C14="",'Données projet'!C14=0%),0,Calculateur!DT3)</f>
        <v>325.72928944930294</v>
      </c>
      <c r="D11" s="147">
        <f>IF(OR('Données projet'!B14="",'Données projet'!C14="",'Données projet'!C14=0%),0,Calculateur!DU3)</f>
        <v>318.38876834819752</v>
      </c>
      <c r="E11" s="147">
        <f t="shared" ca="1" si="0"/>
        <v>318.38876834819752</v>
      </c>
      <c r="F11" s="147">
        <f t="shared" ca="1" si="1"/>
        <v>55.081256924238176</v>
      </c>
      <c r="G11" s="147">
        <f ca="1">F11*(100%-'Données projet'!$C$24)*(100%-'Données projet'!$C$25)*(100%-'Données projet'!$C$26)*(100%-'Données projet'!$C$27)</f>
        <v>49.573131231814358</v>
      </c>
      <c r="H11" s="155">
        <f>IF(OR('Données projet'!B14="",'Données projet'!C14="",'Données projet'!C14=0%),0,AVERAGE(Calculateur!$ED$3:$ED$33)*B11)</f>
        <v>2.6025427935740306</v>
      </c>
      <c r="I11" s="149">
        <f>H11*(100%-'Données projet'!$C$24)*(100%-'Données projet'!$C$25)*(100%-'Données projet'!$C$26)*(100%-'Données projet'!$C$27)</f>
        <v>2.3422885142166274</v>
      </c>
      <c r="J11" s="150">
        <f>IF(OR('Données projet'!B14="",'Données projet'!C14="",'Données projet'!C14=0%),0,SUM(Calculateur!$DW$3:$DW$33)*VLOOKUP('Données projet'!$B$14,Paramètres!$A$1:$I$89,9,0)*B11)</f>
        <v>7.5687500000000005</v>
      </c>
      <c r="K11" s="151">
        <f>J11*(100%-'Données projet'!$C$24)*(100%-'Données projet'!$C$25)*(100%-'Données projet'!$C$26)*(100%-'Données projet'!$C$27)</f>
        <v>6.8118750000000006</v>
      </c>
      <c r="L11" s="152">
        <f t="shared" ca="1" si="2"/>
        <v>58.727294746030985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 pubescent</v>
      </c>
      <c r="B12" s="154">
        <f>'Données projet'!D15</f>
        <v>1.7300000000000002</v>
      </c>
      <c r="C12" s="147">
        <f ca="1">IF(OR('Données projet'!B15="",'Données projet'!C15="",'Données projet'!C15=0%),0,Calculateur!EO3)</f>
        <v>384.50065773787549</v>
      </c>
      <c r="D12" s="147">
        <f>IF(OR('Données projet'!B15="",'Données projet'!C15="",'Données projet'!C15=0%),0,Calculateur!EP3)</f>
        <v>231.92898690465887</v>
      </c>
      <c r="E12" s="147">
        <f t="shared" ca="1" si="0"/>
        <v>231.92898690465887</v>
      </c>
      <c r="F12" s="147">
        <f t="shared" ca="1" si="1"/>
        <v>401.2371473450599</v>
      </c>
      <c r="G12" s="147">
        <f ca="1">F12*(100%-'Données projet'!$C$24)*(100%-'Données projet'!$C$25)*(100%-'Données projet'!$C$26)*(100%-'Données projet'!$C$27)</f>
        <v>361.1134326105539</v>
      </c>
      <c r="H12" s="155">
        <f>IF(OR('Données projet'!B15="",'Données projet'!C15="",'Données projet'!C15=0%),0,AVERAGE(Calculateur!$EY$3:$EY$33)*B12)</f>
        <v>6.5602001763972924</v>
      </c>
      <c r="I12" s="149">
        <f>H12*(100%-'Données projet'!$C$24)*(100%-'Données projet'!$C$25)*(100%-'Données projet'!$C$26)*(100%-'Données projet'!$C$27)</f>
        <v>5.9041801587575629</v>
      </c>
      <c r="J12" s="150">
        <f>IF(OR('Données projet'!B15="",'Données projet'!C15="",'Données projet'!C15=0%),0,SUM(Calculateur!$ER$3:$ER$33)*VLOOKUP('Données projet'!$B$15,Paramètres!$A$1:$I$89,9,0)*B12)</f>
        <v>26.815000000000005</v>
      </c>
      <c r="K12" s="151">
        <f>J12*(100%-'Données projet'!$C$24)*(100%-'Données projet'!$C$25)*(100%-'Données projet'!$C$26)*(100%-'Données projet'!$C$27)</f>
        <v>24.133500000000005</v>
      </c>
      <c r="L12" s="152">
        <f t="shared" ca="1" si="2"/>
        <v>391.15111276931151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Chêne sessile</v>
      </c>
      <c r="B13" s="154">
        <f>'Données projet'!D16</f>
        <v>1.7300000000000002</v>
      </c>
      <c r="C13" s="147">
        <f ca="1">IF(OR('Données projet'!B16="",'Données projet'!C16="",'Données projet'!C16=0%),0,Calculateur!FJ3)</f>
        <v>326.46362829268969</v>
      </c>
      <c r="D13" s="147">
        <f>IF(OR('Données projet'!B16="",'Données projet'!C16="",'Données projet'!C16=0%),0,Calculateur!FK3)</f>
        <v>203.5274665601915</v>
      </c>
      <c r="E13" s="147">
        <f t="shared" ca="1" si="0"/>
        <v>203.5274665601915</v>
      </c>
      <c r="F13" s="147">
        <f t="shared" ca="1" si="1"/>
        <v>352.10251714913136</v>
      </c>
      <c r="G13" s="147">
        <f ca="1">F13*(100%-'Données projet'!$C$24)*(100%-'Données projet'!$C$25)*(100%-'Données projet'!$C$26)*(100%-'Données projet'!$C$27)</f>
        <v>316.89226543421825</v>
      </c>
      <c r="H13" s="155">
        <f>IF(OR('Données projet'!B16="",'Données projet'!C16="",'Données projet'!C16=0%),0,AVERAGE(Calculateur!$FT$3:$FT$33)*B13)</f>
        <v>5.8537170804775824</v>
      </c>
      <c r="I13" s="149">
        <f>H13*(100%-'Données projet'!$C$24)*(100%-'Données projet'!$C$25)*(100%-'Données projet'!$C$26)*(100%-'Données projet'!$C$27)</f>
        <v>5.2683453724298239</v>
      </c>
      <c r="J13" s="150">
        <f>IF(OR('Données projet'!C16="",'Données projet'!C16=0%),0,SUM(Calculateur!$FM$3:$FM$33)*VLOOKUP('Données projet'!$B$16,Paramètres!$A$1:$I$89,9,0)*B13)</f>
        <v>26.815000000000005</v>
      </c>
      <c r="K13" s="151">
        <f>J13*(100%-'Données projet'!$C$24)*(100%-'Données projet'!$C$25)*(100%-'Données projet'!$C$26)*(100%-'Données projet'!$C$27)</f>
        <v>24.133500000000005</v>
      </c>
      <c r="L13" s="152">
        <f t="shared" ca="1" si="2"/>
        <v>346.29411080664812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Alisier torminal</v>
      </c>
      <c r="B14" s="154">
        <f>'Données projet'!D17</f>
        <v>0.17300000000000001</v>
      </c>
      <c r="C14" s="147">
        <f ca="1">IF(OR('Données projet'!B17="",'Données projet'!C17="",'Données projet'!C17=0%),0,Calculateur!GE3)</f>
        <v>353.24082990916918</v>
      </c>
      <c r="D14" s="147">
        <f>IF(OR('Données projet'!B17="",'Données projet'!C17="",'Données projet'!C17=0%),0,Calculateur!GF3)</f>
        <v>219.76562717496353</v>
      </c>
      <c r="E14" s="147">
        <f t="shared" ca="1" si="0"/>
        <v>219.76562717496353</v>
      </c>
      <c r="F14" s="147">
        <f t="shared" ca="1" si="1"/>
        <v>38.019453501268693</v>
      </c>
      <c r="G14" s="147">
        <f ca="1">F14*(100%-'Données projet'!$C$24)*(100%-'Données projet'!$C$25)*(100%-'Données projet'!$C$26)*(100%-'Données projet'!$C$27)</f>
        <v>34.217508151141821</v>
      </c>
      <c r="H14" s="155">
        <f>IF(OR('Données projet'!B17="",'Données projet'!C17="",'Données projet'!C17=0%),0,AVERAGE(Calculateur!$GO$3:$GO$33)*B14)</f>
        <v>0.62574217067174176</v>
      </c>
      <c r="I14" s="149">
        <f>H14*(100%-'Données projet'!$C$24)*(100%-'Données projet'!$C$25)*(100%-'Données projet'!$C$26)*(100%-'Données projet'!$C$27)</f>
        <v>0.56316795360456762</v>
      </c>
      <c r="J14" s="150">
        <f>IF(OR('Données projet'!B17="",'Données projet'!C17="",'Données projet'!C17=0%),0,SUM(Calculateur!$GH$3:$GH$33)*VLOOKUP('Données projet'!$B$17,Paramètres!$A$1:$I$89,9,0)*B14)</f>
        <v>2.6815000000000002</v>
      </c>
      <c r="K14" s="151">
        <f>J14*(100%-'Données projet'!$C$24)*(100%-'Données projet'!$C$25)*(100%-'Données projet'!$C$26)*(100%-'Données projet'!$C$27)</f>
        <v>2.4133500000000003</v>
      </c>
      <c r="L14" s="152">
        <f t="shared" ca="1" si="2"/>
        <v>37.194026104746392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2174.4045519788228</v>
      </c>
      <c r="G16" s="166">
        <f t="shared" ca="1" si="3"/>
        <v>1956.9640967809407</v>
      </c>
      <c r="H16" s="167">
        <f t="shared" si="3"/>
        <v>38.095789982847954</v>
      </c>
      <c r="I16" s="167">
        <f t="shared" si="3"/>
        <v>34.286210984563162</v>
      </c>
      <c r="J16" s="168">
        <f t="shared" si="3"/>
        <v>277.20277860000004</v>
      </c>
      <c r="K16" s="168">
        <f t="shared" si="3"/>
        <v>249.48250074000001</v>
      </c>
      <c r="L16" s="169">
        <f t="shared" ca="1" si="3"/>
        <v>2240.7328085055037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Séquoia toujours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Erable sycomore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Chêne sessile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Alisier torminal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W24" sqref="W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2818.0490334361448</v>
      </c>
      <c r="U10" s="178">
        <f>'Données projet'!D9</f>
        <v>2.7515650000000003</v>
      </c>
      <c r="V10" s="177">
        <f>U10*T10</f>
        <v>7754.0450886867266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20.80417294021413</v>
      </c>
      <c r="U11" s="178">
        <f>'Données projet'!D10</f>
        <v>0.8650000000000001</v>
      </c>
      <c r="V11" s="177">
        <f t="shared" ref="V11" si="0">U11*T11</f>
        <v>17.995609593285224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Séquoia toujours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969.05089637160063</v>
      </c>
      <c r="U12" s="178">
        <f>'Données projet'!D11</f>
        <v>0.8650000000000001</v>
      </c>
      <c r="V12" s="177">
        <f t="shared" ref="V12:V19" si="1">U12*T12</f>
        <v>838.22902536143465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-1251.6501303062364</v>
      </c>
      <c r="U13" s="178">
        <f>'Données projet'!D12</f>
        <v>0.17300000000000001</v>
      </c>
      <c r="V13" s="177">
        <f t="shared" si="1"/>
        <v>-216.53547254297891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Tilleul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-1359.6501303062369</v>
      </c>
      <c r="U14" s="178">
        <f>'Données projet'!D13</f>
        <v>0.17300000000000001</v>
      </c>
      <c r="V14" s="177">
        <f t="shared" si="1"/>
        <v>-235.21947254297899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sycomore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-430.99613237507191</v>
      </c>
      <c r="U15" s="178">
        <f>'Données projet'!D14</f>
        <v>0.17300000000000001</v>
      </c>
      <c r="V15" s="177">
        <f t="shared" si="1"/>
        <v>-74.562330900887446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90</v>
      </c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-2265.8187788207129</v>
      </c>
      <c r="U16" s="178">
        <f>'Données projet'!D15</f>
        <v>1.7300000000000002</v>
      </c>
      <c r="V16" s="177">
        <f t="shared" si="1"/>
        <v>-3919.8664873598336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(0.62+0.69)*1200</f>
        <v>1572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89.999999999999915</v>
      </c>
      <c r="O17" s="23"/>
      <c r="P17" s="23"/>
      <c r="Q17" s="234"/>
      <c r="R17" s="23"/>
      <c r="S17" s="36" t="str">
        <f>B231</f>
        <v>Chêne sessile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-1500.2934414641945</v>
      </c>
      <c r="U17" s="178">
        <f>'Données projet'!D16</f>
        <v>1.7300000000000002</v>
      </c>
      <c r="V17" s="177">
        <f t="shared" si="1"/>
        <v>-2595.5076537330569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>Alisier torminal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-3298.1637581805139</v>
      </c>
      <c r="U18" s="178">
        <f>'Données projet'!D17</f>
        <v>0.17300000000000001</v>
      </c>
      <c r="V18" s="177">
        <f t="shared" si="1"/>
        <v>-570.582330165229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899.99999999999909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1400+((4560+3504+8160+3900+870+700)/8.65)</f>
        <v>3907.9768786127165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4</v>
      </c>
      <c r="I23" s="191">
        <v>700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-46724.064624732695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54</v>
      </c>
      <c r="C24" s="191">
        <v>1.95</v>
      </c>
      <c r="D24" s="182">
        <f t="shared" ref="D24:D42" si="2">B24*C24</f>
        <v>105.3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148.18098477345728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54</v>
      </c>
      <c r="C25" s="191">
        <v>1.95</v>
      </c>
      <c r="D25" s="182">
        <f t="shared" si="2"/>
        <v>105.3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-46872.24560950615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69</v>
      </c>
      <c r="C26" s="191">
        <v>4.4800000000000004</v>
      </c>
      <c r="D26" s="182">
        <f t="shared" si="2"/>
        <v>309.12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72</v>
      </c>
      <c r="C27" s="191">
        <v>4.4800000000000004</v>
      </c>
      <c r="D27" s="182">
        <f t="shared" si="2"/>
        <v>322.56000000000006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66</v>
      </c>
      <c r="C28" s="191">
        <v>32.799999999999997</v>
      </c>
      <c r="D28" s="182">
        <f t="shared" si="2"/>
        <v>2164.7999999999997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48</v>
      </c>
      <c r="C29" s="191">
        <v>32.799999999999997</v>
      </c>
      <c r="D29" s="182">
        <f t="shared" si="2"/>
        <v>1574.3999999999999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35</v>
      </c>
      <c r="C30" s="191">
        <v>55.11</v>
      </c>
      <c r="D30" s="182">
        <f t="shared" si="2"/>
        <v>1928.85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666</v>
      </c>
      <c r="C31" s="191">
        <v>75</v>
      </c>
      <c r="D31" s="182">
        <f t="shared" si="2"/>
        <v>49950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(0.34+0.69)*1200</f>
        <v>1236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16</v>
      </c>
      <c r="B55" s="181">
        <f>'Données projet'!D63</f>
        <v>8</v>
      </c>
      <c r="C55" s="191">
        <v>1.95</v>
      </c>
      <c r="D55" s="179">
        <f t="shared" ref="D55:D73" si="4">B55*C55</f>
        <v>15.6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14</v>
      </c>
      <c r="C56" s="191">
        <v>1.95</v>
      </c>
      <c r="D56" s="179">
        <f t="shared" si="4"/>
        <v>27.3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24</v>
      </c>
      <c r="B57" s="181">
        <f>'Données projet'!D65</f>
        <v>20</v>
      </c>
      <c r="C57" s="191">
        <v>4.4800000000000004</v>
      </c>
      <c r="D57" s="179">
        <f t="shared" si="4"/>
        <v>89.600000000000009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28</v>
      </c>
      <c r="B58" s="181">
        <f>'Données projet'!D66</f>
        <v>23</v>
      </c>
      <c r="C58" s="191">
        <v>4.4800000000000004</v>
      </c>
      <c r="D58" s="179">
        <f t="shared" si="4"/>
        <v>103.04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34</v>
      </c>
      <c r="B59" s="181">
        <f>'Données projet'!D67</f>
        <v>38</v>
      </c>
      <c r="C59" s="191">
        <v>4.8</v>
      </c>
      <c r="D59" s="179">
        <f t="shared" si="4"/>
        <v>182.4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40</v>
      </c>
      <c r="B60" s="181">
        <f>'Données projet'!D68</f>
        <v>31</v>
      </c>
      <c r="C60" s="191">
        <v>4.8</v>
      </c>
      <c r="D60" s="179">
        <f t="shared" si="4"/>
        <v>148.79999999999998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46</v>
      </c>
      <c r="B61" s="181">
        <f>'Données projet'!D69</f>
        <v>23</v>
      </c>
      <c r="C61" s="191">
        <v>27</v>
      </c>
      <c r="D61" s="179">
        <f t="shared" si="4"/>
        <v>621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54</v>
      </c>
      <c r="B62" s="181">
        <f>'Données projet'!D70</f>
        <v>22</v>
      </c>
      <c r="C62" s="191">
        <v>45</v>
      </c>
      <c r="D62" s="179">
        <f t="shared" si="4"/>
        <v>990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62</v>
      </c>
      <c r="B63" s="181">
        <f>'Données projet'!D71</f>
        <v>241</v>
      </c>
      <c r="C63" s="191">
        <v>60</v>
      </c>
      <c r="D63" s="179">
        <f t="shared" si="4"/>
        <v>14460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Séquoia toujours vert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(0.89+0.69)*1200</f>
        <v>1896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18</v>
      </c>
      <c r="B85" s="181">
        <f>'Données projet'!D88</f>
        <v>20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21</v>
      </c>
      <c r="B86" s="181">
        <f>'Données projet'!D89</f>
        <v>26</v>
      </c>
      <c r="C86" s="191">
        <v>2</v>
      </c>
      <c r="D86" s="179">
        <f t="shared" ref="D86:D104" si="6">B86*C86</f>
        <v>52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24</v>
      </c>
      <c r="B87" s="181">
        <f>'Données projet'!D90</f>
        <v>29</v>
      </c>
      <c r="C87" s="191">
        <v>4</v>
      </c>
      <c r="D87" s="179">
        <f t="shared" si="6"/>
        <v>116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53</v>
      </c>
      <c r="C88" s="191">
        <v>27</v>
      </c>
      <c r="D88" s="179">
        <f t="shared" si="6"/>
        <v>1431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36</v>
      </c>
      <c r="B89" s="181">
        <f>'Données projet'!D92</f>
        <v>62</v>
      </c>
      <c r="C89" s="191">
        <v>42</v>
      </c>
      <c r="D89" s="179">
        <f t="shared" si="6"/>
        <v>2604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42</v>
      </c>
      <c r="B90" s="181">
        <f>'Données projet'!D93</f>
        <v>67</v>
      </c>
      <c r="C90" s="191">
        <v>42</v>
      </c>
      <c r="D90" s="179">
        <f t="shared" si="6"/>
        <v>2814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48</v>
      </c>
      <c r="B91" s="181">
        <f>'Données projet'!D94</f>
        <v>65</v>
      </c>
      <c r="C91" s="191">
        <v>46</v>
      </c>
      <c r="D91" s="179">
        <f t="shared" si="6"/>
        <v>2990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60</v>
      </c>
      <c r="B92" s="181">
        <f>'Données projet'!D95</f>
        <v>304</v>
      </c>
      <c r="C92" s="191">
        <v>50</v>
      </c>
      <c r="D92" s="179">
        <f t="shared" si="6"/>
        <v>15200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(1.23+0.9)*1200</f>
        <v>2556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3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25</v>
      </c>
      <c r="C117" s="191">
        <v>0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25</v>
      </c>
      <c r="B118" s="181">
        <f>'Données projet'!D116</f>
        <v>27</v>
      </c>
      <c r="C118" s="191">
        <v>10</v>
      </c>
      <c r="D118" s="179">
        <f t="shared" si="8"/>
        <v>270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31</v>
      </c>
      <c r="B119" s="181">
        <f>'Données projet'!D117</f>
        <v>36</v>
      </c>
      <c r="C119" s="191">
        <v>20</v>
      </c>
      <c r="D119" s="179">
        <f t="shared" si="8"/>
        <v>720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37</v>
      </c>
      <c r="B120" s="181">
        <f>'Données projet'!D118</f>
        <v>36</v>
      </c>
      <c r="C120" s="191">
        <v>20</v>
      </c>
      <c r="D120" s="179">
        <f t="shared" si="8"/>
        <v>720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44</v>
      </c>
      <c r="B121" s="181">
        <f>'Données projet'!D119</f>
        <v>43</v>
      </c>
      <c r="C121" s="191">
        <v>20</v>
      </c>
      <c r="D121" s="179">
        <f t="shared" si="8"/>
        <v>860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52</v>
      </c>
      <c r="B122" s="181">
        <f>'Données projet'!D120</f>
        <v>48</v>
      </c>
      <c r="C122" s="191">
        <v>20</v>
      </c>
      <c r="D122" s="179">
        <f t="shared" si="8"/>
        <v>960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60</v>
      </c>
      <c r="B123" s="181">
        <f>'Données projet'!D121</f>
        <v>47</v>
      </c>
      <c r="C123" s="191">
        <v>35</v>
      </c>
      <c r="D123" s="179">
        <f t="shared" si="8"/>
        <v>1645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69</v>
      </c>
      <c r="B124" s="181">
        <f>'Données projet'!D122</f>
        <v>328</v>
      </c>
      <c r="C124" s="191">
        <v>35</v>
      </c>
      <c r="D124" s="179">
        <f t="shared" si="8"/>
        <v>11480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Tilleul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(1.32+0.9)*1200</f>
        <v>2664.0000000000005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3</v>
      </c>
      <c r="C147" s="191">
        <v>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25</v>
      </c>
      <c r="C148" s="191">
        <v>0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25</v>
      </c>
      <c r="B149" s="175">
        <f>'Données projet'!D142</f>
        <v>27</v>
      </c>
      <c r="C149" s="191">
        <v>10</v>
      </c>
      <c r="D149" s="182">
        <f t="shared" si="10"/>
        <v>270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31</v>
      </c>
      <c r="B150" s="175">
        <f>'Données projet'!D143</f>
        <v>36</v>
      </c>
      <c r="C150" s="191">
        <v>20</v>
      </c>
      <c r="D150" s="182">
        <f t="shared" si="10"/>
        <v>720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37</v>
      </c>
      <c r="B151" s="175">
        <f>'Données projet'!D144</f>
        <v>36</v>
      </c>
      <c r="C151" s="191">
        <v>20</v>
      </c>
      <c r="D151" s="182">
        <f t="shared" si="10"/>
        <v>720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44</v>
      </c>
      <c r="B152" s="175">
        <f>'Données projet'!D145</f>
        <v>43</v>
      </c>
      <c r="C152" s="191">
        <v>20</v>
      </c>
      <c r="D152" s="182">
        <f t="shared" si="10"/>
        <v>860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52</v>
      </c>
      <c r="B153" s="175">
        <f>'Données projet'!D146</f>
        <v>48</v>
      </c>
      <c r="C153" s="191">
        <v>20</v>
      </c>
      <c r="D153" s="182">
        <f t="shared" si="10"/>
        <v>960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60</v>
      </c>
      <c r="B154" s="175">
        <f>'Données projet'!D147</f>
        <v>47</v>
      </c>
      <c r="C154" s="191">
        <v>35</v>
      </c>
      <c r="D154" s="182">
        <f t="shared" si="10"/>
        <v>1645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69</v>
      </c>
      <c r="B155" s="175">
        <f>'Données projet'!D148</f>
        <v>328</v>
      </c>
      <c r="C155" s="191">
        <v>35</v>
      </c>
      <c r="D155" s="182">
        <f t="shared" si="10"/>
        <v>11480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Erable sycomore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(0.77+0.9)*1200</f>
        <v>2004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7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15</v>
      </c>
      <c r="B179" s="181">
        <f>'Données projet'!D167</f>
        <v>42</v>
      </c>
      <c r="C179" s="193">
        <v>0</v>
      </c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20</v>
      </c>
      <c r="B180" s="181">
        <f>'Données projet'!D168</f>
        <v>42</v>
      </c>
      <c r="C180" s="193">
        <v>10</v>
      </c>
      <c r="D180" s="179">
        <f t="shared" si="11"/>
        <v>420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25</v>
      </c>
      <c r="B181" s="181">
        <f>'Données projet'!D169</f>
        <v>42</v>
      </c>
      <c r="C181" s="193">
        <v>10</v>
      </c>
      <c r="D181" s="179">
        <f t="shared" si="11"/>
        <v>420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30</v>
      </c>
      <c r="B182" s="181">
        <f>'Données projet'!D170</f>
        <v>42</v>
      </c>
      <c r="C182" s="193">
        <v>20</v>
      </c>
      <c r="D182" s="179">
        <f t="shared" si="11"/>
        <v>840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35</v>
      </c>
      <c r="B183" s="181">
        <f>'Données projet'!D171</f>
        <v>42</v>
      </c>
      <c r="C183" s="193">
        <v>20</v>
      </c>
      <c r="D183" s="179">
        <f t="shared" si="11"/>
        <v>840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40</v>
      </c>
      <c r="B184" s="181">
        <f>'Données projet'!D172</f>
        <v>40</v>
      </c>
      <c r="C184" s="193">
        <v>20</v>
      </c>
      <c r="D184" s="179">
        <f t="shared" si="11"/>
        <v>800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45</v>
      </c>
      <c r="B185" s="181">
        <f>'Données projet'!D173</f>
        <v>26</v>
      </c>
      <c r="C185" s="193">
        <v>20</v>
      </c>
      <c r="D185" s="179">
        <f>B185*C185</f>
        <v>520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50</v>
      </c>
      <c r="B186" s="181">
        <f>'Données projet'!D174</f>
        <v>21</v>
      </c>
      <c r="C186" s="193">
        <v>20</v>
      </c>
      <c r="D186" s="179">
        <f>B186*C186</f>
        <v>420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55</v>
      </c>
      <c r="B187" s="181">
        <f>'Données projet'!D175</f>
        <v>18</v>
      </c>
      <c r="C187" s="193">
        <v>20</v>
      </c>
      <c r="D187" s="179">
        <f t="shared" si="11"/>
        <v>360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60</v>
      </c>
      <c r="B188" s="181">
        <f>'Données projet'!D176</f>
        <v>17</v>
      </c>
      <c r="C188" s="193">
        <v>35</v>
      </c>
      <c r="D188" s="179">
        <f t="shared" si="11"/>
        <v>595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65</v>
      </c>
      <c r="B189" s="181">
        <f>'Données projet'!D177</f>
        <v>16</v>
      </c>
      <c r="C189" s="193">
        <v>35</v>
      </c>
      <c r="D189" s="179">
        <f t="shared" si="11"/>
        <v>560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70</v>
      </c>
      <c r="B190" s="181">
        <f>'Données projet'!D178</f>
        <v>15</v>
      </c>
      <c r="C190" s="193">
        <v>35</v>
      </c>
      <c r="D190" s="179">
        <f>B190*C190</f>
        <v>525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75</v>
      </c>
      <c r="B191" s="181">
        <f>'Données projet'!D179</f>
        <v>14</v>
      </c>
      <c r="C191" s="193">
        <v>35</v>
      </c>
      <c r="D191" s="179">
        <f>B191*C191</f>
        <v>490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80</v>
      </c>
      <c r="B192" s="181">
        <f>'Données projet'!D180</f>
        <v>381</v>
      </c>
      <c r="C192" s="193">
        <v>40</v>
      </c>
      <c r="D192" s="179">
        <f t="shared" si="11"/>
        <v>15240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(1.32+0.9)*1200</f>
        <v>2664.0000000000005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6</v>
      </c>
      <c r="C209" s="193">
        <v>1.3</v>
      </c>
      <c r="D209" s="179">
        <f>B209*C209</f>
        <v>7.8000000000000007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25</v>
      </c>
      <c r="B210" s="181">
        <f>'Données projet'!D193</f>
        <v>28</v>
      </c>
      <c r="C210" s="193">
        <v>1.3</v>
      </c>
      <c r="D210" s="179">
        <f t="shared" ref="D210:D228" si="12">B210*C210</f>
        <v>36.4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30</v>
      </c>
      <c r="B211" s="181">
        <f>'Données projet'!D194</f>
        <v>28</v>
      </c>
      <c r="C211" s="193">
        <v>2.2799999999999998</v>
      </c>
      <c r="D211" s="179">
        <f t="shared" si="12"/>
        <v>63.839999999999996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35</v>
      </c>
      <c r="B212" s="181">
        <f>'Données projet'!D195</f>
        <v>28</v>
      </c>
      <c r="C212" s="193">
        <v>2.2799999999999998</v>
      </c>
      <c r="D212" s="179">
        <f t="shared" si="12"/>
        <v>63.839999999999996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40</v>
      </c>
      <c r="B213" s="181">
        <f>'Données projet'!D196</f>
        <v>28</v>
      </c>
      <c r="C213" s="193">
        <v>2.2799999999999998</v>
      </c>
      <c r="D213" s="179">
        <f t="shared" si="12"/>
        <v>63.839999999999996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45</v>
      </c>
      <c r="B214" s="181">
        <f>'Données projet'!D197</f>
        <v>28</v>
      </c>
      <c r="C214" s="193">
        <v>2.2799999999999998</v>
      </c>
      <c r="D214" s="179">
        <f t="shared" si="12"/>
        <v>63.839999999999996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50</v>
      </c>
      <c r="B215" s="181">
        <f>'Données projet'!D198</f>
        <v>28</v>
      </c>
      <c r="C215" s="193">
        <v>2.83</v>
      </c>
      <c r="D215" s="179">
        <f t="shared" si="12"/>
        <v>79.240000000000009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55</v>
      </c>
      <c r="B216" s="181">
        <f>'Données projet'!D199</f>
        <v>28</v>
      </c>
      <c r="C216" s="193">
        <v>2.83</v>
      </c>
      <c r="D216" s="179">
        <f t="shared" si="12"/>
        <v>79.240000000000009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60</v>
      </c>
      <c r="B217" s="181">
        <f>'Données projet'!D200</f>
        <v>28</v>
      </c>
      <c r="C217" s="193">
        <v>2.83</v>
      </c>
      <c r="D217" s="179">
        <f t="shared" si="12"/>
        <v>79.240000000000009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65</v>
      </c>
      <c r="B218" s="181">
        <f>'Données projet'!D201</f>
        <v>28</v>
      </c>
      <c r="C218" s="193">
        <v>40.5</v>
      </c>
      <c r="D218" s="179">
        <f t="shared" si="12"/>
        <v>1134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70</v>
      </c>
      <c r="B219" s="181">
        <f>'Données projet'!D202</f>
        <v>28</v>
      </c>
      <c r="C219" s="193">
        <v>40.5</v>
      </c>
      <c r="D219" s="179">
        <f t="shared" si="12"/>
        <v>1134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75</v>
      </c>
      <c r="B220" s="181">
        <f>'Données projet'!D203</f>
        <v>28</v>
      </c>
      <c r="C220" s="193">
        <v>40.5</v>
      </c>
      <c r="D220" s="179">
        <f t="shared" si="12"/>
        <v>1134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80</v>
      </c>
      <c r="B221" s="181">
        <f>'Données projet'!D204</f>
        <v>28</v>
      </c>
      <c r="C221" s="193">
        <v>41</v>
      </c>
      <c r="D221" s="179">
        <f t="shared" si="12"/>
        <v>1148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85</v>
      </c>
      <c r="B222" s="181">
        <f>'Données projet'!D205</f>
        <v>28</v>
      </c>
      <c r="C222" s="193">
        <v>41</v>
      </c>
      <c r="D222" s="179">
        <f t="shared" si="12"/>
        <v>1148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90</v>
      </c>
      <c r="B223" s="181">
        <f>'Données projet'!D206</f>
        <v>28</v>
      </c>
      <c r="C223" s="193">
        <v>170.75</v>
      </c>
      <c r="D223" s="179">
        <f t="shared" si="12"/>
        <v>4781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95</v>
      </c>
      <c r="B224" s="181">
        <f>'Données projet'!D207</f>
        <v>28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100</v>
      </c>
      <c r="B225" s="181">
        <f>'Données projet'!D208</f>
        <v>27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105</v>
      </c>
      <c r="B226" s="181">
        <f>'Données projet'!D209</f>
        <v>26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110</v>
      </c>
      <c r="B227" s="181">
        <f>'Données projet'!D210</f>
        <v>25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115</v>
      </c>
      <c r="B228" s="181">
        <f>'Données projet'!D211</f>
        <v>331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Chêne sessile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(1.5+0.9)*1200</f>
        <v>2880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6</v>
      </c>
      <c r="C240" s="193">
        <v>1.3</v>
      </c>
      <c r="D240" s="179">
        <f>B240*C240</f>
        <v>7.8000000000000007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25</v>
      </c>
      <c r="B241" s="181">
        <f>'Données projet'!D219</f>
        <v>28</v>
      </c>
      <c r="C241" s="193">
        <v>1.3</v>
      </c>
      <c r="D241" s="179">
        <f t="shared" ref="D241:D259" si="13">B241*C241</f>
        <v>36.4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30</v>
      </c>
      <c r="B242" s="181">
        <f>'Données projet'!D220</f>
        <v>28</v>
      </c>
      <c r="C242" s="193">
        <v>2.2799999999999998</v>
      </c>
      <c r="D242" s="179">
        <f t="shared" si="13"/>
        <v>63.839999999999996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35</v>
      </c>
      <c r="B243" s="181">
        <f>'Données projet'!D221</f>
        <v>28</v>
      </c>
      <c r="C243" s="193">
        <v>2.2799999999999998</v>
      </c>
      <c r="D243" s="179">
        <f t="shared" si="13"/>
        <v>63.839999999999996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40</v>
      </c>
      <c r="B244" s="181">
        <f>'Données projet'!D222</f>
        <v>28</v>
      </c>
      <c r="C244" s="193">
        <v>2.2799999999999998</v>
      </c>
      <c r="D244" s="179">
        <f t="shared" si="13"/>
        <v>63.839999999999996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45</v>
      </c>
      <c r="B245" s="181">
        <f>'Données projet'!D223</f>
        <v>28</v>
      </c>
      <c r="C245" s="193">
        <v>2.2799999999999998</v>
      </c>
      <c r="D245" s="179">
        <f t="shared" si="13"/>
        <v>63.839999999999996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50</v>
      </c>
      <c r="B246" s="181">
        <f>'Données projet'!D224</f>
        <v>28</v>
      </c>
      <c r="C246" s="193">
        <v>2.83</v>
      </c>
      <c r="D246" s="179">
        <f t="shared" si="13"/>
        <v>79.240000000000009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55</v>
      </c>
      <c r="B247" s="181">
        <f>'Données projet'!D225</f>
        <v>28</v>
      </c>
      <c r="C247" s="193">
        <v>2.83</v>
      </c>
      <c r="D247" s="179">
        <f t="shared" si="13"/>
        <v>79.240000000000009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60</v>
      </c>
      <c r="B248" s="181">
        <f>'Données projet'!D226</f>
        <v>28</v>
      </c>
      <c r="C248" s="193">
        <v>2.83</v>
      </c>
      <c r="D248" s="179">
        <f t="shared" si="13"/>
        <v>79.240000000000009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65</v>
      </c>
      <c r="B249" s="181">
        <f>'Données projet'!D227</f>
        <v>28</v>
      </c>
      <c r="C249" s="193">
        <v>40.5</v>
      </c>
      <c r="D249" s="179">
        <f t="shared" si="13"/>
        <v>1134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70</v>
      </c>
      <c r="B250" s="181">
        <f>'Données projet'!D228</f>
        <v>28</v>
      </c>
      <c r="C250" s="193">
        <v>40.5</v>
      </c>
      <c r="D250" s="179">
        <f t="shared" si="13"/>
        <v>1134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75</v>
      </c>
      <c r="B251" s="181">
        <f>'Données projet'!D229</f>
        <v>28</v>
      </c>
      <c r="C251" s="193">
        <v>40.5</v>
      </c>
      <c r="D251" s="179">
        <f t="shared" si="13"/>
        <v>1134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80</v>
      </c>
      <c r="B252" s="181">
        <f>'Données projet'!D230</f>
        <v>28</v>
      </c>
      <c r="C252" s="193">
        <v>41</v>
      </c>
      <c r="D252" s="179">
        <f t="shared" si="13"/>
        <v>1148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85</v>
      </c>
      <c r="B253" s="181">
        <f>'Données projet'!D231</f>
        <v>28</v>
      </c>
      <c r="C253" s="193">
        <v>41</v>
      </c>
      <c r="D253" s="179">
        <f t="shared" si="13"/>
        <v>1148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90</v>
      </c>
      <c r="B254" s="181">
        <f>'Données projet'!D232</f>
        <v>330</v>
      </c>
      <c r="C254" s="193">
        <v>170.75</v>
      </c>
      <c r="D254" s="179">
        <f t="shared" si="13"/>
        <v>56347.5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95</v>
      </c>
      <c r="B255" s="181">
        <f>'Données projet'!D233</f>
        <v>28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100</v>
      </c>
      <c r="B256" s="181">
        <f>'Données projet'!D234</f>
        <v>27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105</v>
      </c>
      <c r="B257" s="181">
        <f>'Données projet'!D235</f>
        <v>26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110</v>
      </c>
      <c r="B258" s="181">
        <f>'Données projet'!D236</f>
        <v>25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115</v>
      </c>
      <c r="B259" s="181">
        <f>'Données projet'!D237</f>
        <v>331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Alisier torminal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(2.34+0.9)*1200</f>
        <v>3887.9999999999995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20</v>
      </c>
      <c r="B271" s="181">
        <f>'Données projet'!D244</f>
        <v>6</v>
      </c>
      <c r="C271" s="193">
        <v>1.3</v>
      </c>
      <c r="D271" s="179">
        <f>B271*C271</f>
        <v>7.8000000000000007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25</v>
      </c>
      <c r="B272" s="181">
        <f>'Données projet'!D245</f>
        <v>28</v>
      </c>
      <c r="C272" s="193">
        <v>1.3</v>
      </c>
      <c r="D272" s="179">
        <f t="shared" ref="D272:D290" si="14">B272*C272</f>
        <v>36.4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30</v>
      </c>
      <c r="B273" s="181">
        <f>'Données projet'!D246</f>
        <v>28</v>
      </c>
      <c r="C273" s="193">
        <v>2.2799999999999998</v>
      </c>
      <c r="D273" s="179">
        <f t="shared" si="14"/>
        <v>63.839999999999996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35</v>
      </c>
      <c r="B274" s="181">
        <f>'Données projet'!D247</f>
        <v>28</v>
      </c>
      <c r="C274" s="193">
        <v>2.2799999999999998</v>
      </c>
      <c r="D274" s="179">
        <f t="shared" si="14"/>
        <v>63.839999999999996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40</v>
      </c>
      <c r="B275" s="181">
        <f>'Données projet'!D248</f>
        <v>28</v>
      </c>
      <c r="C275" s="193">
        <v>2.2799999999999998</v>
      </c>
      <c r="D275" s="179">
        <f t="shared" si="14"/>
        <v>63.839999999999996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45</v>
      </c>
      <c r="B276" s="181">
        <f>'Données projet'!D249</f>
        <v>28</v>
      </c>
      <c r="C276" s="193">
        <v>2.2799999999999998</v>
      </c>
      <c r="D276" s="179">
        <f t="shared" si="14"/>
        <v>63.839999999999996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50</v>
      </c>
      <c r="B277" s="181">
        <f>'Données projet'!D250</f>
        <v>28</v>
      </c>
      <c r="C277" s="193">
        <v>2.83</v>
      </c>
      <c r="D277" s="179">
        <f t="shared" si="14"/>
        <v>79.240000000000009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55</v>
      </c>
      <c r="B278" s="181">
        <f>'Données projet'!D251</f>
        <v>28</v>
      </c>
      <c r="C278" s="193">
        <v>2.83</v>
      </c>
      <c r="D278" s="179">
        <f t="shared" si="14"/>
        <v>79.240000000000009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60</v>
      </c>
      <c r="B279" s="181">
        <f>'Données projet'!D252</f>
        <v>28</v>
      </c>
      <c r="C279" s="193">
        <v>2.83</v>
      </c>
      <c r="D279" s="179">
        <f t="shared" si="14"/>
        <v>79.240000000000009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65</v>
      </c>
      <c r="B280" s="181">
        <f>'Données projet'!D253</f>
        <v>28</v>
      </c>
      <c r="C280" s="193">
        <v>40.5</v>
      </c>
      <c r="D280" s="179">
        <f t="shared" si="14"/>
        <v>1134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70</v>
      </c>
      <c r="B281" s="181">
        <f>'Données projet'!D254</f>
        <v>28</v>
      </c>
      <c r="C281" s="193">
        <v>40.5</v>
      </c>
      <c r="D281" s="179">
        <f t="shared" si="14"/>
        <v>1134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75</v>
      </c>
      <c r="B282" s="181">
        <f>'Données projet'!D255</f>
        <v>28</v>
      </c>
      <c r="C282" s="193">
        <v>40.5</v>
      </c>
      <c r="D282" s="179">
        <f t="shared" si="14"/>
        <v>1134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80</v>
      </c>
      <c r="B283" s="181">
        <f>'Données projet'!D256</f>
        <v>28</v>
      </c>
      <c r="C283" s="193">
        <v>41</v>
      </c>
      <c r="D283" s="179">
        <f t="shared" si="14"/>
        <v>1148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85</v>
      </c>
      <c r="B284" s="181">
        <f>'Données projet'!D257</f>
        <v>28</v>
      </c>
      <c r="C284" s="193">
        <v>41</v>
      </c>
      <c r="D284" s="179">
        <f t="shared" si="14"/>
        <v>1148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90</v>
      </c>
      <c r="B285" s="181">
        <f>'Données projet'!D258</f>
        <v>330</v>
      </c>
      <c r="C285" s="193">
        <v>45</v>
      </c>
      <c r="D285" s="179">
        <f t="shared" si="14"/>
        <v>14850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95</v>
      </c>
      <c r="B286" s="181">
        <f>'Données projet'!D259</f>
        <v>28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100</v>
      </c>
      <c r="B287" s="181">
        <f>'Données projet'!D260</f>
        <v>27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105</v>
      </c>
      <c r="B288" s="181">
        <f>'Données projet'!D261</f>
        <v>26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110</v>
      </c>
      <c r="B289" s="181">
        <f>'Données projet'!D262</f>
        <v>25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115</v>
      </c>
      <c r="B290" s="181">
        <f>'Données projet'!D263</f>
        <v>331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2023-07-18T07:05:57Z</dcterms:modified>
</cp:coreProperties>
</file>