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ianneyf\Desktop\"/>
    </mc:Choice>
  </mc:AlternateContent>
  <xr:revisionPtr revIDLastSave="0" documentId="8_{2D5ACE7F-A121-4D03-8957-13EB8D36D981}" xr6:coauthVersionLast="47" xr6:coauthVersionMax="47" xr10:uidLastSave="{00000000-0000-0000-0000-000000000000}"/>
  <bookViews>
    <workbookView xWindow="20370" yWindow="-3375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2" i="6" l="1"/>
  <c r="E141" i="6"/>
  <c r="E110" i="6"/>
  <c r="I20" i="6"/>
  <c r="E79" i="6"/>
  <c r="E48" i="6"/>
  <c r="E17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L3" i="2" s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R4" i="2"/>
  <c r="BQ4" i="2"/>
  <c r="EC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HI7" i="2"/>
  <c r="EX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HH10" i="2"/>
  <c r="HG10" i="2"/>
  <c r="EB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HH14" i="2"/>
  <c r="EX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V18" i="2"/>
  <c r="EX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HH20" i="2"/>
  <c r="FS20" i="2"/>
  <c r="EV20" i="2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HI21" i="2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HH22" i="2"/>
  <c r="EW22" i="2"/>
  <c r="EA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FS28" i="2"/>
  <c r="HG28" i="2"/>
  <c r="HI28" i="2"/>
  <c r="EV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HH33" i="2"/>
  <c r="EV33" i="2"/>
  <c r="EW33" i="2"/>
  <c r="EB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FQ35" i="2"/>
  <c r="EB35" i="2"/>
  <c r="EA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HG37" i="2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HG38" i="2"/>
  <c r="HI38" i="2"/>
  <c r="FS38" i="2"/>
  <c r="EW38" i="2"/>
  <c r="EX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HI43" i="2"/>
  <c r="EX43" i="2"/>
  <c r="EA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HI45" i="2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I48" i="2"/>
  <c r="HH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G50" i="2"/>
  <c r="HI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HG57" i="2"/>
  <c r="HI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EC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EV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HH62" i="2"/>
  <c r="HI62" i="2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H75" i="2"/>
  <c r="HG75" i="2"/>
  <c r="EA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HI78" i="2"/>
  <c r="EW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HH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HG85" i="2"/>
  <c r="EV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HG87" i="2"/>
  <c r="EX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HI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HG95" i="2"/>
  <c r="FQ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HH105" i="2"/>
  <c r="FS105" i="2"/>
  <c r="EV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C107" i="2"/>
  <c r="EA107" i="2"/>
  <c r="HG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FQ112" i="2"/>
  <c r="EX112" i="2"/>
  <c r="EB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B113" i="2"/>
  <c r="EC113" i="2"/>
  <c r="FS113" i="2"/>
  <c r="HG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HH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Q118" i="2"/>
  <c r="FS118" i="2"/>
  <c r="HH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FR121" i="2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HH122" i="2"/>
  <c r="FS122" i="2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FS124" i="2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FS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FS130" i="2"/>
  <c r="HG130" i="2"/>
  <c r="HI130" i="2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HH139" i="2"/>
  <c r="FS139" i="2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FS140" i="2"/>
  <c r="HH140" i="2"/>
  <c r="HG140" i="2"/>
  <c r="EX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B141" i="2"/>
  <c r="FS141" i="2"/>
  <c r="HG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X144" i="2"/>
  <c r="EA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X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I146" i="2"/>
  <c r="HH146" i="2"/>
  <c r="HG146" i="2"/>
  <c r="FS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HG149" i="2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FS150" i="2"/>
  <c r="HI150" i="2"/>
  <c r="HG150" i="2"/>
  <c r="EV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N17" i="6" s="1"/>
  <c r="N19" i="6" s="1"/>
  <c r="T24" i="6" s="1"/>
  <c r="T25" i="6" s="1"/>
  <c r="T26" i="6" s="1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J154" i="2" l="1"/>
  <c r="ED154" i="2"/>
  <c r="EY154" i="2"/>
  <c r="DI154" i="2"/>
  <c r="HH155" i="2"/>
  <c r="HG155" i="2"/>
  <c r="EW155" i="2"/>
  <c r="EX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AB156" i="2" l="1"/>
  <c r="ED155" i="2"/>
  <c r="EY155" i="2"/>
  <c r="FS156" i="2"/>
  <c r="HH156" i="2"/>
  <c r="HI156" i="2"/>
  <c r="HG156" i="2"/>
  <c r="EX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HH157" i="2"/>
  <c r="HG157" i="2"/>
  <c r="EX157" i="2"/>
  <c r="EC157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HG158" i="2"/>
  <c r="HH158" i="2"/>
  <c r="EV158" i="2"/>
  <c r="EW158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D158" i="2"/>
  <c r="HI159" i="2"/>
  <c r="EC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D159" i="2"/>
  <c r="FS160" i="2"/>
  <c r="DG160" i="2"/>
  <c r="HI160" i="2"/>
  <c r="HG160" i="2"/>
  <c r="EY159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H161" i="2"/>
  <c r="FS161" i="2"/>
  <c r="HG161" i="2"/>
  <c r="EX161" i="2"/>
  <c r="ED160" i="2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H162" i="2" l="1"/>
  <c r="ED161" i="2"/>
  <c r="DI161" i="2"/>
  <c r="HG162" i="2"/>
  <c r="EW162" i="2"/>
  <c r="EY161" i="2"/>
  <c r="EC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ED162" i="2"/>
  <c r="EY162" i="2"/>
  <c r="HG163" i="2"/>
  <c r="HI163" i="2"/>
  <c r="EV163" i="2"/>
  <c r="EB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H164" i="2" l="1"/>
  <c r="HG164" i="2"/>
  <c r="ED163" i="2"/>
  <c r="EY163" i="2"/>
  <c r="DI163" i="2"/>
  <c r="FR164" i="2"/>
  <c r="FS164" i="2"/>
  <c r="EX164" i="2"/>
  <c r="EV164" i="2"/>
  <c r="EA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A165" i="2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ED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HJ166" i="2"/>
  <c r="HH167" i="2"/>
  <c r="HI167" i="2"/>
  <c r="FR167" i="2"/>
  <c r="EX167" i="2"/>
  <c r="EA167" i="2"/>
  <c r="EB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HI168" i="2"/>
  <c r="EB168" i="2"/>
  <c r="DG168" i="2"/>
  <c r="DI167" i="2"/>
  <c r="EV168" i="2"/>
  <c r="EW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B169" i="2"/>
  <c r="EY168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A172" i="2"/>
  <c r="EB172" i="2"/>
  <c r="EY171" i="2"/>
  <c r="HI172" i="2"/>
  <c r="HG172" i="2"/>
  <c r="EW172" i="2"/>
  <c r="EV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B173" i="2"/>
  <c r="ED172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Y173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A175" i="2"/>
  <c r="HI175" i="2"/>
  <c r="FS175" i="2"/>
  <c r="EW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Y175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S177" i="2"/>
  <c r="FQ177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D177" i="2"/>
  <c r="FQ178" i="2"/>
  <c r="FS178" i="2"/>
  <c r="HG178" i="2"/>
  <c r="EW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HH179" i="2"/>
  <c r="HG179" i="2"/>
  <c r="ED178" i="2"/>
  <c r="DF179" i="2"/>
  <c r="EV179" i="2"/>
  <c r="EA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G180" i="2" l="1"/>
  <c r="HI180" i="2"/>
  <c r="ED179" i="2"/>
  <c r="EY179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A183" i="2"/>
  <c r="EY182" i="2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G185" i="2" l="1"/>
  <c r="ED184" i="2"/>
  <c r="EY184" i="2"/>
  <c r="HI185" i="2"/>
  <c r="HH185" i="2"/>
  <c r="EW185" i="2"/>
  <c r="EV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EB186" i="2"/>
  <c r="ED185" i="2"/>
  <c r="EA186" i="2"/>
  <c r="HH186" i="2"/>
  <c r="FR186" i="2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EB187" i="2"/>
  <c r="EY186" i="2"/>
  <c r="HH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ED187" i="2"/>
  <c r="HI188" i="2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Y188" i="2"/>
  <c r="HH189" i="2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ED189" i="2"/>
  <c r="EV190" i="2"/>
  <c r="EY189" i="2"/>
  <c r="HH190" i="2"/>
  <c r="HG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I191" i="2"/>
  <c r="HG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B192" i="2" l="1"/>
  <c r="EY191" i="2"/>
  <c r="EW192" i="2"/>
  <c r="HG192" i="2"/>
  <c r="HH192" i="2"/>
  <c r="HI192" i="2"/>
  <c r="EV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B193" i="2"/>
  <c r="EA193" i="2"/>
  <c r="EY192" i="2"/>
  <c r="FQ193" i="2"/>
  <c r="HI193" i="2"/>
  <c r="EX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ED193" i="2"/>
  <c r="EA194" i="2"/>
  <c r="EB194" i="2"/>
  <c r="FQ194" i="2"/>
  <c r="HI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A195" i="2"/>
  <c r="EB195" i="2"/>
  <c r="ED194" i="2"/>
  <c r="EY194" i="2"/>
  <c r="FQ195" i="2"/>
  <c r="DH195" i="2"/>
  <c r="HG195" i="2"/>
  <c r="HI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EY195" i="2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EC197" i="2"/>
  <c r="EW197" i="2"/>
  <c r="EY196" i="2"/>
  <c r="FS197" i="2"/>
  <c r="HH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Y198" i="2"/>
  <c r="EW199" i="2"/>
  <c r="FS199" i="2"/>
  <c r="HH199" i="2"/>
  <c r="HG199" i="2"/>
  <c r="EB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EY200" i="2"/>
  <c r="DI200" i="2"/>
  <c r="HJ200" i="2"/>
  <c r="HG201" i="2"/>
  <c r="HH201" i="2"/>
  <c r="FS201" i="2"/>
  <c r="EB201" i="2"/>
  <c r="EA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Z6" i="2" l="1"/>
  <c r="EY201" i="2"/>
  <c r="HI202" i="2"/>
  <c r="HH202" i="2"/>
  <c r="HG202" i="2"/>
  <c r="ED201" i="2"/>
  <c r="EW202" i="2"/>
  <c r="EX202" i="2"/>
  <c r="FR202" i="2"/>
  <c r="FS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DN49" i="2" a="1"/>
  <c r="DN49" i="2" s="1"/>
  <c r="DN6" i="2" a="1"/>
  <c r="DN6" i="2" s="1"/>
  <c r="DO6" i="2" s="1"/>
  <c r="AX200" i="2"/>
  <c r="GT11" i="2" l="1" a="1"/>
  <c r="GT11" i="2" s="1"/>
  <c r="BC83" i="2" a="1"/>
  <c r="BC83" i="2" s="1"/>
  <c r="BC151" i="2" a="1"/>
  <c r="BC151" i="2" s="1"/>
  <c r="BC34" i="2" a="1"/>
  <c r="BC34" i="2" s="1"/>
  <c r="BC18" i="2" a="1"/>
  <c r="BC18" i="2" s="1"/>
  <c r="BC32" i="2" a="1"/>
  <c r="BC32" i="2" s="1"/>
  <c r="BC38" i="2" a="1"/>
  <c r="BC38" i="2" s="1"/>
  <c r="FY142" i="2" a="1"/>
  <c r="FY142" i="2" s="1"/>
  <c r="FY99" i="2" a="1"/>
  <c r="FY99" i="2" s="1"/>
  <c r="FY121" i="2" a="1"/>
  <c r="FY121" i="2" s="1"/>
  <c r="FY80" i="2" a="1"/>
  <c r="FY80" i="2" s="1"/>
  <c r="FY196" i="2" a="1"/>
  <c r="FY196" i="2" s="1"/>
  <c r="FY82" i="2" a="1"/>
  <c r="FY82" i="2" s="1"/>
  <c r="FY115" i="2" a="1"/>
  <c r="FY115" i="2" s="1"/>
  <c r="FY104" i="2" a="1"/>
  <c r="FY104" i="2" s="1"/>
  <c r="FY182" i="2" a="1"/>
  <c r="FY182" i="2" s="1"/>
  <c r="FY86" i="2" a="1"/>
  <c r="FY86" i="2" s="1"/>
  <c r="FY167" i="2" a="1"/>
  <c r="FY167" i="2" s="1"/>
  <c r="FY72" i="2" a="1"/>
  <c r="FY72" i="2" s="1"/>
  <c r="FY58" i="2" a="1"/>
  <c r="FY58" i="2" s="1"/>
  <c r="FY30" i="2" a="1"/>
  <c r="FY30" i="2" s="1"/>
  <c r="FY42" i="2" a="1"/>
  <c r="FY42" i="2" s="1"/>
  <c r="FY172" i="2" a="1"/>
  <c r="FY172" i="2" s="1"/>
  <c r="FY178" i="2" a="1"/>
  <c r="FY178" i="2" s="1"/>
  <c r="FY34" i="2" a="1"/>
  <c r="FY34" i="2" s="1"/>
  <c r="FY164" i="2" a="1"/>
  <c r="FY164" i="2" s="1"/>
  <c r="FY149" i="2" a="1"/>
  <c r="FY149" i="2" s="1"/>
  <c r="FY24" i="2" a="1"/>
  <c r="FY24" i="2" s="1"/>
  <c r="FY126" i="2" a="1"/>
  <c r="FY126" i="2" s="1"/>
  <c r="FY47" i="2" a="1"/>
  <c r="FY47" i="2" s="1"/>
  <c r="FY124" i="2" a="1"/>
  <c r="FY124" i="2" s="1"/>
  <c r="FY188" i="2" a="1"/>
  <c r="FY188" i="2" s="1"/>
  <c r="FY169" i="2" a="1"/>
  <c r="FY169" i="2" s="1"/>
  <c r="FY28" i="2" a="1"/>
  <c r="FY28" i="2" s="1"/>
  <c r="FY62" i="2" a="1"/>
  <c r="FY62" i="2" s="1"/>
  <c r="FY78" i="2" a="1"/>
  <c r="FY78" i="2" s="1"/>
  <c r="FY190" i="2" a="1"/>
  <c r="FY190" i="2" s="1"/>
  <c r="FY174" i="2" a="1"/>
  <c r="FY174" i="2" s="1"/>
  <c r="FY116" i="2" a="1"/>
  <c r="FY116" i="2" s="1"/>
  <c r="FY55" i="2" a="1"/>
  <c r="FY55" i="2" s="1"/>
  <c r="FY186" i="2" a="1"/>
  <c r="FY186" i="2" s="1"/>
  <c r="FY92" i="2" a="1"/>
  <c r="FY92" i="2" s="1"/>
  <c r="FY111" i="2" a="1"/>
  <c r="FY111" i="2" s="1"/>
  <c r="FY73" i="2" a="1"/>
  <c r="FY73" i="2" s="1"/>
  <c r="FY152" i="2" a="1"/>
  <c r="FY152" i="2" s="1"/>
  <c r="FY173" i="2" a="1"/>
  <c r="FY173" i="2" s="1"/>
  <c r="FY153" i="2" a="1"/>
  <c r="FY153" i="2" s="1"/>
  <c r="FY159" i="2" a="1"/>
  <c r="FY159" i="2" s="1"/>
  <c r="FY143" i="2" a="1"/>
  <c r="FY143" i="2" s="1"/>
  <c r="FY191" i="2" a="1"/>
  <c r="FY191" i="2" s="1"/>
  <c r="FY110" i="2" a="1"/>
  <c r="FY110" i="2" s="1"/>
  <c r="FY102" i="2" a="1"/>
  <c r="FY102" i="2" s="1"/>
  <c r="FY18" i="2" a="1"/>
  <c r="FY18" i="2" s="1"/>
  <c r="FY69" i="2" a="1"/>
  <c r="FY69" i="2" s="1"/>
  <c r="FY66" i="2" a="1"/>
  <c r="FY66" i="2" s="1"/>
  <c r="FY120" i="2" a="1"/>
  <c r="FY120" i="2" s="1"/>
  <c r="FY71" i="2" a="1"/>
  <c r="FY71" i="2" s="1"/>
  <c r="FY133" i="2" a="1"/>
  <c r="FY133" i="2" s="1"/>
  <c r="FY146" i="2" a="1"/>
  <c r="FY146" i="2" s="1"/>
  <c r="FY140" i="2" a="1"/>
  <c r="FY140" i="2" s="1"/>
  <c r="FY29" i="2" a="1"/>
  <c r="FY29" i="2" s="1"/>
  <c r="FY35" i="2" a="1"/>
  <c r="FY35" i="2" s="1"/>
  <c r="FY165" i="2" a="1"/>
  <c r="FY165" i="2" s="1"/>
  <c r="FY32" i="2" a="1"/>
  <c r="FY32" i="2" s="1"/>
  <c r="FY50" i="2" a="1"/>
  <c r="FY50" i="2" s="1"/>
  <c r="FY22" i="2" a="1"/>
  <c r="FY22" i="2" s="1"/>
  <c r="FY90" i="2" a="1"/>
  <c r="FY90" i="2" s="1"/>
  <c r="FY57" i="2" a="1"/>
  <c r="FY57" i="2" s="1"/>
  <c r="FY54" i="2" a="1"/>
  <c r="FY54" i="2" s="1"/>
  <c r="FY109" i="2" a="1"/>
  <c r="FY109" i="2" s="1"/>
  <c r="FY79" i="2" a="1"/>
  <c r="FY79" i="2" s="1"/>
  <c r="BX107" i="2" a="1"/>
  <c r="BX107" i="2" s="1"/>
  <c r="GT107" i="2" a="1"/>
  <c r="GT107" i="2" s="1"/>
  <c r="GT174" i="2" a="1"/>
  <c r="GT174" i="2" s="1"/>
  <c r="HJ202" i="2"/>
  <c r="GT189" i="2" a="1"/>
  <c r="GT189" i="2" s="1"/>
  <c r="GT198" i="2" a="1"/>
  <c r="GT198" i="2" s="1"/>
  <c r="GT190" i="2" a="1"/>
  <c r="GT190" i="2" s="1"/>
  <c r="GT38" i="2" a="1"/>
  <c r="GT38" i="2" s="1"/>
  <c r="GT68" i="2" a="1"/>
  <c r="GT68" i="2" s="1"/>
  <c r="GT126" i="2" a="1"/>
  <c r="GT126" i="2" s="1"/>
  <c r="GT191" i="2" a="1"/>
  <c r="GT191" i="2" s="1"/>
  <c r="GT15" i="2" a="1"/>
  <c r="GT15" i="2" s="1"/>
  <c r="GT74" i="2" a="1"/>
  <c r="GT74" i="2" s="1"/>
  <c r="GT138" i="2" a="1"/>
  <c r="GT138" i="2" s="1"/>
  <c r="GT178" i="2" a="1"/>
  <c r="GT178" i="2" s="1"/>
  <c r="GT33" i="2" a="1"/>
  <c r="GT33" i="2" s="1"/>
  <c r="GT122" i="2" a="1"/>
  <c r="GT122" i="2" s="1"/>
  <c r="GT184" i="2" a="1"/>
  <c r="GT184" i="2" s="1"/>
  <c r="GT21" i="2" a="1"/>
  <c r="GT21" i="2" s="1"/>
  <c r="GT12" i="2" a="1"/>
  <c r="GT12" i="2" s="1"/>
  <c r="GT51" i="2" a="1"/>
  <c r="GT51" i="2" s="1"/>
  <c r="GT102" i="2" a="1"/>
  <c r="GT102" i="2" s="1"/>
  <c r="GT147" i="2" a="1"/>
  <c r="GT147" i="2" s="1"/>
  <c r="GT152" i="2" a="1"/>
  <c r="GT152" i="2" s="1"/>
  <c r="GT181" i="2" a="1"/>
  <c r="GT181" i="2" s="1"/>
  <c r="GT115" i="2" a="1"/>
  <c r="GT115" i="2" s="1"/>
  <c r="GT133" i="2" a="1"/>
  <c r="GT133" i="2" s="1"/>
  <c r="HH203" i="2"/>
  <c r="GT121" i="2" a="1"/>
  <c r="GT121" i="2" s="1"/>
  <c r="HG203" i="2"/>
  <c r="BC185" i="2" a="1"/>
  <c r="BC185" i="2" s="1"/>
  <c r="BC31" i="2" a="1"/>
  <c r="BC31" i="2" s="1"/>
  <c r="BC164" i="2" a="1"/>
  <c r="BC164" i="2" s="1"/>
  <c r="BC192" i="2" a="1"/>
  <c r="BC192" i="2" s="1"/>
  <c r="BC130" i="2" a="1"/>
  <c r="BC130" i="2" s="1"/>
  <c r="BC7" i="2" a="1"/>
  <c r="BC7" i="2" s="1"/>
  <c r="BC117" i="2" a="1"/>
  <c r="BC117" i="2" s="1"/>
  <c r="BC84" i="2" a="1"/>
  <c r="BC84" i="2" s="1"/>
  <c r="BC143" i="2" a="1"/>
  <c r="BC143" i="2" s="1"/>
  <c r="BC181" i="2" a="1"/>
  <c r="BC181" i="2" s="1"/>
  <c r="BC114" i="2" a="1"/>
  <c r="BC114" i="2" s="1"/>
  <c r="BC126" i="2" a="1"/>
  <c r="BC126" i="2" s="1"/>
  <c r="BC55" i="2" a="1"/>
  <c r="BC55" i="2" s="1"/>
  <c r="BC82" i="2" a="1"/>
  <c r="BC82" i="2" s="1"/>
  <c r="BC47" i="2" a="1"/>
  <c r="BC47" i="2" s="1"/>
  <c r="BC68" i="2" a="1"/>
  <c r="BC68" i="2" s="1"/>
  <c r="BC58" i="2" a="1"/>
  <c r="BC58" i="2" s="1"/>
  <c r="BC65" i="2" a="1"/>
  <c r="BC65" i="2" s="1"/>
  <c r="DN132" i="2" a="1"/>
  <c r="DN132" i="2" s="1"/>
  <c r="DN30" i="2" a="1"/>
  <c r="DN30" i="2" s="1"/>
  <c r="DN164" i="2" a="1"/>
  <c r="DN164" i="2" s="1"/>
  <c r="DN63" i="2" a="1"/>
  <c r="DN63" i="2" s="1"/>
  <c r="DN80" i="2" a="1"/>
  <c r="DN80" i="2" s="1"/>
  <c r="DN135" i="2" a="1"/>
  <c r="DN135" i="2" s="1"/>
  <c r="DN45" i="2" a="1"/>
  <c r="DN45" i="2" s="1"/>
  <c r="DN65" i="2" a="1"/>
  <c r="DN65" i="2" s="1"/>
  <c r="DN70" i="2" a="1"/>
  <c r="DN70" i="2" s="1"/>
  <c r="DN123" i="2" a="1"/>
  <c r="DN123" i="2" s="1"/>
  <c r="DN55" i="2" a="1"/>
  <c r="DN55" i="2" s="1"/>
  <c r="DN150" i="2" a="1"/>
  <c r="DN150" i="2" s="1"/>
  <c r="DN31" i="2" a="1"/>
  <c r="DN31" i="2" s="1"/>
  <c r="DN170" i="2" a="1"/>
  <c r="DN170" i="2" s="1"/>
  <c r="DN43" i="2" a="1"/>
  <c r="DN43" i="2" s="1"/>
  <c r="DN103" i="2" a="1"/>
  <c r="DN103" i="2" s="1"/>
  <c r="DN115" i="2" a="1"/>
  <c r="DN115" i="2" s="1"/>
  <c r="DN29" i="2" a="1"/>
  <c r="DN29" i="2" s="1"/>
  <c r="DN153" i="2" a="1"/>
  <c r="DN153" i="2" s="1"/>
  <c r="DN41" i="2" a="1"/>
  <c r="DN41" i="2" s="1"/>
  <c r="DN46" i="2" a="1"/>
  <c r="DN46" i="2" s="1"/>
  <c r="DN110" i="2" a="1"/>
  <c r="DN110" i="2" s="1"/>
  <c r="DN38" i="2" a="1"/>
  <c r="DN38" i="2" s="1"/>
  <c r="DN192" i="2" a="1"/>
  <c r="DN192" i="2" s="1"/>
  <c r="DN129" i="2" a="1"/>
  <c r="DN129" i="2" s="1"/>
  <c r="DN186" i="2" a="1"/>
  <c r="DN186" i="2" s="1"/>
  <c r="DN56" i="2" a="1"/>
  <c r="DN56" i="2" s="1"/>
  <c r="DN66" i="2" a="1"/>
  <c r="DN66" i="2" s="1"/>
  <c r="DN176" i="2" a="1"/>
  <c r="DN176" i="2" s="1"/>
  <c r="DN167" i="2" a="1"/>
  <c r="DN167" i="2" s="1"/>
  <c r="DN168" i="2" a="1"/>
  <c r="DN168" i="2" s="1"/>
  <c r="DN188" i="2" a="1"/>
  <c r="DN188" i="2" s="1"/>
  <c r="DN113" i="2" a="1"/>
  <c r="DN113" i="2" s="1"/>
  <c r="DN124" i="2" a="1"/>
  <c r="DN124" i="2" s="1"/>
  <c r="DN137" i="2" a="1"/>
  <c r="DN137" i="2" s="1"/>
  <c r="DN190" i="2" a="1"/>
  <c r="DN190" i="2" s="1"/>
  <c r="DN16" i="2" a="1"/>
  <c r="DN16" i="2" s="1"/>
  <c r="DN86" i="2" a="1"/>
  <c r="DN86" i="2" s="1"/>
  <c r="DN25" i="2" a="1"/>
  <c r="DN25" i="2" s="1"/>
  <c r="DN155" i="2" a="1"/>
  <c r="DN155" i="2" s="1"/>
  <c r="DN50" i="2" a="1"/>
  <c r="DN50" i="2" s="1"/>
  <c r="DN187" i="2" a="1"/>
  <c r="DN187" i="2" s="1"/>
  <c r="DN133" i="2" a="1"/>
  <c r="DN133" i="2" s="1"/>
  <c r="DN162" i="2" a="1"/>
  <c r="DN162" i="2" s="1"/>
  <c r="DN114" i="2" a="1"/>
  <c r="DN114" i="2" s="1"/>
  <c r="DN177" i="2" a="1"/>
  <c r="DN177" i="2" s="1"/>
  <c r="DN184" i="2" a="1"/>
  <c r="DN184" i="2" s="1"/>
  <c r="DN152" i="2" a="1"/>
  <c r="DN152" i="2" s="1"/>
  <c r="EI37" i="2" a="1"/>
  <c r="EI37" i="2" s="1"/>
  <c r="EI16" i="2" a="1"/>
  <c r="EI16" i="2" s="1"/>
  <c r="EI20" i="2" a="1"/>
  <c r="EI20" i="2" s="1"/>
  <c r="EI113" i="2" a="1"/>
  <c r="EI113" i="2" s="1"/>
  <c r="EI38" i="2" a="1"/>
  <c r="EI38" i="2" s="1"/>
  <c r="EI87" i="2" a="1"/>
  <c r="EI87" i="2" s="1"/>
  <c r="EY202" i="2"/>
  <c r="EI150" i="2" a="1"/>
  <c r="EI150" i="2" s="1"/>
  <c r="EI145" i="2" a="1"/>
  <c r="EI145" i="2" s="1"/>
  <c r="EI128" i="2" a="1"/>
  <c r="EI128" i="2" s="1"/>
  <c r="EI109" i="2" a="1"/>
  <c r="EI109" i="2" s="1"/>
  <c r="EI162" i="2" a="1"/>
  <c r="EI162" i="2" s="1"/>
  <c r="EI35" i="2" a="1"/>
  <c r="EI35" i="2" s="1"/>
  <c r="EI34" i="2" a="1"/>
  <c r="EI34" i="2" s="1"/>
  <c r="EI29" i="2" a="1"/>
  <c r="EI29" i="2" s="1"/>
  <c r="EI139" i="2" a="1"/>
  <c r="EI139" i="2" s="1"/>
  <c r="EI165" i="2" a="1"/>
  <c r="EI165" i="2" s="1"/>
  <c r="EI106" i="2" a="1"/>
  <c r="EI106" i="2" s="1"/>
  <c r="EI67" i="2" a="1"/>
  <c r="EI67" i="2" s="1"/>
  <c r="EI71" i="2" a="1"/>
  <c r="EI71" i="2" s="1"/>
  <c r="EI153" i="2" a="1"/>
  <c r="EI153" i="2" s="1"/>
  <c r="EI170" i="2" a="1"/>
  <c r="EI170" i="2" s="1"/>
  <c r="EI57" i="2" a="1"/>
  <c r="EI57" i="2" s="1"/>
  <c r="EI142" i="2" a="1"/>
  <c r="EI142" i="2" s="1"/>
  <c r="EI166" i="2" a="1"/>
  <c r="EI166" i="2" s="1"/>
  <c r="EI36" i="2" a="1"/>
  <c r="EI36" i="2" s="1"/>
  <c r="EI195" i="2" a="1"/>
  <c r="EI195" i="2" s="1"/>
  <c r="EI178" i="2" a="1"/>
  <c r="EI178" i="2" s="1"/>
  <c r="EI198" i="2" a="1"/>
  <c r="EI198" i="2" s="1"/>
  <c r="FS203" i="2"/>
  <c r="FR203" i="2"/>
  <c r="FD14" i="2" a="1"/>
  <c r="FD14" i="2" s="1"/>
  <c r="FD59" i="2" a="1"/>
  <c r="FD59" i="2" s="1"/>
  <c r="FD21" i="2" a="1"/>
  <c r="FD21" i="2" s="1"/>
  <c r="FD194" i="2" a="1"/>
  <c r="FD194" i="2" s="1"/>
  <c r="FD160" i="2" a="1"/>
  <c r="FD160" i="2" s="1"/>
  <c r="FD82" i="2" a="1"/>
  <c r="FD82" i="2" s="1"/>
  <c r="FD137" i="2" a="1"/>
  <c r="FD137" i="2" s="1"/>
  <c r="FD43" i="2" a="1"/>
  <c r="FD43" i="2" s="1"/>
  <c r="FD189" i="2" a="1"/>
  <c r="FD189" i="2" s="1"/>
  <c r="FD19" i="2" a="1"/>
  <c r="FD19" i="2" s="1"/>
  <c r="FD64" i="2" a="1"/>
  <c r="FD64" i="2" s="1"/>
  <c r="FD144" i="2" a="1"/>
  <c r="FD144" i="2" s="1"/>
  <c r="FD159" i="2" a="1"/>
  <c r="FD159" i="2" s="1"/>
  <c r="FD48" i="2" a="1"/>
  <c r="FD48" i="2" s="1"/>
  <c r="FD107" i="2" a="1"/>
  <c r="FD107" i="2" s="1"/>
  <c r="FD44" i="2" a="1"/>
  <c r="FD44" i="2" s="1"/>
  <c r="FD167" i="2" a="1"/>
  <c r="FD167" i="2" s="1"/>
  <c r="FD188" i="2" a="1"/>
  <c r="FD188" i="2" s="1"/>
  <c r="FD187" i="2" a="1"/>
  <c r="FD187" i="2" s="1"/>
  <c r="FD131" i="2" a="1"/>
  <c r="FD131" i="2" s="1"/>
  <c r="FD60" i="2" a="1"/>
  <c r="FD60" i="2" s="1"/>
  <c r="AH163" i="2" a="1"/>
  <c r="AH163" i="2" s="1"/>
  <c r="AH62" i="2" a="1"/>
  <c r="AH62" i="2" s="1"/>
  <c r="AH166" i="2" a="1"/>
  <c r="AH166" i="2" s="1"/>
  <c r="AH19" i="2" a="1"/>
  <c r="AH19" i="2" s="1"/>
  <c r="AH90" i="2" a="1"/>
  <c r="AH90" i="2" s="1"/>
  <c r="AH151" i="2" a="1"/>
  <c r="AH151" i="2" s="1"/>
  <c r="AH92" i="2" a="1"/>
  <c r="AH92" i="2" s="1"/>
  <c r="AH199" i="2" a="1"/>
  <c r="AH199" i="2" s="1"/>
  <c r="CS72" i="2" a="1"/>
  <c r="CS72" i="2" s="1"/>
  <c r="CS134" i="2" a="1"/>
  <c r="CS134" i="2" s="1"/>
  <c r="CS56" i="2" a="1"/>
  <c r="CS56" i="2" s="1"/>
  <c r="CS38" i="2" a="1"/>
  <c r="CS38" i="2" s="1"/>
  <c r="CS66" i="2" a="1"/>
  <c r="CS66" i="2" s="1"/>
  <c r="CS116" i="2" a="1"/>
  <c r="CS116" i="2" s="1"/>
  <c r="CS129" i="2" a="1"/>
  <c r="CS129" i="2" s="1"/>
  <c r="CS137" i="2" a="1"/>
  <c r="CS137" i="2" s="1"/>
  <c r="CS52" i="2" a="1"/>
  <c r="CS52" i="2" s="1"/>
  <c r="CS114" i="2" a="1"/>
  <c r="CS114" i="2" s="1"/>
  <c r="CS105" i="2" a="1"/>
  <c r="CS105" i="2" s="1"/>
  <c r="CS77" i="2" a="1"/>
  <c r="CS77" i="2" s="1"/>
  <c r="CS185" i="2" a="1"/>
  <c r="CS185" i="2" s="1"/>
  <c r="CS161" i="2" a="1"/>
  <c r="CS161" i="2" s="1"/>
  <c r="CS24" i="2" a="1"/>
  <c r="CS24" i="2" s="1"/>
  <c r="CS120" i="2" a="1"/>
  <c r="CS120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DI203" i="2"/>
  <c r="ED203" i="2"/>
  <c r="EY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GZ72" i="2" l="1"/>
  <c r="GZ46" i="2"/>
  <c r="GZ59" i="2"/>
  <c r="GZ102" i="2"/>
  <c r="GZ30" i="2"/>
  <c r="GZ188" i="2"/>
  <c r="GZ149" i="2"/>
  <c r="GZ131" i="2"/>
  <c r="GZ155" i="2"/>
  <c r="GZ91" i="2"/>
  <c r="GZ38" i="2"/>
  <c r="GZ172" i="2"/>
  <c r="GZ196" i="2"/>
  <c r="GZ116" i="2"/>
  <c r="GZ186" i="2"/>
  <c r="GZ124" i="2"/>
  <c r="GZ164" i="2"/>
  <c r="GZ64" i="2"/>
  <c r="GZ138" i="2"/>
  <c r="GZ125" i="2"/>
  <c r="GZ143" i="2"/>
  <c r="GZ84" i="2"/>
  <c r="GZ60" i="2"/>
  <c r="GZ61" i="2"/>
  <c r="GZ70" i="2"/>
  <c r="GZ73" i="2"/>
  <c r="GZ120" i="2"/>
  <c r="GZ157" i="2"/>
  <c r="GZ56" i="2"/>
  <c r="GZ198" i="2"/>
  <c r="GZ119" i="2"/>
  <c r="GZ158" i="2"/>
  <c r="GZ144" i="2"/>
  <c r="GZ44" i="2"/>
  <c r="GZ33" i="2"/>
  <c r="GZ140" i="2"/>
  <c r="GZ122" i="2"/>
  <c r="GZ5" i="2"/>
  <c r="GZ10" i="2"/>
  <c r="GZ52" i="2"/>
  <c r="GZ179" i="2"/>
  <c r="GZ105" i="2"/>
  <c r="GZ37" i="2"/>
  <c r="GZ176" i="2"/>
  <c r="GZ167" i="2"/>
  <c r="GZ69" i="2"/>
  <c r="GZ114" i="2"/>
  <c r="GZ203" i="2"/>
  <c r="GZ168" i="2"/>
  <c r="GZ197" i="2"/>
  <c r="GZ194" i="2"/>
  <c r="GZ200" i="2"/>
  <c r="GZ126" i="2"/>
  <c r="GZ19" i="2"/>
  <c r="GZ165" i="2"/>
  <c r="GZ48" i="2"/>
  <c r="GZ184" i="2"/>
  <c r="GZ82" i="2"/>
  <c r="GZ113" i="2"/>
  <c r="GZ98" i="2"/>
  <c r="GZ51" i="2"/>
  <c r="GZ78" i="2"/>
  <c r="GZ100" i="2"/>
  <c r="GZ22" i="2"/>
  <c r="GZ11" i="2"/>
  <c r="GZ112" i="2"/>
  <c r="GZ16" i="2"/>
  <c r="GZ90" i="2"/>
  <c r="GZ189" i="2"/>
  <c r="GZ191" i="2"/>
  <c r="GZ153" i="2"/>
  <c r="GZ128" i="2"/>
  <c r="GZ23" i="2"/>
  <c r="GZ156" i="2"/>
  <c r="GZ107" i="2"/>
  <c r="GZ118" i="2"/>
  <c r="GZ181" i="2"/>
  <c r="GZ27" i="2"/>
  <c r="GZ136" i="2"/>
  <c r="GZ148" i="2"/>
  <c r="GZ81" i="2"/>
  <c r="GZ134" i="2"/>
  <c r="GZ77" i="2"/>
  <c r="GZ202" i="2"/>
  <c r="GZ26" i="2"/>
  <c r="GZ180" i="2"/>
  <c r="GZ71" i="2"/>
  <c r="GZ160" i="2"/>
  <c r="GZ95" i="2"/>
  <c r="GZ92" i="2"/>
  <c r="GZ20" i="2"/>
  <c r="GZ49" i="2"/>
  <c r="GZ17" i="2"/>
  <c r="GZ24" i="2"/>
  <c r="GZ79" i="2"/>
  <c r="GZ35" i="2"/>
  <c r="GZ190" i="2"/>
  <c r="GZ87" i="2"/>
  <c r="GZ170" i="2"/>
  <c r="GZ103" i="2"/>
  <c r="GZ7" i="2"/>
  <c r="GZ201" i="2"/>
  <c r="GZ40" i="2"/>
  <c r="GZ74" i="2"/>
  <c r="GZ177" i="2"/>
  <c r="GZ175" i="2"/>
  <c r="GZ173" i="2"/>
  <c r="GZ108" i="2"/>
  <c r="GZ152" i="2"/>
  <c r="GZ85" i="2"/>
  <c r="GZ111" i="2"/>
  <c r="GZ62" i="2"/>
  <c r="GZ28" i="2"/>
  <c r="GZ36" i="2"/>
  <c r="GZ50" i="2"/>
  <c r="GZ54" i="2"/>
  <c r="GZ65" i="2"/>
  <c r="GZ66" i="2"/>
  <c r="GZ162" i="2"/>
  <c r="GZ127" i="2"/>
  <c r="GZ39" i="2"/>
  <c r="GZ4" i="2"/>
  <c r="GZ106" i="2"/>
  <c r="GZ76" i="2"/>
  <c r="GZ146" i="2"/>
  <c r="GZ41" i="2"/>
  <c r="GZ110" i="2"/>
  <c r="GZ154" i="2"/>
  <c r="GZ31" i="2"/>
  <c r="GZ163" i="2"/>
  <c r="GZ13" i="2"/>
  <c r="GZ15" i="2"/>
  <c r="GZ88" i="2"/>
  <c r="GZ93" i="2"/>
  <c r="GZ86" i="2"/>
  <c r="GZ18" i="2"/>
  <c r="GZ57" i="2"/>
  <c r="GZ195" i="2"/>
  <c r="GZ104" i="2"/>
  <c r="GZ129" i="2"/>
  <c r="GZ80" i="2"/>
  <c r="GZ199" i="2"/>
  <c r="GZ67" i="2"/>
  <c r="GZ135" i="2"/>
  <c r="GZ161" i="2"/>
  <c r="GZ174" i="2"/>
  <c r="GZ94" i="2"/>
  <c r="GZ132" i="2"/>
  <c r="GZ178" i="2"/>
  <c r="GZ25" i="2"/>
  <c r="GZ58" i="2"/>
  <c r="GZ187" i="2"/>
  <c r="GZ75" i="2"/>
  <c r="GZ96" i="2"/>
  <c r="GZ130" i="2"/>
  <c r="GZ53" i="2"/>
  <c r="GZ115" i="2"/>
  <c r="GZ182" i="2"/>
  <c r="GZ6" i="2"/>
  <c r="GZ137" i="2"/>
  <c r="GZ193" i="2"/>
  <c r="GZ147" i="2"/>
  <c r="GZ159" i="2"/>
  <c r="GZ169" i="2"/>
  <c r="GZ109" i="2"/>
  <c r="GZ45" i="2"/>
  <c r="GZ29" i="2"/>
  <c r="GZ32" i="2"/>
  <c r="GZ141" i="2"/>
  <c r="GZ171" i="2"/>
  <c r="GZ63" i="2"/>
  <c r="GZ183" i="2"/>
  <c r="GZ47" i="2"/>
  <c r="GZ123" i="2"/>
  <c r="GZ9" i="2"/>
  <c r="GZ12" i="2"/>
  <c r="GZ97" i="2"/>
  <c r="GZ101" i="2"/>
  <c r="GZ139" i="2"/>
  <c r="GZ83" i="2"/>
  <c r="GZ89" i="2"/>
  <c r="GZ117" i="2"/>
  <c r="GZ151" i="2"/>
  <c r="GZ192" i="2"/>
  <c r="GZ42" i="2"/>
  <c r="GZ34" i="2"/>
  <c r="GZ99" i="2"/>
  <c r="GZ185" i="2"/>
  <c r="GZ55" i="2"/>
  <c r="GZ133" i="2"/>
  <c r="GZ14" i="2"/>
  <c r="GZ68" i="2"/>
  <c r="GZ121" i="2"/>
  <c r="GZ8" i="2"/>
  <c r="GZ43" i="2"/>
  <c r="GZ145" i="2"/>
  <c r="GZ21" i="2"/>
  <c r="GZ142" i="2"/>
  <c r="GZ150" i="2"/>
  <c r="GZ166" i="2"/>
  <c r="GZ3" i="2"/>
  <c r="C15" i="4" s="1"/>
  <c r="E15" i="4" s="1"/>
  <c r="F15" i="4" s="1"/>
  <c r="G15" i="4" s="1"/>
  <c r="L15" i="4" s="1"/>
  <c r="FE67" i="2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E86" i="2" s="1"/>
  <c r="GV69" i="2"/>
  <c r="GW69" i="2" s="1"/>
  <c r="GX69" i="2" s="1"/>
  <c r="GY69" i="2" s="1"/>
  <c r="AJ69" i="2"/>
  <c r="AK69" i="2" s="1"/>
  <c r="AL69" i="2" s="1"/>
  <c r="AM69" i="2" s="1"/>
  <c r="GE134" i="2" l="1"/>
  <c r="GE54" i="2"/>
  <c r="GE200" i="2"/>
  <c r="GE145" i="2"/>
  <c r="GE149" i="2"/>
  <c r="GE112" i="2"/>
  <c r="GE50" i="2"/>
  <c r="GE195" i="2"/>
  <c r="GE156" i="2"/>
  <c r="GE150" i="2"/>
  <c r="GE126" i="2"/>
  <c r="GE61" i="2"/>
  <c r="GE94" i="2"/>
  <c r="GE135" i="2"/>
  <c r="GE30" i="2"/>
  <c r="GE21" i="2"/>
  <c r="GE58" i="2"/>
  <c r="GE178" i="2"/>
  <c r="GE57" i="2"/>
  <c r="GE73" i="2"/>
  <c r="GE72" i="2"/>
  <c r="GE5" i="2"/>
  <c r="GE120" i="2"/>
  <c r="GE175" i="2"/>
  <c r="GE87" i="2"/>
  <c r="GE59" i="2"/>
  <c r="GE46" i="2"/>
  <c r="GE75" i="2"/>
  <c r="GE91" i="2"/>
  <c r="GE122" i="2"/>
  <c r="GE70" i="2"/>
  <c r="GE27" i="2"/>
  <c r="GE56" i="2"/>
  <c r="GE187" i="2"/>
  <c r="GE154" i="2"/>
  <c r="GE92" i="2"/>
  <c r="GE79" i="2"/>
  <c r="GE131" i="2"/>
  <c r="GE65" i="2"/>
  <c r="GE36" i="2"/>
  <c r="GE22" i="2"/>
  <c r="GE66" i="2"/>
  <c r="GE78" i="2"/>
  <c r="GE180" i="2"/>
  <c r="GE49" i="2"/>
  <c r="GE166" i="2"/>
  <c r="GE176" i="2"/>
  <c r="GE76" i="2"/>
  <c r="GE8" i="2"/>
  <c r="GE171" i="2"/>
  <c r="GE203" i="2"/>
  <c r="GE177" i="2"/>
  <c r="GE173" i="2"/>
  <c r="GE163" i="2"/>
  <c r="GE9" i="2"/>
  <c r="GE111" i="2"/>
  <c r="GE193" i="2"/>
  <c r="GE25" i="2"/>
  <c r="GE99" i="2"/>
  <c r="GE143" i="2"/>
  <c r="GE164" i="2"/>
  <c r="GE199" i="2"/>
  <c r="GE64" i="2"/>
  <c r="GE127" i="2"/>
  <c r="GE89" i="2"/>
  <c r="GE15" i="2"/>
  <c r="GE152" i="2"/>
  <c r="GE32" i="2"/>
  <c r="GE10" i="2"/>
  <c r="GE84" i="2"/>
  <c r="GE138" i="2"/>
  <c r="GE44" i="2"/>
  <c r="GE23" i="2"/>
  <c r="GE104" i="2"/>
  <c r="GE123" i="2"/>
  <c r="GE19" i="2"/>
  <c r="GE130" i="2"/>
  <c r="GE157" i="2"/>
  <c r="GE136" i="2"/>
  <c r="GE16" i="2"/>
  <c r="GE43" i="2"/>
  <c r="GE155" i="2"/>
  <c r="GE68" i="2"/>
  <c r="GE182" i="2"/>
  <c r="GE159" i="2"/>
  <c r="GE3" i="2"/>
  <c r="C14" i="4" s="1"/>
  <c r="E14" i="4" s="1"/>
  <c r="F14" i="4" s="1"/>
  <c r="G14" i="4" s="1"/>
  <c r="L14" i="4" s="1"/>
  <c r="GE179" i="2"/>
  <c r="GE13" i="2"/>
  <c r="GE102" i="2"/>
  <c r="GE197" i="2"/>
  <c r="GE153" i="2"/>
  <c r="GE116" i="2"/>
  <c r="GE128" i="2"/>
  <c r="GE55" i="2"/>
  <c r="GE77" i="2"/>
  <c r="GE35" i="2"/>
  <c r="GE24" i="2"/>
  <c r="GE40" i="2"/>
  <c r="GE188" i="2"/>
  <c r="GE60" i="2"/>
  <c r="GE168" i="2"/>
  <c r="GE146" i="2"/>
  <c r="GE113" i="2"/>
  <c r="GE12" i="2"/>
  <c r="GE117" i="2"/>
  <c r="GE144" i="2"/>
  <c r="GE62" i="2"/>
  <c r="GE71" i="2"/>
  <c r="GE29" i="2"/>
  <c r="GE67" i="2"/>
  <c r="GE38" i="2"/>
  <c r="GE42" i="2"/>
  <c r="GE110" i="2"/>
  <c r="GE190" i="2"/>
  <c r="GE34" i="2"/>
  <c r="GE129" i="2"/>
  <c r="GE165" i="2"/>
  <c r="GE174" i="2"/>
  <c r="GE4" i="2"/>
  <c r="GE167" i="2"/>
  <c r="GE28" i="2"/>
  <c r="GE103" i="2"/>
  <c r="GE151" i="2"/>
  <c r="GE170" i="2"/>
  <c r="GE162" i="2"/>
  <c r="GE63" i="2"/>
  <c r="GE183" i="2"/>
  <c r="GE158" i="2"/>
  <c r="GE31" i="2"/>
  <c r="GE201" i="2"/>
  <c r="GE132" i="2"/>
  <c r="GE160" i="2"/>
  <c r="GE191" i="2"/>
  <c r="GE106" i="2"/>
  <c r="GE101" i="2"/>
  <c r="GE17" i="2"/>
  <c r="GE161" i="2"/>
  <c r="GE95" i="2"/>
  <c r="GE202" i="2"/>
  <c r="GE85" i="2"/>
  <c r="GE96" i="2"/>
  <c r="GE100" i="2"/>
  <c r="GE184" i="2"/>
  <c r="GE81" i="2"/>
  <c r="GE125" i="2"/>
  <c r="GE141" i="2"/>
  <c r="GE88" i="2"/>
  <c r="GE69" i="2"/>
  <c r="GE137" i="2"/>
  <c r="GE14" i="2"/>
  <c r="GE45" i="2"/>
  <c r="GE140" i="2"/>
  <c r="GE37" i="2"/>
  <c r="GE52" i="2"/>
  <c r="GE139" i="2"/>
  <c r="GE90" i="2"/>
  <c r="GE186" i="2"/>
  <c r="GE48" i="2"/>
  <c r="GE51" i="2"/>
  <c r="GE147" i="2"/>
  <c r="GE109" i="2"/>
  <c r="GE133" i="2"/>
  <c r="GE20" i="2"/>
  <c r="GE98" i="2"/>
  <c r="GE118" i="2"/>
  <c r="GE198" i="2"/>
  <c r="GE169" i="2"/>
  <c r="GE189" i="2"/>
  <c r="GE7" i="2"/>
  <c r="GE39" i="2"/>
  <c r="GE108" i="2"/>
  <c r="GE107" i="2"/>
  <c r="GE148" i="2"/>
  <c r="GE11" i="2"/>
  <c r="GE119" i="2"/>
  <c r="GE115" i="2"/>
  <c r="GE196" i="2"/>
  <c r="GE194" i="2"/>
  <c r="GE93" i="2"/>
  <c r="GE18" i="2"/>
  <c r="GE121" i="2"/>
  <c r="GE53" i="2"/>
  <c r="GE82" i="2"/>
  <c r="GE83" i="2"/>
  <c r="GE192" i="2"/>
  <c r="GE105" i="2"/>
  <c r="GE181" i="2"/>
  <c r="GE80" i="2"/>
  <c r="GE185" i="2"/>
  <c r="GE74" i="2"/>
  <c r="GE26" i="2"/>
  <c r="GE124" i="2"/>
  <c r="GE142" i="2"/>
  <c r="GE114" i="2"/>
  <c r="GE172" i="2"/>
  <c r="GE41" i="2"/>
  <c r="GE47" i="2"/>
  <c r="GE97" i="2"/>
  <c r="GE33" i="2"/>
  <c r="GE6" i="2"/>
  <c r="FE71" i="2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<sst xmlns="http://schemas.openxmlformats.org/spreadsheetml/2006/main" count="1173" uniqueCount="325">
  <si>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</si>
  <si>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</si>
  <si>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</si>
  <si>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</si>
  <si>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</si>
  <si>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</si>
  <si>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</si>
  <si>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</si>
  <si>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</si>
  <si>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</si>
  <si>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</si>
  <si>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</si>
  <si>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</si>
  <si>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</si>
  <si>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</si>
  <si>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</si>
  <si>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</si>
  <si>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</si>
  <si>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</si>
  <si>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</si>
  <si>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</si>
  <si>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</si>
  <si>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</si>
  <si>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</si>
  <si>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</si>
  <si>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</si>
  <si>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</si>
  <si>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</si>
  <si>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</si>
  <si>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</si>
  <si>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</si>
  <si>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</si>
  <si>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</si>
  <si>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</si>
  <si>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</si>
  <si>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</si>
  <si>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</si>
  <si>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</si>
  <si>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</si>
  <si>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</si>
  <si>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</si>
  <si>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</si>
  <si>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</si>
  <si>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</si>
  <si>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</si>
  <si>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</si>
  <si>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</si>
  <si>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</si>
  <si>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</si>
  <si>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</si>
  <si>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</si>
  <si>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</si>
  <si>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</si>
  <si>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</si>
  <si>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</si>
  <si>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</si>
  <si>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</si>
  <si>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</si>
  <si>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</si>
  <si>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</si>
  <si>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</si>
  <si>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</si>
  <si>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</si>
  <si>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</si>
  <si>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</si>
  <si>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</si>
  <si>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</si>
  <si>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</si>
  <si>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</si>
  <si>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</si>
  <si>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</si>
  <si>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</si>
  <si>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</si>
  <si>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</si>
  <si>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</si>
  <si>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</si>
  <si>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</si>
  <si>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</si>
  <si>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</si>
  <si>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</si>
  <si>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</si>
  <si>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</si>
  <si>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</si>
  <si>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</si>
  <si>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</si>
  <si>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</si>
  <si>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</si>
  <si>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</si>
  <si>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</si>
  <si>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</si>
  <si>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</si>
  <si>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</si>
  <si>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</si>
  <si>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</si>
  <si>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</si>
  <si>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</si>
  <si>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</si>
  <si>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</si>
  <si>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</si>
  <si>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</si>
  <si>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</si>
  <si>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</si>
  <si>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</si>
  <si>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</si>
  <si>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</si>
  <si>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</si>
  <si>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</si>
  <si>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</si>
  <si>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</si>
  <si>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</si>
  <si>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</si>
  <si>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</si>
  <si>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</si>
  <si>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</si>
  <si>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</si>
  <si>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</si>
  <si>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</si>
  <si>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</si>
  <si>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</si>
  <si>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</si>
  <si>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</si>
  <si>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</si>
  <si>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</si>
  <si>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</si>
  <si>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</si>
  <si>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</si>
  <si>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</si>
  <si>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</si>
  <si>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</si>
  <si>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</si>
  <si>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</si>
  <si>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</si>
  <si>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</si>
  <si>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</si>
  <si>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</si>
  <si>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</si>
  <si>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</si>
  <si>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</si>
  <si>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</si>
  <si>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</si>
  <si>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</si>
  <si>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</si>
  <si>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</si>
  <si>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</si>
  <si>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</si>
  <si>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</si>
  <si>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</si>
  <si>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</si>
  <si>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</si>
  <si>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</si>
  <si>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</si>
  <si>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</si>
  <si>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</si>
  <si>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</si>
  <si>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</si>
  <si>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</si>
  <si>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</si>
  <si>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</si>
  <si>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</si>
  <si>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</si>
  <si>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</si>
  <si>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</si>
  <si>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</si>
  <si>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</si>
  <si>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</si>
  <si>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</si>
  <si>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</si>
  <si>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</si>
  <si>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</si>
  <si>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</si>
  <si>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</si>
  <si>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</si>
  <si>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</si>
  <si>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</si>
  <si>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</si>
  <si>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</si>
  <si>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</si>
  <si>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</si>
  <si>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</si>
  <si>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</si>
  <si>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</si>
  <si>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</si>
  <si>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</si>
  <si>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</si>
  <si>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</si>
  <si>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</si>
  <si>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</si>
  <si>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</si>
  <si>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</si>
  <si>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</si>
  <si>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</si>
  <si>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</si>
  <si>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</si>
  <si>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</si>
  <si>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</si>
  <si>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</si>
  <si>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</si>
  <si>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</si>
  <si>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</si>
  <si>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</si>
  <si>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</si>
  <si>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</si>
  <si>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</si>
  <si>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</si>
  <si>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</si>
  <si>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</si>
  <si>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</si>
  <si>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</si>
  <si>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</si>
  <si>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</si>
  <si>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</si>
  <si>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</si>
  <si>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</si>
  <si>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</si>
  <si>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</si>
  <si>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</si>
  <si>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</si>
  <si>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</si>
  <si>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</si>
  <si>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</si>
  <si>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</si>
  <si>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</si>
  <si>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</si>
  <si>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</si>
  <si>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</si>
  <si>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</si>
  <si>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</si>
  <si>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</si>
  <si>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</si>
  <si>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</si>
  <si>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</si>
  <si>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</si>
  <si>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</si>
  <si>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</si>
  <si>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</si>
  <si>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</si>
  <si>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</si>
  <si>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</si>
  <si>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</si>
  <si>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</si>
  <si>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</si>
  <si>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</si>
  <si>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</si>
  <si>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</si>
  <si>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</si>
  <si>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</si>
  <si>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</si>
  <si>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</si>
  <si>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</si>
  <si>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</si>
  <si>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</si>
  <si>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</si>
  <si>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</si>
  <si>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</si>
  <si>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</si>
  <si>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</si>
  <si>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</si>
  <si>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</si>
  <si>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</si>
  <si>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</si>
  <si>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</si>
  <si>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</si>
  <si>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</si>
  <si>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</si>
  <si>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</si>
  <si>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</si>
  <si>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</si>
  <si>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</si>
  <si>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</si>
  <si>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</si>
  <si>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</si>
  <si>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</si>
  <si>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</si>
  <si>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</si>
  <si>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</si>
  <si>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</si>
  <si>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</si>
  <si>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</si>
  <si>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</si>
  <si>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</si>
  <si>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</si>
  <si>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</si>
  <si>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</si>
  <si>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</si>
  <si>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</si>
  <si>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</si>
  <si>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</si>
  <si>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</si>
  <si>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</si>
  <si>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</si>
  <si>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</si>
  <si>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</si>
  <si>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</si>
  <si>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</si>
  <si>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</si>
  <si>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</si>
  <si>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</si>
  <si>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</si>
  <si>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</si>
  <si>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</si>
  <si>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</si>
  <si>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</si>
  <si>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</si>
  <si>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</si>
  <si>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</si>
  <si>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</si>
  <si>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</si>
  <si>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</si>
  <si>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</si>
  <si>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</si>
  <si>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</si>
  <si>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</si>
  <si>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</si>
  <si>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</si>
  <si>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</si>
  <si>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</si>
  <si>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</si>
  <si>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</si>
  <si>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</si>
  <si>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</si>
  <si>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</si>
  <si>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</si>
  <si>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</si>
  <si>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</si>
  <si>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Chêne sessile + érable sycomore et plane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</si>
</sst>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2.7215305644991119</c:v>
                </c:pt>
                <c:pt idx="2">
                  <c:v>3.2058292136632871</c:v>
                </c:pt>
                <c:pt idx="3">
                  <c:v>3.7766249877618967</c:v>
                </c:pt>
                <c:pt idx="4">
                  <c:v>4.4494197759318128</c:v>
                </c:pt>
                <c:pt idx="5">
                  <c:v>5.2425026420165475</c:v>
                </c:pt>
                <c:pt idx="6">
                  <c:v>6.1774524454073623</c:v>
                </c:pt>
                <c:pt idx="7">
                  <c:v>7.279731351365875</c:v>
                </c:pt>
                <c:pt idx="8">
                  <c:v>8.5793857081002205</c:v>
                </c:pt>
                <c:pt idx="9">
                  <c:v>10.111873761925157</c:v>
                </c:pt>
                <c:pt idx="10">
                  <c:v>11.919043221083896</c:v>
                </c:pt>
                <c:pt idx="11">
                  <c:v>14.050285862708584</c:v>
                </c:pt>
                <c:pt idx="12">
                  <c:v>16.563901323586503</c:v>
                </c:pt>
                <c:pt idx="13">
                  <c:v>19.528708063023274</c:v>
                </c:pt>
                <c:pt idx="14">
                  <c:v>23.025946399735997</c:v>
                </c:pt>
                <c:pt idx="15">
                  <c:v>27.151526699050493</c:v>
                </c:pt>
                <c:pt idx="16">
                  <c:v>32.018685452011319</c:v>
                </c:pt>
                <c:pt idx="17">
                  <c:v>37.761123416768235</c:v>
                </c:pt>
                <c:pt idx="18">
                  <c:v>44.536713507062494</c:v>
                </c:pt>
                <c:pt idx="19">
                  <c:v>52.531882094072188</c:v>
                </c:pt>
                <c:pt idx="20">
                  <c:v>61.966786287367512</c:v>
                </c:pt>
                <c:pt idx="21">
                  <c:v>73.101432111948</c:v>
                </c:pt>
                <c:pt idx="22">
                  <c:v>86.242904932711554</c:v>
                </c:pt>
                <c:pt idx="23">
                  <c:v>101.75391474233156</c:v>
                </c:pt>
                <c:pt idx="24">
                  <c:v>120.06289590738133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538.05910815921254</c:v>
                </c:pt>
                <c:pt idx="104">
                  <c:v>546.8598017122614</c:v>
                </c:pt>
                <c:pt idx="105">
                  <c:v>555.65752423315951</c:v>
                </c:pt>
                <c:pt idx="106">
                  <c:v>525.42672503969118</c:v>
                </c:pt>
                <c:pt idx="107">
                  <c:v>533.46624406259446</c:v>
                </c:pt>
                <c:pt idx="108">
                  <c:v>541.50321514452014</c:v>
                </c:pt>
                <c:pt idx="109">
                  <c:v>549.53768144295748</c:v>
                </c:pt>
                <c:pt idx="110">
                  <c:v>557.56968475025781</c:v>
                </c:pt>
                <c:pt idx="111">
                  <c:v>527.72399304120302</c:v>
                </c:pt>
                <c:pt idx="112">
                  <c:v>534.23177896582058</c:v>
                </c:pt>
                <c:pt idx="113">
                  <c:v>540.73789791143372</c:v>
                </c:pt>
                <c:pt idx="114">
                  <c:v>547.24237277175052</c:v>
                </c:pt>
                <c:pt idx="115">
                  <c:v>553.74522585166301</c:v>
                </c:pt>
                <c:pt idx="116">
                  <c:v>530.40387297462291</c:v>
                </c:pt>
                <c:pt idx="117">
                  <c:v>537.67640106169438</c:v>
                </c:pt>
                <c:pt idx="118">
                  <c:v>544.94686208460496</c:v>
                </c:pt>
                <c:pt idx="119">
                  <c:v>552.21528751868721</c:v>
                </c:pt>
                <c:pt idx="120">
                  <c:v>559.4817079428916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6134592"/>
        <c:axId val="-96128608"/>
      </c:scatterChart>
      <c:valAx>
        <c:axId val="-961345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28608"/>
        <c:crosses val="autoZero"/>
        <c:crossBetween val="midCat"/>
      </c:valAx>
      <c:valAx>
        <c:axId val="-9612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345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32073056"/>
        <c:axId val="-232070880"/>
      </c:scatterChart>
      <c:valAx>
        <c:axId val="-2320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2070880"/>
        <c:crosses val="autoZero"/>
        <c:crossBetween val="midCat"/>
      </c:valAx>
      <c:valAx>
        <c:axId val="-232070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20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3.0373846637923445</c:v>
                </c:pt>
                <c:pt idx="2">
                  <c:v>3.5780906624925897</c:v>
                </c:pt>
                <c:pt idx="3">
                  <c:v>4.215402172997206</c:v>
                </c:pt>
                <c:pt idx="4">
                  <c:v>4.9666383866319377</c:v>
                </c:pt>
                <c:pt idx="5">
                  <c:v>5.8522333658713634</c:v>
                </c:pt>
                <c:pt idx="6">
                  <c:v>6.8962979189055469</c:v>
                </c:pt>
                <c:pt idx="7">
                  <c:v>8.1272831050814656</c:v>
                </c:pt>
                <c:pt idx="8">
                  <c:v>9.578763800182891</c:v>
                </c:pt>
                <c:pt idx="9">
                  <c:v>11.290364099936896</c:v>
                </c:pt>
                <c:pt idx="10">
                  <c:v>13.308850299577585</c:v>
                </c:pt>
                <c:pt idx="11">
                  <c:v>15.689421868067676</c:v>
                </c:pt>
                <c:pt idx="12">
                  <c:v>18.497236369330697</c:v>
                </c:pt>
                <c:pt idx="13">
                  <c:v>21.809210825304934</c:v>
                </c:pt>
                <c:pt idx="14">
                  <c:v>25.71614975099514</c:v>
                </c:pt>
                <c:pt idx="15">
                  <c:v>30.325259237860919</c:v>
                </c:pt>
                <c:pt idx="16">
                  <c:v>35.763117276597228</c:v>
                </c:pt>
                <c:pt idx="17">
                  <c:v>42.179183298551266</c:v>
                </c:pt>
                <c:pt idx="18">
                  <c:v>49.749945037412488</c:v>
                </c:pt>
                <c:pt idx="19">
                  <c:v>58.683818696173859</c:v>
                </c:pt>
                <c:pt idx="20">
                  <c:v>69.226939553605035</c:v>
                </c:pt>
                <c:pt idx="21">
                  <c:v>81.670005156979485</c:v>
                </c:pt>
                <c:pt idx="22">
                  <c:v>96.356362830373712</c:v>
                </c:pt>
                <c:pt idx="23">
                  <c:v>113.69156821680933</c:v>
                </c:pt>
                <c:pt idx="24">
                  <c:v>134.15468295741289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249.9076676355476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405.56917103469476</c:v>
                </c:pt>
                <c:pt idx="57">
                  <c:v>421.95854377334393</c:v>
                </c:pt>
                <c:pt idx="58">
                  <c:v>438.33421494585309</c:v>
                </c:pt>
                <c:pt idx="59">
                  <c:v>454.69676831549214</c:v>
                </c:pt>
                <c:pt idx="60">
                  <c:v>471.04674221919896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472.76708100439259</c:v>
                </c:pt>
                <c:pt idx="67">
                  <c:v>487.38463458913128</c:v>
                </c:pt>
                <c:pt idx="68">
                  <c:v>501.99288641186791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499.41562163511867</c:v>
                </c:pt>
                <c:pt idx="72">
                  <c:v>512.72849407236004</c:v>
                </c:pt>
                <c:pt idx="73">
                  <c:v>526.034069299154</c:v>
                </c:pt>
                <c:pt idx="74">
                  <c:v>539.33255785121992</c:v>
                </c:pt>
                <c:pt idx="75">
                  <c:v>552.62415903802309</c:v>
                </c:pt>
                <c:pt idx="76">
                  <c:v>520.45518659727634</c:v>
                </c:pt>
                <c:pt idx="77">
                  <c:v>533.32765337796286</c:v>
                </c:pt>
                <c:pt idx="78">
                  <c:v>546.193586977059</c:v>
                </c:pt>
                <c:pt idx="79">
                  <c:v>559.05316293312762</c:v>
                </c:pt>
                <c:pt idx="80">
                  <c:v>571.90654805285897</c:v>
                </c:pt>
                <c:pt idx="81">
                  <c:v>539.3325578512198</c:v>
                </c:pt>
                <c:pt idx="82">
                  <c:v>551.7668404903385</c:v>
                </c:pt>
                <c:pt idx="83">
                  <c:v>564.19525081895074</c:v>
                </c:pt>
                <c:pt idx="84">
                  <c:v>576.61793639178723</c:v>
                </c:pt>
                <c:pt idx="85">
                  <c:v>589.03503788906914</c:v>
                </c:pt>
                <c:pt idx="86">
                  <c:v>555.62455474096134</c:v>
                </c:pt>
                <c:pt idx="87">
                  <c:v>567.19434879973289</c:v>
                </c:pt>
                <c:pt idx="88">
                  <c:v>578.75921052572812</c:v>
                </c:pt>
                <c:pt idx="89">
                  <c:v>590.3192523477727</c:v>
                </c:pt>
                <c:pt idx="90">
                  <c:v>601.87458193334112</c:v>
                </c:pt>
                <c:pt idx="91">
                  <c:v>126.93642855917729</c:v>
                </c:pt>
                <c:pt idx="92">
                  <c:v>249.47152135339408</c:v>
                </c:pt>
                <c:pt idx="93">
                  <c:v>370.58520362876328</c:v>
                </c:pt>
                <c:pt idx="94">
                  <c:v>490.82269538774034</c:v>
                </c:pt>
                <c:pt idx="95">
                  <c:v>610.43110820893151</c:v>
                </c:pt>
                <c:pt idx="96">
                  <c:v>575.76138030334926</c:v>
                </c:pt>
                <c:pt idx="97">
                  <c:v>586.03831044894537</c:v>
                </c:pt>
                <c:pt idx="98">
                  <c:v>596.31148632519455</c:v>
                </c:pt>
                <c:pt idx="99">
                  <c:v>606.58098171901759</c:v>
                </c:pt>
                <c:pt idx="100">
                  <c:v>616.84686771553959</c:v>
                </c:pt>
                <c:pt idx="101">
                  <c:v>581.75671680137077</c:v>
                </c:pt>
                <c:pt idx="102">
                  <c:v>591.6034086352571</c:v>
                </c:pt>
                <c:pt idx="103">
                  <c:v>601.44668957799445</c:v>
                </c:pt>
                <c:pt idx="104">
                  <c:v>611.28662331597241</c:v>
                </c:pt>
                <c:pt idx="105">
                  <c:v>621.12327131831159</c:v>
                </c:pt>
                <c:pt idx="106">
                  <c:v>587.322661205072</c:v>
                </c:pt>
                <c:pt idx="107">
                  <c:v>596.31148632519489</c:v>
                </c:pt>
                <c:pt idx="108">
                  <c:v>605.29749361634447</c:v>
                </c:pt>
                <c:pt idx="109">
                  <c:v>614.28073080742217</c:v>
                </c:pt>
                <c:pt idx="110">
                  <c:v>623.26124411759065</c:v>
                </c:pt>
                <c:pt idx="111">
                  <c:v>589.8911873321473</c:v>
                </c:pt>
                <c:pt idx="112">
                  <c:v>597.16741718411004</c:v>
                </c:pt>
                <c:pt idx="113">
                  <c:v>604.44180348405223</c:v>
                </c:pt>
                <c:pt idx="114">
                  <c:v>611.71437155067463</c:v>
                </c:pt>
                <c:pt idx="115">
                  <c:v>618.98514605149171</c:v>
                </c:pt>
                <c:pt idx="116">
                  <c:v>592.88750689571225</c:v>
                </c:pt>
                <c:pt idx="117">
                  <c:v>601.01879089557644</c:v>
                </c:pt>
                <c:pt idx="118">
                  <c:v>609.14778887966042</c:v>
                </c:pt>
                <c:pt idx="119">
                  <c:v>617.27453565728842</c:v>
                </c:pt>
                <c:pt idx="120">
                  <c:v>625.39906504645444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6126976"/>
        <c:axId val="-96133504"/>
      </c:scatterChart>
      <c:valAx>
        <c:axId val="-961269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33504"/>
        <c:crosses val="autoZero"/>
        <c:crossBetween val="midCat"/>
      </c:valAx>
      <c:valAx>
        <c:axId val="-9613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269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2.1949567858312258</c:v>
                </c:pt>
                <c:pt idx="2">
                  <c:v>2.7816251237368212</c:v>
                </c:pt>
                <c:pt idx="3">
                  <c:v>3.5257195799874221</c:v>
                </c:pt>
                <c:pt idx="4">
                  <c:v>4.4696410633675532</c:v>
                </c:pt>
                <c:pt idx="5">
                  <c:v>5.6672503486462702</c:v>
                </c:pt>
                <c:pt idx="6">
                  <c:v>7.1869753481789695</c:v>
                </c:pt>
                <c:pt idx="7">
                  <c:v>9.115763396449081</c:v>
                </c:pt>
                <c:pt idx="8">
                  <c:v>11.564108969029164</c:v>
                </c:pt>
                <c:pt idx="9">
                  <c:v>14.672450244662597</c:v>
                </c:pt>
                <c:pt idx="10">
                  <c:v>18.619308162818584</c:v>
                </c:pt>
                <c:pt idx="11">
                  <c:v>23.631643866370535</c:v>
                </c:pt>
                <c:pt idx="12">
                  <c:v>29.998040690014353</c:v>
                </c:pt>
                <c:pt idx="13">
                  <c:v>38.085482861379397</c:v>
                </c:pt>
                <c:pt idx="14">
                  <c:v>48.360714644740732</c:v>
                </c:pt>
                <c:pt idx="15">
                  <c:v>61.4174333018235</c:v>
                </c:pt>
                <c:pt idx="16">
                  <c:v>71.249871520456722</c:v>
                </c:pt>
                <c:pt idx="17">
                  <c:v>85.490803817484263</c:v>
                </c:pt>
                <c:pt idx="18">
                  <c:v>99.671872945964807</c:v>
                </c:pt>
                <c:pt idx="19">
                  <c:v>113.80282201771517</c:v>
                </c:pt>
                <c:pt idx="20">
                  <c:v>127.89076379214983</c:v>
                </c:pt>
                <c:pt idx="21">
                  <c:v>106.74311974600884</c:v>
                </c:pt>
                <c:pt idx="22">
                  <c:v>122.31905294762315</c:v>
                </c:pt>
                <c:pt idx="23">
                  <c:v>137.84670781868599</c:v>
                </c:pt>
                <c:pt idx="24">
                  <c:v>153.33229557513832</c:v>
                </c:pt>
                <c:pt idx="25">
                  <c:v>168.78066680719567</c:v>
                </c:pt>
                <c:pt idx="26">
                  <c:v>146.17875680898456</c:v>
                </c:pt>
                <c:pt idx="27">
                  <c:v>162.95520023865575</c:v>
                </c:pt>
                <c:pt idx="28">
                  <c:v>179.69078619560835</c:v>
                </c:pt>
                <c:pt idx="29">
                  <c:v>196.38985757072419</c:v>
                </c:pt>
                <c:pt idx="30">
                  <c:v>213.05595726994454</c:v>
                </c:pt>
                <c:pt idx="31">
                  <c:v>229.69202803102669</c:v>
                </c:pt>
                <c:pt idx="32">
                  <c:v>194.21365668950932</c:v>
                </c:pt>
                <c:pt idx="33">
                  <c:v>210.88387892336638</c:v>
                </c:pt>
                <c:pt idx="34">
                  <c:v>227.52371705254282</c:v>
                </c:pt>
                <c:pt idx="35">
                  <c:v>244.13570624979181</c:v>
                </c:pt>
                <c:pt idx="36">
                  <c:v>260.72200828834224</c:v>
                </c:pt>
                <c:pt idx="37">
                  <c:v>277.28448730625303</c:v>
                </c:pt>
                <c:pt idx="38">
                  <c:v>241.45481667314718</c:v>
                </c:pt>
                <c:pt idx="39">
                  <c:v>257.53027834050721</c:v>
                </c:pt>
                <c:pt idx="40">
                  <c:v>273.58305693525381</c:v>
                </c:pt>
                <c:pt idx="41">
                  <c:v>289.61467077326057</c:v>
                </c:pt>
                <c:pt idx="42">
                  <c:v>305.62645631332936</c:v>
                </c:pt>
                <c:pt idx="43">
                  <c:v>321.61959852692468</c:v>
                </c:pt>
                <c:pt idx="44">
                  <c:v>337.59515490696026</c:v>
                </c:pt>
                <c:pt idx="45">
                  <c:v>290.77001527116278</c:v>
                </c:pt>
                <c:pt idx="46">
                  <c:v>305.67774556928345</c:v>
                </c:pt>
                <c:pt idx="47">
                  <c:v>320.56931776876598</c:v>
                </c:pt>
                <c:pt idx="48">
                  <c:v>335.44558817007095</c:v>
                </c:pt>
                <c:pt idx="49">
                  <c:v>350.3073309177887</c:v>
                </c:pt>
                <c:pt idx="50">
                  <c:v>365.15524910721001</c:v>
                </c:pt>
                <c:pt idx="51">
                  <c:v>379.9899839895499</c:v>
                </c:pt>
                <c:pt idx="52">
                  <c:v>394.81212266433704</c:v>
                </c:pt>
                <c:pt idx="53">
                  <c:v>339.5653263103564</c:v>
                </c:pt>
                <c:pt idx="54">
                  <c:v>352.9916936181225</c:v>
                </c:pt>
                <c:pt idx="55">
                  <c:v>366.40687182764276</c:v>
                </c:pt>
                <c:pt idx="56">
                  <c:v>379.81132833930809</c:v>
                </c:pt>
                <c:pt idx="57">
                  <c:v>393.20549486765344</c:v>
                </c:pt>
                <c:pt idx="58">
                  <c:v>406.58977131437899</c:v>
                </c:pt>
                <c:pt idx="59">
                  <c:v>419.96452910473823</c:v>
                </c:pt>
                <c:pt idx="60">
                  <c:v>433.33011407671552</c:v>
                </c:pt>
                <c:pt idx="61">
                  <c:v>378.62024388593505</c:v>
                </c:pt>
                <c:pt idx="62">
                  <c:v>391.00358835387692</c:v>
                </c:pt>
                <c:pt idx="63">
                  <c:v>403.3784266253918</c:v>
                </c:pt>
                <c:pt idx="64">
                  <c:v>415.74505644902712</c:v>
                </c:pt>
                <c:pt idx="65">
                  <c:v>428.10375641326391</c:v>
                </c:pt>
                <c:pt idx="66">
                  <c:v>440.4547877086984</c:v>
                </c:pt>
                <c:pt idx="67">
                  <c:v>452.79839568226072</c:v>
                </c:pt>
                <c:pt idx="68">
                  <c:v>465.13481121312185</c:v>
                </c:pt>
                <c:pt idx="69">
                  <c:v>477.46425193503552</c:v>
                </c:pt>
                <c:pt idx="70">
                  <c:v>1.1825802166488628E-12</c:v>
                </c:pt>
                <c:pt idx="71">
                  <c:v>1.1825802166488628E-12</c:v>
                </c:pt>
                <c:pt idx="72">
                  <c:v>1.1825802166488628E-12</c:v>
                </c:pt>
                <c:pt idx="73">
                  <c:v>1.1825802166488628E-12</c:v>
                </c:pt>
                <c:pt idx="74">
                  <c:v>1.1825802166488628E-12</c:v>
                </c:pt>
                <c:pt idx="75">
                  <c:v>1.1825802166488628E-12</c:v>
                </c:pt>
                <c:pt idx="76">
                  <c:v>1.1825802166488628E-12</c:v>
                </c:pt>
                <c:pt idx="77">
                  <c:v>1.1825802166488628E-12</c:v>
                </c:pt>
                <c:pt idx="78">
                  <c:v>1.1825802166488628E-12</c:v>
                </c:pt>
                <c:pt idx="79">
                  <c:v>1.1825802166488628E-12</c:v>
                </c:pt>
                <c:pt idx="80">
                  <c:v>1.1825802166488628E-12</c:v>
                </c:pt>
                <c:pt idx="81">
                  <c:v>1.1825802166488628E-12</c:v>
                </c:pt>
                <c:pt idx="82">
                  <c:v>1.1825802166488628E-12</c:v>
                </c:pt>
                <c:pt idx="83">
                  <c:v>1.1825802166488628E-12</c:v>
                </c:pt>
                <c:pt idx="84">
                  <c:v>1.1825802166488628E-12</c:v>
                </c:pt>
                <c:pt idx="85">
                  <c:v>1.1825802166488628E-12</c:v>
                </c:pt>
                <c:pt idx="86">
                  <c:v>1.1825802166488628E-12</c:v>
                </c:pt>
                <c:pt idx="87">
                  <c:v>1.1825802166488628E-12</c:v>
                </c:pt>
                <c:pt idx="88">
                  <c:v>1.1825802166488628E-12</c:v>
                </c:pt>
                <c:pt idx="89">
                  <c:v>1.1825802166488628E-12</c:v>
                </c:pt>
                <c:pt idx="90">
                  <c:v>1.1825802166488628E-12</c:v>
                </c:pt>
                <c:pt idx="91">
                  <c:v>1.1825802166488628E-12</c:v>
                </c:pt>
                <c:pt idx="92">
                  <c:v>1.1825802166488628E-12</c:v>
                </c:pt>
                <c:pt idx="93">
                  <c:v>1.1825802166488628E-12</c:v>
                </c:pt>
                <c:pt idx="94">
                  <c:v>1.1825802166488628E-12</c:v>
                </c:pt>
                <c:pt idx="95">
                  <c:v>1.1825802166488628E-12</c:v>
                </c:pt>
                <c:pt idx="96">
                  <c:v>1.1825802166488628E-12</c:v>
                </c:pt>
                <c:pt idx="97">
                  <c:v>1.1825802166488628E-12</c:v>
                </c:pt>
                <c:pt idx="98">
                  <c:v>1.1825802166488628E-12</c:v>
                </c:pt>
                <c:pt idx="99">
                  <c:v>1.1825802166488628E-12</c:v>
                </c:pt>
                <c:pt idx="100">
                  <c:v>1.1825802166488628E-12</c:v>
                </c:pt>
                <c:pt idx="101">
                  <c:v>1.1825802166488628E-12</c:v>
                </c:pt>
                <c:pt idx="102">
                  <c:v>1.1825802166488628E-12</c:v>
                </c:pt>
                <c:pt idx="103">
                  <c:v>1.1825802166488628E-12</c:v>
                </c:pt>
                <c:pt idx="104">
                  <c:v>1.1825802166488628E-12</c:v>
                </c:pt>
                <c:pt idx="105">
                  <c:v>1.1825802166488628E-12</c:v>
                </c:pt>
                <c:pt idx="106">
                  <c:v>1.1825802166488628E-12</c:v>
                </c:pt>
                <c:pt idx="107">
                  <c:v>1.1825802166488628E-12</c:v>
                </c:pt>
                <c:pt idx="108">
                  <c:v>1.1825802166488628E-12</c:v>
                </c:pt>
                <c:pt idx="109">
                  <c:v>1.1825802166488628E-12</c:v>
                </c:pt>
                <c:pt idx="110">
                  <c:v>1.1825802166488628E-12</c:v>
                </c:pt>
                <c:pt idx="111">
                  <c:v>1.1825802166488628E-12</c:v>
                </c:pt>
                <c:pt idx="112">
                  <c:v>1.1825802166488628E-12</c:v>
                </c:pt>
                <c:pt idx="113">
                  <c:v>1.1825802166488628E-12</c:v>
                </c:pt>
                <c:pt idx="114">
                  <c:v>1.1825802166488628E-12</c:v>
                </c:pt>
                <c:pt idx="115">
                  <c:v>1.1825802166488628E-12</c:v>
                </c:pt>
                <c:pt idx="116">
                  <c:v>1.1825802166488628E-12</c:v>
                </c:pt>
                <c:pt idx="117">
                  <c:v>1.1825802166488628E-12</c:v>
                </c:pt>
                <c:pt idx="118">
                  <c:v>1.1825802166488628E-12</c:v>
                </c:pt>
                <c:pt idx="119">
                  <c:v>1.1825802166488628E-12</c:v>
                </c:pt>
                <c:pt idx="120">
                  <c:v>1.1825802166488628E-12</c:v>
                </c:pt>
                <c:pt idx="121">
                  <c:v>1.1825802166488628E-12</c:v>
                </c:pt>
                <c:pt idx="122">
                  <c:v>1.1825802166488628E-12</c:v>
                </c:pt>
                <c:pt idx="123">
                  <c:v>1.1825802166488628E-12</c:v>
                </c:pt>
                <c:pt idx="124">
                  <c:v>1.1825802166488628E-12</c:v>
                </c:pt>
                <c:pt idx="125">
                  <c:v>1.1825802166488628E-12</c:v>
                </c:pt>
                <c:pt idx="126">
                  <c:v>1.1825802166488628E-12</c:v>
                </c:pt>
                <c:pt idx="127">
                  <c:v>1.1825802166488628E-12</c:v>
                </c:pt>
                <c:pt idx="128">
                  <c:v>1.1825802166488628E-12</c:v>
                </c:pt>
                <c:pt idx="129">
                  <c:v>1.1825802166488628E-12</c:v>
                </c:pt>
                <c:pt idx="130">
                  <c:v>1.1825802166488628E-12</c:v>
                </c:pt>
                <c:pt idx="131">
                  <c:v>1.1825802166488628E-12</c:v>
                </c:pt>
                <c:pt idx="132">
                  <c:v>1.1825802166488628E-12</c:v>
                </c:pt>
                <c:pt idx="133">
                  <c:v>1.1825802166488628E-12</c:v>
                </c:pt>
                <c:pt idx="134">
                  <c:v>1.1825802166488628E-12</c:v>
                </c:pt>
                <c:pt idx="135">
                  <c:v>1.1825802166488628E-12</c:v>
                </c:pt>
                <c:pt idx="136">
                  <c:v>1.1825802166488628E-12</c:v>
                </c:pt>
                <c:pt idx="137">
                  <c:v>1.1825802166488628E-12</c:v>
                </c:pt>
                <c:pt idx="138">
                  <c:v>1.1825802166488628E-12</c:v>
                </c:pt>
                <c:pt idx="139">
                  <c:v>1.1825802166488628E-12</c:v>
                </c:pt>
                <c:pt idx="140">
                  <c:v>1.1825802166488628E-12</c:v>
                </c:pt>
                <c:pt idx="141">
                  <c:v>1.1825802166488628E-12</c:v>
                </c:pt>
                <c:pt idx="142">
                  <c:v>1.1825802166488628E-12</c:v>
                </c:pt>
                <c:pt idx="143">
                  <c:v>1.1825802166488628E-12</c:v>
                </c:pt>
                <c:pt idx="144">
                  <c:v>1.1825802166488628E-12</c:v>
                </c:pt>
                <c:pt idx="145">
                  <c:v>1.1825802166488628E-12</c:v>
                </c:pt>
                <c:pt idx="146">
                  <c:v>1.1825802166488628E-12</c:v>
                </c:pt>
                <c:pt idx="147">
                  <c:v>1.1825802166488628E-12</c:v>
                </c:pt>
                <c:pt idx="148">
                  <c:v>1.1825802166488628E-12</c:v>
                </c:pt>
                <c:pt idx="149">
                  <c:v>1.1825802166488628E-12</c:v>
                </c:pt>
                <c:pt idx="150">
                  <c:v>1.1825802166488628E-12</c:v>
                </c:pt>
                <c:pt idx="151">
                  <c:v>1.1825802166488628E-12</c:v>
                </c:pt>
                <c:pt idx="152">
                  <c:v>1.1825802166488628E-12</c:v>
                </c:pt>
                <c:pt idx="153">
                  <c:v>1.1825802166488628E-12</c:v>
                </c:pt>
                <c:pt idx="154">
                  <c:v>1.1825802166488628E-12</c:v>
                </c:pt>
                <c:pt idx="155">
                  <c:v>1.1825802166488628E-12</c:v>
                </c:pt>
                <c:pt idx="156">
                  <c:v>1.1825802166488628E-12</c:v>
                </c:pt>
                <c:pt idx="157">
                  <c:v>1.1825802166488628E-12</c:v>
                </c:pt>
                <c:pt idx="158">
                  <c:v>1.1825802166488628E-12</c:v>
                </c:pt>
                <c:pt idx="159">
                  <c:v>1.1825802166488628E-12</c:v>
                </c:pt>
                <c:pt idx="160">
                  <c:v>1.1825802166488628E-12</c:v>
                </c:pt>
                <c:pt idx="161">
                  <c:v>1.1825802166488628E-12</c:v>
                </c:pt>
                <c:pt idx="162">
                  <c:v>1.1825802166488628E-12</c:v>
                </c:pt>
                <c:pt idx="163">
                  <c:v>1.1825802166488628E-12</c:v>
                </c:pt>
                <c:pt idx="164">
                  <c:v>1.1825802166488628E-12</c:v>
                </c:pt>
                <c:pt idx="165">
                  <c:v>1.1825802166488628E-12</c:v>
                </c:pt>
                <c:pt idx="166">
                  <c:v>1.1825802166488628E-12</c:v>
                </c:pt>
                <c:pt idx="167">
                  <c:v>1.1825802166488628E-12</c:v>
                </c:pt>
                <c:pt idx="168">
                  <c:v>1.1825802166488628E-12</c:v>
                </c:pt>
                <c:pt idx="169">
                  <c:v>1.1825802166488628E-12</c:v>
                </c:pt>
                <c:pt idx="170">
                  <c:v>1.1825802166488628E-12</c:v>
                </c:pt>
                <c:pt idx="171">
                  <c:v>1.1825802166488628E-12</c:v>
                </c:pt>
                <c:pt idx="172">
                  <c:v>1.1825802166488628E-12</c:v>
                </c:pt>
                <c:pt idx="173">
                  <c:v>1.1825802166488628E-12</c:v>
                </c:pt>
                <c:pt idx="174">
                  <c:v>1.1825802166488628E-12</c:v>
                </c:pt>
                <c:pt idx="175">
                  <c:v>1.1825802166488628E-12</c:v>
                </c:pt>
                <c:pt idx="176">
                  <c:v>1.1825802166488628E-12</c:v>
                </c:pt>
                <c:pt idx="177">
                  <c:v>1.1825802166488628E-12</c:v>
                </c:pt>
                <c:pt idx="178">
                  <c:v>1.1825802166488628E-12</c:v>
                </c:pt>
                <c:pt idx="179">
                  <c:v>1.1825802166488628E-12</c:v>
                </c:pt>
                <c:pt idx="180">
                  <c:v>1.1825802166488628E-12</c:v>
                </c:pt>
                <c:pt idx="181">
                  <c:v>1.1825802166488628E-12</c:v>
                </c:pt>
                <c:pt idx="182">
                  <c:v>1.1825802166488628E-12</c:v>
                </c:pt>
                <c:pt idx="183">
                  <c:v>1.1825802166488628E-12</c:v>
                </c:pt>
                <c:pt idx="184">
                  <c:v>1.1825802166488628E-12</c:v>
                </c:pt>
                <c:pt idx="185">
                  <c:v>1.1825802166488628E-12</c:v>
                </c:pt>
                <c:pt idx="186">
                  <c:v>1.1825802166488628E-12</c:v>
                </c:pt>
                <c:pt idx="187">
                  <c:v>1.1825802166488628E-12</c:v>
                </c:pt>
                <c:pt idx="188">
                  <c:v>1.1825802166488628E-12</c:v>
                </c:pt>
                <c:pt idx="189">
                  <c:v>1.1825802166488628E-12</c:v>
                </c:pt>
                <c:pt idx="190">
                  <c:v>1.1825802166488628E-12</c:v>
                </c:pt>
                <c:pt idx="191">
                  <c:v>1.1825802166488628E-12</c:v>
                </c:pt>
                <c:pt idx="192">
                  <c:v>1.1825802166488628E-12</c:v>
                </c:pt>
                <c:pt idx="193">
                  <c:v>1.1825802166488628E-12</c:v>
                </c:pt>
                <c:pt idx="194">
                  <c:v>1.1825802166488628E-12</c:v>
                </c:pt>
                <c:pt idx="195">
                  <c:v>1.1825802166488628E-12</c:v>
                </c:pt>
                <c:pt idx="196">
                  <c:v>1.1825802166488628E-12</c:v>
                </c:pt>
                <c:pt idx="197">
                  <c:v>1.1825802166488628E-12</c:v>
                </c:pt>
                <c:pt idx="198">
                  <c:v>1.1825802166488628E-12</c:v>
                </c:pt>
                <c:pt idx="199">
                  <c:v>1.1825802166488628E-12</c:v>
                </c:pt>
                <c:pt idx="200">
                  <c:v>1.1825802166488628E-12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6132960"/>
        <c:axId val="-96131872"/>
      </c:scatterChart>
      <c:valAx>
        <c:axId val="-961329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31872"/>
        <c:crosses val="autoZero"/>
        <c:crossBetween val="midCat"/>
      </c:valAx>
      <c:valAx>
        <c:axId val="-961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329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133.88554969577129</c:v>
                </c:pt>
                <c:pt idx="22">
                  <c:v>143.27355550168537</c:v>
                </c:pt>
                <c:pt idx="23">
                  <c:v>152.64683015838821</c:v>
                </c:pt>
                <c:pt idx="24">
                  <c:v>162.00640689272805</c:v>
                </c:pt>
                <c:pt idx="25">
                  <c:v>171.35318959873041</c:v>
                </c:pt>
                <c:pt idx="26">
                  <c:v>180.68797535583599</c:v>
                </c:pt>
                <c:pt idx="27">
                  <c:v>190.01147204026685</c:v>
                </c:pt>
                <c:pt idx="28">
                  <c:v>199.32431229219435</c:v>
                </c:pt>
                <c:pt idx="29">
                  <c:v>208.62706473142643</c:v>
                </c:pt>
                <c:pt idx="30">
                  <c:v>217.92024306476185</c:v>
                </c:pt>
                <c:pt idx="31">
                  <c:v>160.17621878306821</c:v>
                </c:pt>
                <c:pt idx="32">
                  <c:v>170.33782955280489</c:v>
                </c:pt>
                <c:pt idx="33">
                  <c:v>180.48516769023772</c:v>
                </c:pt>
                <c:pt idx="34">
                  <c:v>190.61914954910142</c:v>
                </c:pt>
                <c:pt idx="35">
                  <c:v>200.74058596732002</c:v>
                </c:pt>
                <c:pt idx="36">
                  <c:v>210.85019924163896</c:v>
                </c:pt>
                <c:pt idx="37">
                  <c:v>220.94863667100961</c:v>
                </c:pt>
                <c:pt idx="38">
                  <c:v>231.03648149074067</c:v>
                </c:pt>
                <c:pt idx="39">
                  <c:v>241.11426179447608</c:v>
                </c:pt>
                <c:pt idx="40">
                  <c:v>251.1824578846782</c:v>
                </c:pt>
                <c:pt idx="41">
                  <c:v>192.13814620457819</c:v>
                </c:pt>
                <c:pt idx="42">
                  <c:v>203.77468058377053</c:v>
                </c:pt>
                <c:pt idx="43">
                  <c:v>215.39584283593396</c:v>
                </c:pt>
                <c:pt idx="44">
                  <c:v>227.0025797348942</c:v>
                </c:pt>
                <c:pt idx="45">
                  <c:v>238.59573324490518</c:v>
                </c:pt>
                <c:pt idx="46">
                  <c:v>250.17605676255928</c:v>
                </c:pt>
                <c:pt idx="47">
                  <c:v>261.74422819048414</c:v>
                </c:pt>
                <c:pt idx="48">
                  <c:v>273.30086057644468</c:v>
                </c:pt>
                <c:pt idx="49">
                  <c:v>284.84651085713051</c:v>
                </c:pt>
                <c:pt idx="50">
                  <c:v>296.38168710899464</c:v>
                </c:pt>
                <c:pt idx="51">
                  <c:v>234.56482390663419</c:v>
                </c:pt>
                <c:pt idx="52">
                  <c:v>248.16297855306274</c:v>
                </c:pt>
                <c:pt idx="53">
                  <c:v>261.74422819048414</c:v>
                </c:pt>
                <c:pt idx="54">
                  <c:v>275.30957376859936</c:v>
                </c:pt>
                <c:pt idx="55">
                  <c:v>288.85990949975189</c:v>
                </c:pt>
                <c:pt idx="56">
                  <c:v>302.39603882080934</c:v>
                </c:pt>
                <c:pt idx="57">
                  <c:v>315.91868734548348</c:v>
                </c:pt>
                <c:pt idx="58">
                  <c:v>329.42851348169211</c:v>
                </c:pt>
                <c:pt idx="59">
                  <c:v>342.92611721533916</c:v>
                </c:pt>
                <c:pt idx="60">
                  <c:v>356.4120474383385</c:v>
                </c:pt>
                <c:pt idx="61">
                  <c:v>291.86913926751021</c:v>
                </c:pt>
                <c:pt idx="62">
                  <c:v>307.40596257029637</c:v>
                </c:pt>
                <c:pt idx="63">
                  <c:v>322.92534379451814</c:v>
                </c:pt>
                <c:pt idx="64">
                  <c:v>338.42823915402437</c:v>
                </c:pt>
                <c:pt idx="65">
                  <c:v>353.91551010384433</c:v>
                </c:pt>
                <c:pt idx="66">
                  <c:v>369.38793655321842</c:v>
                </c:pt>
                <c:pt idx="67">
                  <c:v>384.84622774857962</c:v>
                </c:pt>
                <c:pt idx="68">
                  <c:v>400.29103131634878</c:v>
                </c:pt>
                <c:pt idx="69">
                  <c:v>415.72294083711449</c:v>
                </c:pt>
                <c:pt idx="70">
                  <c:v>431.14250223646945</c:v>
                </c:pt>
                <c:pt idx="71">
                  <c:v>361.40397634816736</c:v>
                </c:pt>
                <c:pt idx="72">
                  <c:v>378.36539662842574</c:v>
                </c:pt>
                <c:pt idx="73">
                  <c:v>395.310273009897</c:v>
                </c:pt>
                <c:pt idx="74">
                  <c:v>412.23941423652178</c:v>
                </c:pt>
                <c:pt idx="75">
                  <c:v>429.15355722818907</c:v>
                </c:pt>
                <c:pt idx="76">
                  <c:v>446.05337609733306</c:v>
                </c:pt>
                <c:pt idx="77">
                  <c:v>462.93948972795494</c:v>
                </c:pt>
                <c:pt idx="78">
                  <c:v>479.81246819138977</c:v>
                </c:pt>
                <c:pt idx="79">
                  <c:v>496.6728382127958</c:v>
                </c:pt>
                <c:pt idx="80">
                  <c:v>513.52108785692201</c:v>
                </c:pt>
                <c:pt idx="81">
                  <c:v>438.59929855364607</c:v>
                </c:pt>
                <c:pt idx="82">
                  <c:v>455.98800633231934</c:v>
                </c:pt>
                <c:pt idx="83">
                  <c:v>473.36255181121783</c:v>
                </c:pt>
                <c:pt idx="84">
                  <c:v>490.72352773098049</c:v>
                </c:pt>
                <c:pt idx="85">
                  <c:v>508.0714814925293</c:v>
                </c:pt>
                <c:pt idx="86">
                  <c:v>525.40692008667054</c:v>
                </c:pt>
                <c:pt idx="87">
                  <c:v>542.7303143394812</c:v>
                </c:pt>
                <c:pt idx="88">
                  <c:v>560.04210258768592</c:v>
                </c:pt>
                <c:pt idx="89">
                  <c:v>577.34269387615848</c:v>
                </c:pt>
                <c:pt idx="90">
                  <c:v>594.63247075242327</c:v>
                </c:pt>
                <c:pt idx="91">
                  <c:v>515.99777715164339</c:v>
                </c:pt>
                <c:pt idx="92">
                  <c:v>534.31757023210309</c:v>
                </c:pt>
                <c:pt idx="93">
                  <c:v>552.62415903802309</c:v>
                </c:pt>
                <c:pt idx="94">
                  <c:v>570.91804225426574</c:v>
                </c:pt>
                <c:pt idx="95">
                  <c:v>589.19968402429186</c:v>
                </c:pt>
                <c:pt idx="96">
                  <c:v>607.46951736202516</c:v>
                </c:pt>
                <c:pt idx="97">
                  <c:v>625.72794713217797</c:v>
                </c:pt>
                <c:pt idx="98">
                  <c:v>643.97535266486341</c:v>
                </c:pt>
                <c:pt idx="99">
                  <c:v>662.21209005867013</c:v>
                </c:pt>
                <c:pt idx="100">
                  <c:v>680.43849421703806</c:v>
                </c:pt>
                <c:pt idx="101">
                  <c:v>580.80150260054677</c:v>
                </c:pt>
                <c:pt idx="102">
                  <c:v>580.80150260054677</c:v>
                </c:pt>
                <c:pt idx="103">
                  <c:v>580.80150260054677</c:v>
                </c:pt>
                <c:pt idx="104">
                  <c:v>580.80150260054677</c:v>
                </c:pt>
                <c:pt idx="105">
                  <c:v>580.80150260054677</c:v>
                </c:pt>
                <c:pt idx="106">
                  <c:v>580.80150260054677</c:v>
                </c:pt>
                <c:pt idx="107">
                  <c:v>580.80150260054677</c:v>
                </c:pt>
                <c:pt idx="108">
                  <c:v>580.80150260054677</c:v>
                </c:pt>
                <c:pt idx="109">
                  <c:v>580.80150260054677</c:v>
                </c:pt>
                <c:pt idx="110">
                  <c:v>580.80150260054677</c:v>
                </c:pt>
                <c:pt idx="111">
                  <c:v>580.80150260054677</c:v>
                </c:pt>
                <c:pt idx="112">
                  <c:v>580.80150260054677</c:v>
                </c:pt>
                <c:pt idx="113">
                  <c:v>580.80150260054677</c:v>
                </c:pt>
                <c:pt idx="114">
                  <c:v>580.80150260054677</c:v>
                </c:pt>
                <c:pt idx="115">
                  <c:v>580.80150260054677</c:v>
                </c:pt>
                <c:pt idx="116">
                  <c:v>580.80150260054677</c:v>
                </c:pt>
                <c:pt idx="117">
                  <c:v>580.80150260054677</c:v>
                </c:pt>
                <c:pt idx="118">
                  <c:v>580.80150260054677</c:v>
                </c:pt>
                <c:pt idx="119">
                  <c:v>580.80150260054677</c:v>
                </c:pt>
                <c:pt idx="120">
                  <c:v>580.80150260054677</c:v>
                </c:pt>
                <c:pt idx="121">
                  <c:v>580.80150260054677</c:v>
                </c:pt>
                <c:pt idx="122">
                  <c:v>580.80150260054677</c:v>
                </c:pt>
                <c:pt idx="123">
                  <c:v>580.80150260054677</c:v>
                </c:pt>
                <c:pt idx="124">
                  <c:v>580.80150260054677</c:v>
                </c:pt>
                <c:pt idx="125">
                  <c:v>580.80150260054677</c:v>
                </c:pt>
                <c:pt idx="126">
                  <c:v>580.80150260054677</c:v>
                </c:pt>
                <c:pt idx="127">
                  <c:v>580.80150260054677</c:v>
                </c:pt>
                <c:pt idx="128">
                  <c:v>580.80150260054677</c:v>
                </c:pt>
                <c:pt idx="129">
                  <c:v>580.80150260054677</c:v>
                </c:pt>
                <c:pt idx="130">
                  <c:v>580.80150260054677</c:v>
                </c:pt>
                <c:pt idx="131">
                  <c:v>580.80150260054677</c:v>
                </c:pt>
                <c:pt idx="132">
                  <c:v>580.80150260054677</c:v>
                </c:pt>
                <c:pt idx="133">
                  <c:v>580.80150260054677</c:v>
                </c:pt>
                <c:pt idx="134">
                  <c:v>580.80150260054677</c:v>
                </c:pt>
                <c:pt idx="135">
                  <c:v>580.80150260054677</c:v>
                </c:pt>
                <c:pt idx="136">
                  <c:v>580.80150260054677</c:v>
                </c:pt>
                <c:pt idx="137">
                  <c:v>580.80150260054677</c:v>
                </c:pt>
                <c:pt idx="138">
                  <c:v>580.80150260054677</c:v>
                </c:pt>
                <c:pt idx="139">
                  <c:v>580.80150260054677</c:v>
                </c:pt>
                <c:pt idx="140">
                  <c:v>580.80150260054677</c:v>
                </c:pt>
                <c:pt idx="141">
                  <c:v>580.80150260054677</c:v>
                </c:pt>
                <c:pt idx="142">
                  <c:v>580.80150260054677</c:v>
                </c:pt>
                <c:pt idx="143">
                  <c:v>580.80150260054677</c:v>
                </c:pt>
                <c:pt idx="144">
                  <c:v>580.80150260054677</c:v>
                </c:pt>
                <c:pt idx="145">
                  <c:v>580.80150260054677</c:v>
                </c:pt>
                <c:pt idx="146">
                  <c:v>580.80150260054677</c:v>
                </c:pt>
                <c:pt idx="147">
                  <c:v>580.80150260054677</c:v>
                </c:pt>
                <c:pt idx="148">
                  <c:v>580.80150260054677</c:v>
                </c:pt>
                <c:pt idx="149">
                  <c:v>580.80150260054677</c:v>
                </c:pt>
                <c:pt idx="150">
                  <c:v>580.80150260054677</c:v>
                </c:pt>
                <c:pt idx="151">
                  <c:v>580.80150260054677</c:v>
                </c:pt>
                <c:pt idx="152">
                  <c:v>580.80150260054677</c:v>
                </c:pt>
                <c:pt idx="153">
                  <c:v>580.80150260054677</c:v>
                </c:pt>
                <c:pt idx="154">
                  <c:v>580.80150260054677</c:v>
                </c:pt>
                <c:pt idx="155">
                  <c:v>580.80150260054677</c:v>
                </c:pt>
                <c:pt idx="156">
                  <c:v>580.80150260054677</c:v>
                </c:pt>
                <c:pt idx="157">
                  <c:v>580.80150260054677</c:v>
                </c:pt>
                <c:pt idx="158">
                  <c:v>580.80150260054677</c:v>
                </c:pt>
                <c:pt idx="159">
                  <c:v>580.80150260054677</c:v>
                </c:pt>
                <c:pt idx="160">
                  <c:v>580.80150260054677</c:v>
                </c:pt>
                <c:pt idx="161">
                  <c:v>580.80150260054677</c:v>
                </c:pt>
                <c:pt idx="162">
                  <c:v>580.80150260054677</c:v>
                </c:pt>
                <c:pt idx="163">
                  <c:v>580.80150260054677</c:v>
                </c:pt>
                <c:pt idx="164">
                  <c:v>580.80150260054677</c:v>
                </c:pt>
                <c:pt idx="165">
                  <c:v>580.80150260054677</c:v>
                </c:pt>
                <c:pt idx="166">
                  <c:v>580.80150260054677</c:v>
                </c:pt>
                <c:pt idx="167">
                  <c:v>580.80150260054677</c:v>
                </c:pt>
                <c:pt idx="168">
                  <c:v>580.80150260054677</c:v>
                </c:pt>
                <c:pt idx="169">
                  <c:v>580.80150260054677</c:v>
                </c:pt>
                <c:pt idx="170">
                  <c:v>580.80150260054677</c:v>
                </c:pt>
                <c:pt idx="171">
                  <c:v>580.80150260054677</c:v>
                </c:pt>
                <c:pt idx="172">
                  <c:v>580.80150260054677</c:v>
                </c:pt>
                <c:pt idx="173">
                  <c:v>580.80150260054677</c:v>
                </c:pt>
                <c:pt idx="174">
                  <c:v>580.80150260054677</c:v>
                </c:pt>
                <c:pt idx="175">
                  <c:v>580.80150260054677</c:v>
                </c:pt>
                <c:pt idx="176">
                  <c:v>580.80150260054677</c:v>
                </c:pt>
                <c:pt idx="177">
                  <c:v>580.80150260054677</c:v>
                </c:pt>
                <c:pt idx="178">
                  <c:v>580.80150260054677</c:v>
                </c:pt>
                <c:pt idx="179">
                  <c:v>580.80150260054677</c:v>
                </c:pt>
                <c:pt idx="180">
                  <c:v>580.80150260054677</c:v>
                </c:pt>
                <c:pt idx="181">
                  <c:v>580.80150260054677</c:v>
                </c:pt>
                <c:pt idx="182">
                  <c:v>580.80150260054677</c:v>
                </c:pt>
                <c:pt idx="183">
                  <c:v>580.80150260054677</c:v>
                </c:pt>
                <c:pt idx="184">
                  <c:v>580.80150260054677</c:v>
                </c:pt>
                <c:pt idx="185">
                  <c:v>580.80150260054677</c:v>
                </c:pt>
                <c:pt idx="186">
                  <c:v>580.80150260054677</c:v>
                </c:pt>
                <c:pt idx="187">
                  <c:v>580.80150260054677</c:v>
                </c:pt>
                <c:pt idx="188">
                  <c:v>580.80150260054677</c:v>
                </c:pt>
                <c:pt idx="189">
                  <c:v>580.80150260054677</c:v>
                </c:pt>
                <c:pt idx="190">
                  <c:v>580.80150260054677</c:v>
                </c:pt>
                <c:pt idx="191">
                  <c:v>580.80150260054677</c:v>
                </c:pt>
                <c:pt idx="192">
                  <c:v>580.80150260054677</c:v>
                </c:pt>
                <c:pt idx="193">
                  <c:v>580.80150260054677</c:v>
                </c:pt>
                <c:pt idx="194">
                  <c:v>580.80150260054677</c:v>
                </c:pt>
                <c:pt idx="195">
                  <c:v>580.80150260054677</c:v>
                </c:pt>
                <c:pt idx="196">
                  <c:v>580.80150260054677</c:v>
                </c:pt>
                <c:pt idx="197">
                  <c:v>580.80150260054677</c:v>
                </c:pt>
                <c:pt idx="198">
                  <c:v>580.80150260054677</c:v>
                </c:pt>
                <c:pt idx="199">
                  <c:v>580.80150260054677</c:v>
                </c:pt>
                <c:pt idx="200">
                  <c:v>580.80150260054677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6130784"/>
        <c:axId val="-96122080"/>
      </c:scatterChart>
      <c:valAx>
        <c:axId val="-961307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22080"/>
        <c:crosses val="autoZero"/>
        <c:crossBetween val="midCat"/>
      </c:valAx>
      <c:valAx>
        <c:axId val="-9612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30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2.0674175365629677</c:v>
                </c:pt>
                <c:pt idx="2">
                  <c:v>2.7563386153172069</c:v>
                </c:pt>
                <c:pt idx="3">
                  <c:v>3.6757828754088084</c:v>
                </c:pt>
                <c:pt idx="4">
                  <c:v>4.9031880948975504</c:v>
                </c:pt>
                <c:pt idx="5">
                  <c:v>6.5420997187463925</c:v>
                </c:pt>
                <c:pt idx="6">
                  <c:v>8.7310024967746021</c:v>
                </c:pt>
                <c:pt idx="7">
                  <c:v>11.65514889235574</c:v>
                </c:pt>
                <c:pt idx="8">
                  <c:v>15.562403998555673</c:v>
                </c:pt>
                <c:pt idx="9">
                  <c:v>20.784474580403991</c:v>
                </c:pt>
                <c:pt idx="10">
                  <c:v>27.76535669760619</c:v>
                </c:pt>
                <c:pt idx="11">
                  <c:v>37.09946291026079</c:v>
                </c:pt>
                <c:pt idx="12">
                  <c:v>49.582731081946882</c:v>
                </c:pt>
                <c:pt idx="13">
                  <c:v>64.583001936057926</c:v>
                </c:pt>
                <c:pt idx="14">
                  <c:v>79.492623892016056</c:v>
                </c:pt>
                <c:pt idx="15">
                  <c:v>94.331112571633255</c:v>
                </c:pt>
                <c:pt idx="16">
                  <c:v>109.11127889310849</c:v>
                </c:pt>
                <c:pt idx="17">
                  <c:v>106.81557526911295</c:v>
                </c:pt>
                <c:pt idx="18">
                  <c:v>124.16900365793684</c:v>
                </c:pt>
                <c:pt idx="19">
                  <c:v>141.46346401618726</c:v>
                </c:pt>
                <c:pt idx="20">
                  <c:v>158.70719102606964</c:v>
                </c:pt>
                <c:pt idx="21">
                  <c:v>149.60319730872013</c:v>
                </c:pt>
                <c:pt idx="22">
                  <c:v>169.09664015835338</c:v>
                </c:pt>
                <c:pt idx="23">
                  <c:v>188.53710283199996</c:v>
                </c:pt>
                <c:pt idx="24">
                  <c:v>207.9308195045044</c:v>
                </c:pt>
                <c:pt idx="25">
                  <c:v>188.53710283199996</c:v>
                </c:pt>
                <c:pt idx="26">
                  <c:v>209.22219955438308</c:v>
                </c:pt>
                <c:pt idx="27">
                  <c:v>229.86009453547467</c:v>
                </c:pt>
                <c:pt idx="28">
                  <c:v>250.45562182479364</c:v>
                </c:pt>
                <c:pt idx="29">
                  <c:v>224.48990116103005</c:v>
                </c:pt>
                <c:pt idx="30">
                  <c:v>243.5948932063433</c:v>
                </c:pt>
                <c:pt idx="31">
                  <c:v>262.66582457768635</c:v>
                </c:pt>
                <c:pt idx="32">
                  <c:v>281.70551574875822</c:v>
                </c:pt>
                <c:pt idx="33">
                  <c:v>300.7163746975063</c:v>
                </c:pt>
                <c:pt idx="34">
                  <c:v>319.7004800513119</c:v>
                </c:pt>
                <c:pt idx="35">
                  <c:v>277.21568679177352</c:v>
                </c:pt>
                <c:pt idx="36">
                  <c:v>293.67062981705698</c:v>
                </c:pt>
                <c:pt idx="37">
                  <c:v>310.10500044645323</c:v>
                </c:pt>
                <c:pt idx="38">
                  <c:v>326.52004227766406</c:v>
                </c:pt>
                <c:pt idx="39">
                  <c:v>342.9168636601741</c:v>
                </c:pt>
                <c:pt idx="40">
                  <c:v>359.29645830338887</c:v>
                </c:pt>
                <c:pt idx="41">
                  <c:v>762.37389283099253</c:v>
                </c:pt>
                <c:pt idx="42">
                  <c:v>1211.9377360122469</c:v>
                </c:pt>
                <c:pt idx="43">
                  <c:v>1658.2038638201002</c:v>
                </c:pt>
                <c:pt idx="44">
                  <c:v>2102.1960005635624</c:v>
                </c:pt>
                <c:pt idx="45">
                  <c:v>2544.4629743373057</c:v>
                </c:pt>
                <c:pt idx="46">
                  <c:v>2985.3461144081225</c:v>
                </c:pt>
                <c:pt idx="47">
                  <c:v>2635.4905890100417</c:v>
                </c:pt>
                <c:pt idx="48">
                  <c:v>2320.4478191729836</c:v>
                </c:pt>
                <c:pt idx="49">
                  <c:v>2004.6252112622769</c:v>
                </c:pt>
                <c:pt idx="50">
                  <c:v>1687.8801252099399</c:v>
                </c:pt>
                <c:pt idx="51">
                  <c:v>1370.0104099799862</c:v>
                </c:pt>
                <c:pt idx="52">
                  <c:v>1050.7084333926971</c:v>
                </c:pt>
                <c:pt idx="53">
                  <c:v>729.45168525398014</c:v>
                </c:pt>
                <c:pt idx="54">
                  <c:v>405.15980898705612</c:v>
                </c:pt>
                <c:pt idx="55">
                  <c:v>388.13420118594587</c:v>
                </c:pt>
                <c:pt idx="56">
                  <c:v>391.47693094284676</c:v>
                </c:pt>
                <c:pt idx="57">
                  <c:v>394.81904151240332</c:v>
                </c:pt>
                <c:pt idx="58">
                  <c:v>398.16053888286166</c:v>
                </c:pt>
                <c:pt idx="59">
                  <c:v>401.50142893362187</c:v>
                </c:pt>
                <c:pt idx="60">
                  <c:v>404.84171743812561</c:v>
                </c:pt>
                <c:pt idx="61">
                  <c:v>408.18141006664501</c:v>
                </c:pt>
                <c:pt idx="62">
                  <c:v>411.52051238897451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6125888"/>
        <c:axId val="-96130240"/>
      </c:scatterChart>
      <c:valAx>
        <c:axId val="-961258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30240"/>
        <c:crosses val="autoZero"/>
        <c:crossBetween val="midCat"/>
      </c:valAx>
      <c:valAx>
        <c:axId val="-9613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258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3.6928795229572735</c:v>
                </c:pt>
                <c:pt idx="2">
                  <c:v>7.210673527032438</c:v>
                </c:pt>
                <c:pt idx="3">
                  <c:v>10.671923697251939</c:v>
                </c:pt>
                <c:pt idx="4">
                  <c:v>14.09831893265293</c:v>
                </c:pt>
                <c:pt idx="5">
                  <c:v>17.499689353288161</c:v>
                </c:pt>
                <c:pt idx="6">
                  <c:v>20.881642470054711</c:v>
                </c:pt>
                <c:pt idx="7">
                  <c:v>24.247793228410334</c:v>
                </c:pt>
                <c:pt idx="8">
                  <c:v>27.600659580584363</c:v>
                </c:pt>
                <c:pt idx="9">
                  <c:v>30.942092253496213</c:v>
                </c:pt>
                <c:pt idx="10">
                  <c:v>34.273506574053052</c:v>
                </c:pt>
                <c:pt idx="11">
                  <c:v>37.596018423543512</c:v>
                </c:pt>
                <c:pt idx="12">
                  <c:v>40.91052915878921</c:v>
                </c:pt>
                <c:pt idx="13">
                  <c:v>44.217781343946626</c:v>
                </c:pt>
                <c:pt idx="14">
                  <c:v>47.518396812929439</c:v>
                </c:pt>
                <c:pt idx="15">
                  <c:v>50.812903532514696</c:v>
                </c:pt>
                <c:pt idx="16">
                  <c:v>54.101755091306785</c:v>
                </c:pt>
                <c:pt idx="17">
                  <c:v>57.385345174720761</c:v>
                </c:pt>
                <c:pt idx="18">
                  <c:v>60.664018535819743</c:v>
                </c:pt>
                <c:pt idx="19">
                  <c:v>63.938079458294339</c:v>
                </c:pt>
                <c:pt idx="20">
                  <c:v>67.207798386934755</c:v>
                </c:pt>
                <c:pt idx="21">
                  <c:v>70.473417194323318</c:v>
                </c:pt>
                <c:pt idx="22">
                  <c:v>73.735153415923619</c:v>
                </c:pt>
                <c:pt idx="23">
                  <c:v>76.993203693387372</c:v>
                </c:pt>
                <c:pt idx="24">
                  <c:v>80.247746602127407</c:v>
                </c:pt>
                <c:pt idx="25">
                  <c:v>83.4989449943496</c:v>
                </c:pt>
                <c:pt idx="26">
                  <c:v>86.746947956647091</c:v>
                </c:pt>
                <c:pt idx="27">
                  <c:v>89.991892457954805</c:v>
                </c:pt>
                <c:pt idx="28">
                  <c:v>93.233904746499661</c:v>
                </c:pt>
                <c:pt idx="29">
                  <c:v>96.473101541578345</c:v>
                </c:pt>
                <c:pt idx="30">
                  <c:v>99.709591056333849</c:v>
                </c:pt>
                <c:pt idx="31">
                  <c:v>102.94347388033047</c:v>
                </c:pt>
                <c:pt idx="32">
                  <c:v>106.17484374504984</c:v>
                </c:pt>
                <c:pt idx="33">
                  <c:v>109.40378819101143</c:v>
                </c:pt>
                <c:pt idx="34">
                  <c:v>112.63038915175814</c:v>
                </c:pt>
                <c:pt idx="35">
                  <c:v>115.85472346720707</c:v>
                </c:pt>
                <c:pt idx="36">
                  <c:v>119.07686333668265</c:v>
                </c:pt>
                <c:pt idx="37">
                  <c:v>122.29687672019755</c:v>
                </c:pt>
                <c:pt idx="38">
                  <c:v>125.51482769513211</c:v>
                </c:pt>
                <c:pt idx="39">
                  <c:v>128.73077677431209</c:v>
                </c:pt>
                <c:pt idx="40">
                  <c:v>131.94478119054523</c:v>
                </c:pt>
                <c:pt idx="41">
                  <c:v>135.15689515190326</c:v>
                </c:pt>
                <c:pt idx="42">
                  <c:v>138.36717007139728</c:v>
                </c:pt>
                <c:pt idx="43">
                  <c:v>141.57565477416253</c:v>
                </c:pt>
                <c:pt idx="44">
                  <c:v>144.7823956848278</c:v>
                </c:pt>
                <c:pt idx="45">
                  <c:v>147.98743699737079</c:v>
                </c:pt>
                <c:pt idx="46">
                  <c:v>151.19082082944934</c:v>
                </c:pt>
                <c:pt idx="47">
                  <c:v>154.39258736293431</c:v>
                </c:pt>
                <c:pt idx="48">
                  <c:v>157.59277497214467</c:v>
                </c:pt>
                <c:pt idx="49">
                  <c:v>160.79142034109452</c:v>
                </c:pt>
                <c:pt idx="50">
                  <c:v>163.98855857089856</c:v>
                </c:pt>
                <c:pt idx="51">
                  <c:v>167.40000017337508</c:v>
                </c:pt>
                <c:pt idx="52">
                  <c:v>195.8144655919192</c:v>
                </c:pt>
                <c:pt idx="53">
                  <c:v>224.13303001046606</c:v>
                </c:pt>
                <c:pt idx="54">
                  <c:v>252.36952096475366</c:v>
                </c:pt>
                <c:pt idx="55">
                  <c:v>280.53441182760793</c:v>
                </c:pt>
                <c:pt idx="56">
                  <c:v>308.63589845303488</c:v>
                </c:pt>
                <c:pt idx="57">
                  <c:v>336.68056140227941</c:v>
                </c:pt>
                <c:pt idx="58">
                  <c:v>364.67379527072262</c:v>
                </c:pt>
                <c:pt idx="59">
                  <c:v>392.62009899923305</c:v>
                </c:pt>
                <c:pt idx="60">
                  <c:v>420.52327908104741</c:v>
                </c:pt>
                <c:pt idx="61">
                  <c:v>448.38659596270901</c:v>
                </c:pt>
                <c:pt idx="62">
                  <c:v>476.21287213324496</c:v>
                </c:pt>
                <c:pt idx="63">
                  <c:v>504.00457362467711</c:v>
                </c:pt>
                <c:pt idx="64">
                  <c:v>531.76387259866704</c:v>
                </c:pt>
                <c:pt idx="65">
                  <c:v>559.49269618608912</c:v>
                </c:pt>
                <c:pt idx="66">
                  <c:v>410.43104789452468</c:v>
                </c:pt>
                <c:pt idx="67">
                  <c:v>437.83165116339183</c:v>
                </c:pt>
                <c:pt idx="68">
                  <c:v>465.1954827843349</c:v>
                </c:pt>
                <c:pt idx="69">
                  <c:v>492.52500730640014</c:v>
                </c:pt>
                <c:pt idx="70">
                  <c:v>519.82239372367246</c:v>
                </c:pt>
                <c:pt idx="71">
                  <c:v>547.08956488969136</c:v>
                </c:pt>
                <c:pt idx="72">
                  <c:v>574.32823657058123</c:v>
                </c:pt>
                <c:pt idx="73">
                  <c:v>601.53994870729957</c:v>
                </c:pt>
                <c:pt idx="74">
                  <c:v>628.72609073014416</c:v>
                </c:pt>
                <c:pt idx="75">
                  <c:v>655.88792227026045</c:v>
                </c:pt>
                <c:pt idx="76">
                  <c:v>683.02659026472747</c:v>
                </c:pt>
                <c:pt idx="77">
                  <c:v>710.14314320426092</c:v>
                </c:pt>
                <c:pt idx="78">
                  <c:v>737.23854309381466</c:v>
                </c:pt>
                <c:pt idx="79">
                  <c:v>764.31367556537077</c:v>
                </c:pt>
                <c:pt idx="80">
                  <c:v>791.3693584849774</c:v>
                </c:pt>
                <c:pt idx="81">
                  <c:v>548.37759372419703</c:v>
                </c:pt>
                <c:pt idx="82">
                  <c:v>571.82234339495687</c:v>
                </c:pt>
                <c:pt idx="83">
                  <c:v>595.24702382922203</c:v>
                </c:pt>
                <c:pt idx="84">
                  <c:v>618.65253504572036</c:v>
                </c:pt>
                <c:pt idx="85">
                  <c:v>642.03970348525024</c:v>
                </c:pt>
                <c:pt idx="86">
                  <c:v>665.40929054037463</c:v>
                </c:pt>
                <c:pt idx="87">
                  <c:v>688.76199982558148</c:v>
                </c:pt>
                <c:pt idx="88">
                  <c:v>712.09848341112047</c:v>
                </c:pt>
                <c:pt idx="89">
                  <c:v>735.41934719800918</c:v>
                </c:pt>
                <c:pt idx="90">
                  <c:v>758.72515557653514</c:v>
                </c:pt>
                <c:pt idx="91">
                  <c:v>782.01643548326001</c:v>
                </c:pt>
                <c:pt idx="92">
                  <c:v>805.29367995013854</c:v>
                </c:pt>
                <c:pt idx="93">
                  <c:v>828.5573512224546</c:v>
                </c:pt>
                <c:pt idx="94">
                  <c:v>851.8078835088246</c:v>
                </c:pt>
                <c:pt idx="95">
                  <c:v>875.0456854157427</c:v>
                </c:pt>
                <c:pt idx="96">
                  <c:v>3.0223687026961078E-12</c:v>
                </c:pt>
                <c:pt idx="97">
                  <c:v>3.0223687026961078E-12</c:v>
                </c:pt>
                <c:pt idx="98">
                  <c:v>3.0223687026961078E-12</c:v>
                </c:pt>
                <c:pt idx="99">
                  <c:v>3.0223687026961078E-12</c:v>
                </c:pt>
                <c:pt idx="100">
                  <c:v>3.0223687026961078E-12</c:v>
                </c:pt>
                <c:pt idx="101">
                  <c:v>3.0223687026961078E-12</c:v>
                </c:pt>
                <c:pt idx="102">
                  <c:v>3.0223687026961078E-12</c:v>
                </c:pt>
                <c:pt idx="103">
                  <c:v>3.0223687026961078E-12</c:v>
                </c:pt>
                <c:pt idx="104">
                  <c:v>3.0223687026961078E-12</c:v>
                </c:pt>
                <c:pt idx="105">
                  <c:v>3.0223687026961078E-12</c:v>
                </c:pt>
                <c:pt idx="106">
                  <c:v>3.0223687026961078E-12</c:v>
                </c:pt>
                <c:pt idx="107">
                  <c:v>3.0223687026961078E-12</c:v>
                </c:pt>
                <c:pt idx="108">
                  <c:v>3.0223687026961078E-12</c:v>
                </c:pt>
                <c:pt idx="109">
                  <c:v>3.0223687026961078E-12</c:v>
                </c:pt>
                <c:pt idx="110">
                  <c:v>3.0223687026961078E-12</c:v>
                </c:pt>
                <c:pt idx="111">
                  <c:v>3.0223687026961078E-12</c:v>
                </c:pt>
                <c:pt idx="112">
                  <c:v>3.0223687026961078E-12</c:v>
                </c:pt>
                <c:pt idx="113">
                  <c:v>3.0223687026961078E-12</c:v>
                </c:pt>
                <c:pt idx="114">
                  <c:v>3.0223687026961078E-12</c:v>
                </c:pt>
                <c:pt idx="115">
                  <c:v>3.0223687026961078E-12</c:v>
                </c:pt>
                <c:pt idx="116">
                  <c:v>3.0223687026961078E-12</c:v>
                </c:pt>
                <c:pt idx="117">
                  <c:v>3.0223687026961078E-12</c:v>
                </c:pt>
                <c:pt idx="118">
                  <c:v>3.0223687026961078E-12</c:v>
                </c:pt>
                <c:pt idx="119">
                  <c:v>3.0223687026961078E-12</c:v>
                </c:pt>
                <c:pt idx="120">
                  <c:v>3.0223687026961078E-12</c:v>
                </c:pt>
                <c:pt idx="121">
                  <c:v>3.0223687026961078E-12</c:v>
                </c:pt>
                <c:pt idx="122">
                  <c:v>3.0223687026961078E-12</c:v>
                </c:pt>
                <c:pt idx="123">
                  <c:v>3.0223687026961078E-12</c:v>
                </c:pt>
                <c:pt idx="124">
                  <c:v>3.0223687026961078E-12</c:v>
                </c:pt>
                <c:pt idx="125">
                  <c:v>3.0223687026961078E-12</c:v>
                </c:pt>
                <c:pt idx="126">
                  <c:v>3.0223687026961078E-12</c:v>
                </c:pt>
                <c:pt idx="127">
                  <c:v>3.0223687026961078E-12</c:v>
                </c:pt>
                <c:pt idx="128">
                  <c:v>3.0223687026961078E-12</c:v>
                </c:pt>
                <c:pt idx="129">
                  <c:v>3.0223687026961078E-12</c:v>
                </c:pt>
                <c:pt idx="130">
                  <c:v>3.0223687026961078E-12</c:v>
                </c:pt>
                <c:pt idx="131">
                  <c:v>3.0223687026961078E-12</c:v>
                </c:pt>
                <c:pt idx="132">
                  <c:v>3.0223687026961078E-12</c:v>
                </c:pt>
                <c:pt idx="133">
                  <c:v>3.0223687026961078E-12</c:v>
                </c:pt>
                <c:pt idx="134">
                  <c:v>3.0223687026961078E-12</c:v>
                </c:pt>
                <c:pt idx="135">
                  <c:v>3.0223687026961078E-12</c:v>
                </c:pt>
                <c:pt idx="136">
                  <c:v>3.0223687026961078E-12</c:v>
                </c:pt>
                <c:pt idx="137">
                  <c:v>3.0223687026961078E-12</c:v>
                </c:pt>
                <c:pt idx="138">
                  <c:v>3.0223687026961078E-12</c:v>
                </c:pt>
                <c:pt idx="139">
                  <c:v>3.0223687026961078E-12</c:v>
                </c:pt>
                <c:pt idx="140">
                  <c:v>3.0223687026961078E-12</c:v>
                </c:pt>
                <c:pt idx="141">
                  <c:v>3.0223687026961078E-12</c:v>
                </c:pt>
                <c:pt idx="142">
                  <c:v>3.0223687026961078E-12</c:v>
                </c:pt>
                <c:pt idx="143">
                  <c:v>3.0223687026961078E-12</c:v>
                </c:pt>
                <c:pt idx="144">
                  <c:v>3.0223687026961078E-12</c:v>
                </c:pt>
                <c:pt idx="145">
                  <c:v>3.0223687026961078E-12</c:v>
                </c:pt>
                <c:pt idx="146">
                  <c:v>3.0223687026961078E-12</c:v>
                </c:pt>
                <c:pt idx="147">
                  <c:v>3.0223687026961078E-12</c:v>
                </c:pt>
                <c:pt idx="148">
                  <c:v>3.0223687026961078E-12</c:v>
                </c:pt>
                <c:pt idx="149">
                  <c:v>3.0223687026961078E-12</c:v>
                </c:pt>
                <c:pt idx="150">
                  <c:v>3.0223687026961078E-12</c:v>
                </c:pt>
                <c:pt idx="151">
                  <c:v>3.0223687026961078E-12</c:v>
                </c:pt>
                <c:pt idx="152">
                  <c:v>3.0223687026961078E-12</c:v>
                </c:pt>
                <c:pt idx="153">
                  <c:v>3.0223687026961078E-12</c:v>
                </c:pt>
                <c:pt idx="154">
                  <c:v>3.0223687026961078E-12</c:v>
                </c:pt>
                <c:pt idx="155">
                  <c:v>3.0223687026961078E-12</c:v>
                </c:pt>
                <c:pt idx="156">
                  <c:v>3.0223687026961078E-12</c:v>
                </c:pt>
                <c:pt idx="157">
                  <c:v>3.0223687026961078E-12</c:v>
                </c:pt>
                <c:pt idx="158">
                  <c:v>3.0223687026961078E-12</c:v>
                </c:pt>
                <c:pt idx="159">
                  <c:v>3.0223687026961078E-12</c:v>
                </c:pt>
                <c:pt idx="160">
                  <c:v>3.0223687026961078E-12</c:v>
                </c:pt>
                <c:pt idx="161">
                  <c:v>3.0223687026961078E-12</c:v>
                </c:pt>
                <c:pt idx="162">
                  <c:v>3.0223687026961078E-12</c:v>
                </c:pt>
                <c:pt idx="163">
                  <c:v>3.0223687026961078E-12</c:v>
                </c:pt>
                <c:pt idx="164">
                  <c:v>3.0223687026961078E-12</c:v>
                </c:pt>
                <c:pt idx="165">
                  <c:v>3.0223687026961078E-12</c:v>
                </c:pt>
                <c:pt idx="166">
                  <c:v>3.0223687026961078E-12</c:v>
                </c:pt>
                <c:pt idx="167">
                  <c:v>3.0223687026961078E-12</c:v>
                </c:pt>
                <c:pt idx="168">
                  <c:v>3.0223687026961078E-12</c:v>
                </c:pt>
                <c:pt idx="169">
                  <c:v>3.0223687026961078E-12</c:v>
                </c:pt>
                <c:pt idx="170">
                  <c:v>3.0223687026961078E-12</c:v>
                </c:pt>
                <c:pt idx="171">
                  <c:v>3.0223687026961078E-12</c:v>
                </c:pt>
                <c:pt idx="172">
                  <c:v>3.0223687026961078E-12</c:v>
                </c:pt>
                <c:pt idx="173">
                  <c:v>3.0223687026961078E-12</c:v>
                </c:pt>
                <c:pt idx="174">
                  <c:v>3.0223687026961078E-12</c:v>
                </c:pt>
                <c:pt idx="175">
                  <c:v>3.0223687026961078E-12</c:v>
                </c:pt>
                <c:pt idx="176">
                  <c:v>3.0223687026961078E-12</c:v>
                </c:pt>
                <c:pt idx="177">
                  <c:v>3.0223687026961078E-12</c:v>
                </c:pt>
                <c:pt idx="178">
                  <c:v>3.0223687026961078E-12</c:v>
                </c:pt>
                <c:pt idx="179">
                  <c:v>3.0223687026961078E-12</c:v>
                </c:pt>
                <c:pt idx="180">
                  <c:v>3.0223687026961078E-12</c:v>
                </c:pt>
                <c:pt idx="181">
                  <c:v>3.0223687026961078E-12</c:v>
                </c:pt>
                <c:pt idx="182">
                  <c:v>3.0223687026961078E-12</c:v>
                </c:pt>
                <c:pt idx="183">
                  <c:v>3.0223687026961078E-12</c:v>
                </c:pt>
                <c:pt idx="184">
                  <c:v>3.0223687026961078E-12</c:v>
                </c:pt>
                <c:pt idx="185">
                  <c:v>3.0223687026961078E-12</c:v>
                </c:pt>
                <c:pt idx="186">
                  <c:v>3.0223687026961078E-12</c:v>
                </c:pt>
                <c:pt idx="187">
                  <c:v>3.0223687026961078E-12</c:v>
                </c:pt>
                <c:pt idx="188">
                  <c:v>3.0223687026961078E-12</c:v>
                </c:pt>
                <c:pt idx="189">
                  <c:v>3.0223687026961078E-12</c:v>
                </c:pt>
                <c:pt idx="190">
                  <c:v>3.0223687026961078E-12</c:v>
                </c:pt>
                <c:pt idx="191">
                  <c:v>3.0223687026961078E-12</c:v>
                </c:pt>
                <c:pt idx="192">
                  <c:v>3.0223687026961078E-12</c:v>
                </c:pt>
                <c:pt idx="193">
                  <c:v>3.0223687026961078E-12</c:v>
                </c:pt>
                <c:pt idx="194">
                  <c:v>3.0223687026961078E-12</c:v>
                </c:pt>
                <c:pt idx="195">
                  <c:v>3.0223687026961078E-12</c:v>
                </c:pt>
                <c:pt idx="196">
                  <c:v>3.0223687026961078E-12</c:v>
                </c:pt>
                <c:pt idx="197">
                  <c:v>3.0223687026961078E-12</c:v>
                </c:pt>
                <c:pt idx="198">
                  <c:v>3.0223687026961078E-12</c:v>
                </c:pt>
                <c:pt idx="199">
                  <c:v>3.0223687026961078E-12</c:v>
                </c:pt>
                <c:pt idx="200">
                  <c:v>3.0223687026961078E-12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6124800"/>
        <c:axId val="-96124256"/>
      </c:scatterChart>
      <c:valAx>
        <c:axId val="-9612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24256"/>
        <c:crosses val="autoZero"/>
        <c:crossBetween val="midCat"/>
      </c:valAx>
      <c:valAx>
        <c:axId val="-96124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2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6123712"/>
        <c:axId val="-96123168"/>
      </c:scatterChart>
      <c:valAx>
        <c:axId val="-961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23168"/>
        <c:crosses val="autoZero"/>
        <c:crossBetween val="midCat"/>
      </c:valAx>
      <c:valAx>
        <c:axId val="-961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6122624"/>
        <c:axId val="-96137312"/>
      </c:scatterChart>
      <c:valAx>
        <c:axId val="-961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37312"/>
        <c:crosses val="autoZero"/>
        <c:crossBetween val="midCat"/>
      </c:valAx>
      <c:valAx>
        <c:axId val="-96137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32084480"/>
        <c:axId val="-232080672"/>
      </c:scatterChart>
      <c:valAx>
        <c:axId val="-2320844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2080672"/>
        <c:crosses val="autoZero"/>
        <c:crossBetween val="midCat"/>
      </c:valAx>
      <c:valAx>
        <c:axId val="-23208067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2084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71093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E15" sqref="E15"/>
    </sheetView>
  </sheetViews>
  <sheetFormatPr baseColWidth="10" defaultColWidth="11.42578125" defaultRowHeight="15" x14ac:dyDescent="0.25"/>
  <cols>
    <col min="1" max="1" width="13.7109375" style="23" customWidth="1"/>
    <col min="2" max="2" width="36.28515625" style="23" customWidth="1"/>
    <col min="3" max="3" width="14.7109375" style="23" bestFit="1" customWidth="1"/>
    <col min="4" max="4" width="16.42578125" style="23" customWidth="1"/>
    <col min="5" max="5" width="23.28515625" style="23" customWidth="1"/>
    <col min="6" max="6" width="28.7109375" style="23" bestFit="1" customWidth="1"/>
    <col min="7" max="8" width="14.7109375" style="23" customWidth="1"/>
    <col min="9" max="9" width="17" style="23" customWidth="1"/>
    <col min="10" max="10" width="13.71093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4.5199999999999996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14</v>
      </c>
      <c r="C9" s="32">
        <v>0.08</v>
      </c>
      <c r="D9" s="33">
        <f t="shared" ref="D9:D18" si="0">C9*$C$5</f>
        <v>0.36159999999999998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12</v>
      </c>
      <c r="C10" s="32">
        <v>0.08</v>
      </c>
      <c r="D10" s="33">
        <f t="shared" si="0"/>
        <v>0.36159999999999998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50</v>
      </c>
      <c r="C11" s="32">
        <v>0.05</v>
      </c>
      <c r="D11" s="33">
        <f t="shared" si="0"/>
        <v>0.22599999999999998</v>
      </c>
      <c r="E11" s="34">
        <v>69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164</v>
      </c>
      <c r="C12" s="32">
        <v>0.27</v>
      </c>
      <c r="D12" s="33">
        <f t="shared" si="0"/>
        <v>1.2203999999999999</v>
      </c>
      <c r="E12" s="34">
        <v>100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36</v>
      </c>
      <c r="C13" s="32">
        <v>0.16</v>
      </c>
      <c r="D13" s="33">
        <f t="shared" si="0"/>
        <v>0.72319999999999995</v>
      </c>
      <c r="E13" s="34">
        <v>62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47</v>
      </c>
      <c r="C14" s="32">
        <v>0.36</v>
      </c>
      <c r="D14" s="33">
        <f t="shared" si="0"/>
        <v>1.6271999999999998</v>
      </c>
      <c r="E14" s="34">
        <v>95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4.5199999999999996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25</v>
      </c>
      <c r="B36" s="60">
        <v>70</v>
      </c>
      <c r="C36" s="60">
        <v>2</v>
      </c>
      <c r="D36" s="60">
        <v>8</v>
      </c>
      <c r="E36" s="51">
        <v>0.2</v>
      </c>
      <c r="F36" s="51">
        <v>0.2</v>
      </c>
      <c r="G36" s="51">
        <v>0.6</v>
      </c>
      <c r="H36" s="51"/>
      <c r="I36" s="49">
        <f>IFERROR(B36/A36,"")</f>
        <v>2.8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30</v>
      </c>
      <c r="B37" s="60">
        <v>97</v>
      </c>
      <c r="C37" s="60">
        <v>3</v>
      </c>
      <c r="D37" s="60">
        <v>21</v>
      </c>
      <c r="E37" s="51">
        <v>0.3</v>
      </c>
      <c r="F37" s="51">
        <v>0.4</v>
      </c>
      <c r="G37" s="51">
        <v>0.3</v>
      </c>
      <c r="H37" s="51"/>
      <c r="I37" s="53">
        <f t="shared" ref="I37:I52" si="1">IF(A37&lt;&gt;0,(B37-(B36-D36))/(A37-A36),"")</f>
        <v>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35</v>
      </c>
      <c r="B38" s="60">
        <v>116</v>
      </c>
      <c r="C38" s="60">
        <v>4</v>
      </c>
      <c r="D38" s="60">
        <v>21</v>
      </c>
      <c r="E38" s="51"/>
      <c r="F38" s="51"/>
      <c r="G38" s="51"/>
      <c r="H38" s="51"/>
      <c r="I38" s="53">
        <f t="shared" si="1"/>
        <v>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40</v>
      </c>
      <c r="B39" s="60">
        <v>137</v>
      </c>
      <c r="C39" s="60">
        <v>5</v>
      </c>
      <c r="D39" s="60">
        <v>21</v>
      </c>
      <c r="E39" s="51"/>
      <c r="F39" s="51"/>
      <c r="G39" s="51"/>
      <c r="H39" s="51"/>
      <c r="I39" s="49">
        <f t="shared" si="1"/>
        <v>8.4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45</v>
      </c>
      <c r="B40" s="60">
        <v>158</v>
      </c>
      <c r="C40" s="60">
        <v>6</v>
      </c>
      <c r="D40" s="60">
        <v>21</v>
      </c>
      <c r="E40" s="51"/>
      <c r="F40" s="51"/>
      <c r="G40" s="51"/>
      <c r="H40" s="51"/>
      <c r="I40" s="49">
        <f t="shared" si="1"/>
        <v>8.4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50</v>
      </c>
      <c r="B41" s="60">
        <v>178</v>
      </c>
      <c r="C41" s="60">
        <v>7</v>
      </c>
      <c r="D41" s="60">
        <v>21</v>
      </c>
      <c r="E41" s="51"/>
      <c r="F41" s="51"/>
      <c r="G41" s="51"/>
      <c r="H41" s="51"/>
      <c r="I41" s="53">
        <f t="shared" si="1"/>
        <v>8.1999999999999993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55</v>
      </c>
      <c r="B42" s="60">
        <v>197</v>
      </c>
      <c r="C42" s="60">
        <v>8</v>
      </c>
      <c r="D42" s="60">
        <v>21</v>
      </c>
      <c r="E42" s="51"/>
      <c r="F42" s="51"/>
      <c r="G42" s="51"/>
      <c r="H42" s="51"/>
      <c r="I42" s="53">
        <f t="shared" si="1"/>
        <v>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60</v>
      </c>
      <c r="B43" s="60">
        <v>214</v>
      </c>
      <c r="C43" s="60">
        <v>9</v>
      </c>
      <c r="D43" s="60">
        <v>21</v>
      </c>
      <c r="E43" s="51"/>
      <c r="F43" s="51"/>
      <c r="G43" s="51"/>
      <c r="H43" s="51"/>
      <c r="I43" s="49">
        <f t="shared" si="1"/>
        <v>7.6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65</v>
      </c>
      <c r="B44" s="60">
        <v>229</v>
      </c>
      <c r="C44" s="60">
        <v>10</v>
      </c>
      <c r="D44" s="60">
        <v>21</v>
      </c>
      <c r="E44" s="51"/>
      <c r="F44" s="51"/>
      <c r="G44" s="51"/>
      <c r="H44" s="51"/>
      <c r="I44" s="49">
        <f t="shared" si="1"/>
        <v>7.2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70</v>
      </c>
      <c r="B45" s="60">
        <v>242</v>
      </c>
      <c r="C45" s="60">
        <v>11</v>
      </c>
      <c r="D45" s="60">
        <v>21</v>
      </c>
      <c r="E45" s="51"/>
      <c r="F45" s="51"/>
      <c r="G45" s="51"/>
      <c r="H45" s="51"/>
      <c r="I45" s="49">
        <f t="shared" si="1"/>
        <v>6.8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75</v>
      </c>
      <c r="B46" s="60">
        <v>252</v>
      </c>
      <c r="C46" s="60">
        <v>12</v>
      </c>
      <c r="D46" s="60">
        <v>21</v>
      </c>
      <c r="E46" s="51"/>
      <c r="F46" s="51"/>
      <c r="G46" s="51"/>
      <c r="H46" s="51"/>
      <c r="I46" s="49">
        <f t="shared" si="1"/>
        <v>6.2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>
        <v>80</v>
      </c>
      <c r="B47" s="60">
        <v>261</v>
      </c>
      <c r="C47" s="60">
        <v>13</v>
      </c>
      <c r="D47" s="60">
        <v>21</v>
      </c>
      <c r="E47" s="51"/>
      <c r="F47" s="51"/>
      <c r="G47" s="51"/>
      <c r="H47" s="51"/>
      <c r="I47" s="49">
        <f t="shared" si="1"/>
        <v>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>
        <v>85</v>
      </c>
      <c r="B48" s="60">
        <v>269</v>
      </c>
      <c r="C48" s="60">
        <v>14</v>
      </c>
      <c r="D48" s="60">
        <v>21</v>
      </c>
      <c r="E48" s="51"/>
      <c r="F48" s="51"/>
      <c r="G48" s="51"/>
      <c r="H48" s="51"/>
      <c r="I48" s="49">
        <f t="shared" si="1"/>
        <v>5.8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>
        <v>90</v>
      </c>
      <c r="B49" s="60">
        <v>275</v>
      </c>
      <c r="C49" s="60">
        <v>15</v>
      </c>
      <c r="D49" s="60">
        <v>21</v>
      </c>
      <c r="E49" s="51"/>
      <c r="F49" s="51"/>
      <c r="G49" s="51"/>
      <c r="H49" s="51"/>
      <c r="I49" s="49">
        <f t="shared" si="1"/>
        <v>5.4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>
        <v>95</v>
      </c>
      <c r="B50" s="50">
        <v>279</v>
      </c>
      <c r="C50" s="50">
        <v>16</v>
      </c>
      <c r="D50" s="50">
        <v>21</v>
      </c>
      <c r="E50" s="51"/>
      <c r="F50" s="51"/>
      <c r="G50" s="51"/>
      <c r="H50" s="51"/>
      <c r="I50" s="49">
        <f t="shared" si="1"/>
        <v>5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>
        <v>100</v>
      </c>
      <c r="B51" s="50">
        <v>282</v>
      </c>
      <c r="C51" s="50">
        <v>17</v>
      </c>
      <c r="D51" s="50">
        <v>21</v>
      </c>
      <c r="E51" s="51"/>
      <c r="F51" s="51"/>
      <c r="G51" s="51"/>
      <c r="H51" s="51"/>
      <c r="I51" s="49">
        <f t="shared" si="1"/>
        <v>4.8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>
        <v>105</v>
      </c>
      <c r="B52" s="50">
        <v>284</v>
      </c>
      <c r="C52" s="50">
        <v>18</v>
      </c>
      <c r="D52" s="50">
        <v>20</v>
      </c>
      <c r="E52" s="51"/>
      <c r="F52" s="51"/>
      <c r="G52" s="51"/>
      <c r="H52" s="51"/>
      <c r="I52" s="49">
        <f t="shared" si="1"/>
        <v>4.5999999999999996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>
        <v>110</v>
      </c>
      <c r="B53" s="50">
        <v>285</v>
      </c>
      <c r="C53" s="50">
        <v>19</v>
      </c>
      <c r="D53" s="50">
        <v>19</v>
      </c>
      <c r="E53" s="51"/>
      <c r="F53" s="51"/>
      <c r="G53" s="51"/>
      <c r="H53" s="51"/>
      <c r="I53" s="49">
        <f t="shared" ref="I53:I55" si="2">IF(A53&lt;&gt;0,(B53-(B52-D52))/(A53-A52),"")</f>
        <v>4.2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>
        <v>115</v>
      </c>
      <c r="B54" s="50">
        <v>283</v>
      </c>
      <c r="C54" s="50">
        <v>20</v>
      </c>
      <c r="D54" s="50">
        <v>16</v>
      </c>
      <c r="E54" s="51"/>
      <c r="F54" s="51"/>
      <c r="G54" s="51"/>
      <c r="H54" s="51"/>
      <c r="I54" s="49">
        <f t="shared" si="2"/>
        <v>3.4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>
        <v>120</v>
      </c>
      <c r="B55" s="50">
        <v>286</v>
      </c>
      <c r="C55" s="50">
        <v>21</v>
      </c>
      <c r="D55" s="50">
        <v>286</v>
      </c>
      <c r="E55" s="51"/>
      <c r="F55" s="51"/>
      <c r="G55" s="51"/>
      <c r="H55" s="51"/>
      <c r="I55" s="49">
        <f t="shared" si="2"/>
        <v>3.8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pubescent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25</v>
      </c>
      <c r="B62" s="60">
        <v>70</v>
      </c>
      <c r="C62" s="60">
        <v>2</v>
      </c>
      <c r="D62" s="60">
        <v>8</v>
      </c>
      <c r="E62" s="51">
        <v>0.2</v>
      </c>
      <c r="F62" s="51">
        <v>0.2</v>
      </c>
      <c r="G62" s="51">
        <v>0.6</v>
      </c>
      <c r="H62" s="51"/>
      <c r="I62" s="53">
        <f>IFERROR(B62/A62,"")</f>
        <v>2.8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v>97</v>
      </c>
      <c r="C63" s="60">
        <v>3</v>
      </c>
      <c r="D63" s="60">
        <v>21</v>
      </c>
      <c r="E63" s="51">
        <v>0.3</v>
      </c>
      <c r="F63" s="51">
        <v>0.4</v>
      </c>
      <c r="G63" s="51">
        <v>0.3</v>
      </c>
      <c r="H63" s="51"/>
      <c r="I63" s="49">
        <f>IF(A63&lt;&gt;0,(B63-(B62-D62))/(A63-A62),"")</f>
        <v>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35</v>
      </c>
      <c r="B64" s="60">
        <v>116</v>
      </c>
      <c r="C64" s="60">
        <v>4</v>
      </c>
      <c r="D64" s="60">
        <v>21</v>
      </c>
      <c r="E64" s="51"/>
      <c r="F64" s="51"/>
      <c r="G64" s="51"/>
      <c r="H64" s="51"/>
      <c r="I64" s="49">
        <f>IF(A64&lt;&gt;0,(B64-(B63-D63))/(A64-A63),"")</f>
        <v>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40</v>
      </c>
      <c r="B65" s="60">
        <v>137</v>
      </c>
      <c r="C65" s="60">
        <v>5</v>
      </c>
      <c r="D65" s="60">
        <v>21</v>
      </c>
      <c r="E65" s="51"/>
      <c r="F65" s="51"/>
      <c r="G65" s="51"/>
      <c r="H65" s="51"/>
      <c r="I65" s="49">
        <f>IF(A65&lt;&gt;0,(B65-(B64-D64))/(A65-A64),"")</f>
        <v>8.4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45</v>
      </c>
      <c r="B66" s="60">
        <v>158</v>
      </c>
      <c r="C66" s="60">
        <v>6</v>
      </c>
      <c r="D66" s="60">
        <v>21</v>
      </c>
      <c r="E66" s="51"/>
      <c r="F66" s="51"/>
      <c r="G66" s="51"/>
      <c r="H66" s="51"/>
      <c r="I66" s="49">
        <f t="shared" ref="I66:I81" si="3">IF(A66&lt;&gt;0,(B66-(B65-D65))/(A66-A65),"")</f>
        <v>8.4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50</v>
      </c>
      <c r="B67" s="60">
        <v>178</v>
      </c>
      <c r="C67" s="60">
        <v>7</v>
      </c>
      <c r="D67" s="60">
        <v>21</v>
      </c>
      <c r="E67" s="51"/>
      <c r="F67" s="51"/>
      <c r="G67" s="51"/>
      <c r="H67" s="51"/>
      <c r="I67" s="49">
        <f t="shared" si="3"/>
        <v>8.1999999999999993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55</v>
      </c>
      <c r="B68" s="60">
        <v>197</v>
      </c>
      <c r="C68" s="60">
        <v>8</v>
      </c>
      <c r="D68" s="60">
        <v>21</v>
      </c>
      <c r="E68" s="51"/>
      <c r="F68" s="51"/>
      <c r="G68" s="51"/>
      <c r="H68" s="51"/>
      <c r="I68" s="49">
        <f t="shared" si="3"/>
        <v>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60</v>
      </c>
      <c r="B69" s="50">
        <v>214</v>
      </c>
      <c r="C69" s="50">
        <v>9</v>
      </c>
      <c r="D69" s="50">
        <v>21</v>
      </c>
      <c r="E69" s="51"/>
      <c r="F69" s="51"/>
      <c r="G69" s="51"/>
      <c r="H69" s="51"/>
      <c r="I69" s="49">
        <f t="shared" si="3"/>
        <v>7.6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65</v>
      </c>
      <c r="B70" s="50">
        <v>229</v>
      </c>
      <c r="C70" s="50">
        <v>10</v>
      </c>
      <c r="D70" s="50">
        <v>21</v>
      </c>
      <c r="E70" s="51"/>
      <c r="F70" s="51"/>
      <c r="G70" s="51"/>
      <c r="H70" s="51"/>
      <c r="I70" s="49">
        <f t="shared" si="3"/>
        <v>7.2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70</v>
      </c>
      <c r="B71" s="50">
        <v>242</v>
      </c>
      <c r="C71" s="50">
        <v>11</v>
      </c>
      <c r="D71" s="50">
        <v>21</v>
      </c>
      <c r="E71" s="51"/>
      <c r="F71" s="51"/>
      <c r="G71" s="51"/>
      <c r="H71" s="51"/>
      <c r="I71" s="49">
        <f t="shared" si="3"/>
        <v>6.8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75</v>
      </c>
      <c r="B72" s="50">
        <v>252</v>
      </c>
      <c r="C72" s="50">
        <v>12</v>
      </c>
      <c r="D72" s="50">
        <v>21</v>
      </c>
      <c r="E72" s="51"/>
      <c r="F72" s="51"/>
      <c r="G72" s="51"/>
      <c r="H72" s="51"/>
      <c r="I72" s="49">
        <f t="shared" si="3"/>
        <v>6.2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>
        <v>80</v>
      </c>
      <c r="B73" s="50">
        <v>261</v>
      </c>
      <c r="C73" s="50">
        <v>13</v>
      </c>
      <c r="D73" s="50">
        <v>21</v>
      </c>
      <c r="E73" s="51"/>
      <c r="F73" s="51"/>
      <c r="G73" s="51"/>
      <c r="H73" s="51"/>
      <c r="I73" s="49">
        <f t="shared" si="3"/>
        <v>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>
        <v>85</v>
      </c>
      <c r="B74" s="50">
        <v>269</v>
      </c>
      <c r="C74" s="50">
        <v>14</v>
      </c>
      <c r="D74" s="50">
        <v>21</v>
      </c>
      <c r="E74" s="51"/>
      <c r="F74" s="51"/>
      <c r="G74" s="51"/>
      <c r="H74" s="51"/>
      <c r="I74" s="49">
        <f t="shared" si="3"/>
        <v>5.8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>
        <v>90</v>
      </c>
      <c r="B75" s="50">
        <v>275</v>
      </c>
      <c r="C75" s="50">
        <v>15</v>
      </c>
      <c r="D75" s="50">
        <v>275</v>
      </c>
      <c r="E75" s="51"/>
      <c r="F75" s="51"/>
      <c r="G75" s="51"/>
      <c r="H75" s="51"/>
      <c r="I75" s="49">
        <f t="shared" si="3"/>
        <v>5.4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>
        <v>95</v>
      </c>
      <c r="B76" s="50">
        <v>279</v>
      </c>
      <c r="C76" s="50">
        <v>16</v>
      </c>
      <c r="D76" s="50">
        <v>21</v>
      </c>
      <c r="E76" s="51"/>
      <c r="F76" s="51"/>
      <c r="G76" s="51"/>
      <c r="H76" s="51"/>
      <c r="I76" s="49">
        <f t="shared" si="3"/>
        <v>55.8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>
        <v>100</v>
      </c>
      <c r="B77" s="50">
        <v>282</v>
      </c>
      <c r="C77" s="50">
        <v>17</v>
      </c>
      <c r="D77" s="50">
        <v>21</v>
      </c>
      <c r="E77" s="51"/>
      <c r="F77" s="51"/>
      <c r="G77" s="51"/>
      <c r="H77" s="51"/>
      <c r="I77" s="49">
        <f t="shared" si="3"/>
        <v>4.8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>
        <v>105</v>
      </c>
      <c r="B78" s="50">
        <v>284</v>
      </c>
      <c r="C78" s="50">
        <v>18</v>
      </c>
      <c r="D78" s="50">
        <v>20</v>
      </c>
      <c r="E78" s="51"/>
      <c r="F78" s="51"/>
      <c r="G78" s="51"/>
      <c r="H78" s="51"/>
      <c r="I78" s="49">
        <f t="shared" si="3"/>
        <v>4.5999999999999996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>
        <v>110</v>
      </c>
      <c r="B79" s="50">
        <v>285</v>
      </c>
      <c r="C79" s="50">
        <v>19</v>
      </c>
      <c r="D79" s="50">
        <v>19</v>
      </c>
      <c r="E79" s="51"/>
      <c r="F79" s="51"/>
      <c r="G79" s="51"/>
      <c r="H79" s="51"/>
      <c r="I79" s="49">
        <f t="shared" si="3"/>
        <v>4.2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>
        <v>115</v>
      </c>
      <c r="B80" s="50">
        <v>283</v>
      </c>
      <c r="C80" s="50">
        <v>20</v>
      </c>
      <c r="D80" s="50">
        <v>16</v>
      </c>
      <c r="E80" s="51"/>
      <c r="F80" s="51"/>
      <c r="G80" s="51"/>
      <c r="H80" s="51"/>
      <c r="I80" s="49">
        <f t="shared" si="3"/>
        <v>3.4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>
        <v>120</v>
      </c>
      <c r="B81" s="50">
        <v>286</v>
      </c>
      <c r="C81" s="50">
        <v>21</v>
      </c>
      <c r="D81" s="50">
        <v>286</v>
      </c>
      <c r="E81" s="51"/>
      <c r="F81" s="51"/>
      <c r="G81" s="51"/>
      <c r="H81" s="51"/>
      <c r="I81" s="49">
        <f t="shared" si="3"/>
        <v>3.8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Tilleul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15</v>
      </c>
      <c r="B88" s="60">
        <v>40</v>
      </c>
      <c r="C88" s="60">
        <v>2</v>
      </c>
      <c r="D88" s="60">
        <v>3</v>
      </c>
      <c r="E88" s="51">
        <v>0.2</v>
      </c>
      <c r="F88" s="51">
        <v>0.2</v>
      </c>
      <c r="G88" s="51">
        <v>0.6</v>
      </c>
      <c r="H88" s="87"/>
      <c r="I88" s="53">
        <f>IFERROR(B88/A88,"")</f>
        <v>2.6666666666666665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20</v>
      </c>
      <c r="B89" s="60">
        <v>85</v>
      </c>
      <c r="C89" s="60">
        <v>3</v>
      </c>
      <c r="D89" s="60">
        <v>25</v>
      </c>
      <c r="E89" s="51">
        <v>0.3</v>
      </c>
      <c r="F89" s="51">
        <v>0.4</v>
      </c>
      <c r="G89" s="51">
        <v>0.3</v>
      </c>
      <c r="H89" s="87"/>
      <c r="I89" s="53">
        <f t="shared" ref="I89:I100" si="4">IF(A89&lt;&gt;0,(B89-(B88-D88))/(A89-A88),"")</f>
        <v>9.6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25</v>
      </c>
      <c r="B90" s="60">
        <v>113</v>
      </c>
      <c r="C90" s="60">
        <v>4</v>
      </c>
      <c r="D90" s="60">
        <v>27</v>
      </c>
      <c r="E90" s="87">
        <v>0.3</v>
      </c>
      <c r="F90" s="87">
        <v>0.4</v>
      </c>
      <c r="G90" s="87">
        <v>0.3</v>
      </c>
      <c r="H90" s="87"/>
      <c r="I90" s="53">
        <f t="shared" si="4"/>
        <v>10.6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31</v>
      </c>
      <c r="B91" s="60">
        <v>155</v>
      </c>
      <c r="C91" s="60">
        <v>5</v>
      </c>
      <c r="D91" s="60">
        <v>36</v>
      </c>
      <c r="E91" s="87"/>
      <c r="F91" s="87"/>
      <c r="G91" s="87"/>
      <c r="H91" s="87"/>
      <c r="I91" s="53">
        <f t="shared" si="4"/>
        <v>11.5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37</v>
      </c>
      <c r="B92" s="60">
        <v>188</v>
      </c>
      <c r="C92" s="60">
        <v>6</v>
      </c>
      <c r="D92" s="60">
        <v>36</v>
      </c>
      <c r="E92" s="87"/>
      <c r="F92" s="87"/>
      <c r="G92" s="87"/>
      <c r="H92" s="87"/>
      <c r="I92" s="53">
        <f t="shared" si="4"/>
        <v>11.5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44</v>
      </c>
      <c r="B93" s="60">
        <v>230</v>
      </c>
      <c r="C93" s="60">
        <v>7</v>
      </c>
      <c r="D93" s="60">
        <v>43</v>
      </c>
      <c r="E93" s="87"/>
      <c r="F93" s="87"/>
      <c r="G93" s="87"/>
      <c r="H93" s="87"/>
      <c r="I93" s="53">
        <f t="shared" si="4"/>
        <v>11.142857142857142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52</v>
      </c>
      <c r="B94" s="60">
        <v>270</v>
      </c>
      <c r="C94" s="60">
        <v>8</v>
      </c>
      <c r="D94" s="60">
        <v>48</v>
      </c>
      <c r="E94" s="87"/>
      <c r="F94" s="87"/>
      <c r="G94" s="87"/>
      <c r="H94" s="87"/>
      <c r="I94" s="53">
        <f t="shared" si="4"/>
        <v>10.375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60</v>
      </c>
      <c r="B95" s="60">
        <v>297</v>
      </c>
      <c r="C95" s="60">
        <v>9</v>
      </c>
      <c r="D95" s="60">
        <v>47</v>
      </c>
      <c r="E95" s="87"/>
      <c r="F95" s="87"/>
      <c r="G95" s="87"/>
      <c r="H95" s="87"/>
      <c r="I95" s="53">
        <f t="shared" si="4"/>
        <v>9.375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69</v>
      </c>
      <c r="B96" s="60">
        <v>328</v>
      </c>
      <c r="C96" s="60">
        <v>10</v>
      </c>
      <c r="D96" s="60">
        <v>328</v>
      </c>
      <c r="E96" s="87"/>
      <c r="F96" s="87"/>
      <c r="G96" s="87"/>
      <c r="H96" s="87"/>
      <c r="I96" s="53">
        <f t="shared" si="4"/>
        <v>8.6666666666666661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4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4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4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4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ref="I101:I107" si="5">IF(A101&lt;&gt;0,(B101-(B100-D100))/(A101-A100),"")</f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5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5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5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5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5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5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Cèdre de l'Atlas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20</v>
      </c>
      <c r="B114" s="60">
        <v>158</v>
      </c>
      <c r="C114" s="50">
        <v>1</v>
      </c>
      <c r="D114" s="60">
        <v>39.5</v>
      </c>
      <c r="E114" s="51">
        <v>0.2</v>
      </c>
      <c r="F114" s="51">
        <v>0.2</v>
      </c>
      <c r="G114" s="51">
        <v>0.6</v>
      </c>
      <c r="H114" s="51"/>
      <c r="I114" s="53">
        <f>IFERROR(B114/A114,"")</f>
        <v>7.9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30</v>
      </c>
      <c r="B115" s="60">
        <v>210.5</v>
      </c>
      <c r="C115" s="50">
        <v>2</v>
      </c>
      <c r="D115" s="60">
        <v>67</v>
      </c>
      <c r="E115" s="51">
        <v>0.3</v>
      </c>
      <c r="F115" s="51">
        <v>0.4</v>
      </c>
      <c r="G115" s="51">
        <v>0.3</v>
      </c>
      <c r="H115" s="51"/>
      <c r="I115" s="53">
        <f t="shared" ref="I115:I133" si="6">IF(A115&lt;&gt;0,(B115-(B114-D114))/(A115-A114),"")</f>
        <v>9.1999999999999993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40</v>
      </c>
      <c r="B116" s="60">
        <v>243.5</v>
      </c>
      <c r="C116" s="50">
        <v>3</v>
      </c>
      <c r="D116" s="60">
        <v>70</v>
      </c>
      <c r="E116" s="51"/>
      <c r="F116" s="51"/>
      <c r="G116" s="51"/>
      <c r="H116" s="51"/>
      <c r="I116" s="53">
        <f t="shared" si="6"/>
        <v>10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50</v>
      </c>
      <c r="B117" s="60">
        <v>288.5</v>
      </c>
      <c r="C117" s="50">
        <v>4</v>
      </c>
      <c r="D117" s="60">
        <v>75</v>
      </c>
      <c r="E117" s="51"/>
      <c r="F117" s="51"/>
      <c r="G117" s="51"/>
      <c r="H117" s="51"/>
      <c r="I117" s="53">
        <f t="shared" si="6"/>
        <v>11.5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60</v>
      </c>
      <c r="B118" s="60">
        <v>348.5</v>
      </c>
      <c r="C118" s="50">
        <v>5</v>
      </c>
      <c r="D118" s="60">
        <v>80</v>
      </c>
      <c r="E118" s="51"/>
      <c r="F118" s="51"/>
      <c r="G118" s="51"/>
      <c r="H118" s="51"/>
      <c r="I118" s="53">
        <f t="shared" si="6"/>
        <v>13.5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70</v>
      </c>
      <c r="B119" s="60">
        <v>423.5</v>
      </c>
      <c r="C119" s="50">
        <v>6</v>
      </c>
      <c r="D119" s="60">
        <v>87</v>
      </c>
      <c r="E119" s="51"/>
      <c r="F119" s="51"/>
      <c r="G119" s="51"/>
      <c r="H119" s="51"/>
      <c r="I119" s="53">
        <f t="shared" si="6"/>
        <v>15.5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80</v>
      </c>
      <c r="B120" s="60">
        <v>506.5</v>
      </c>
      <c r="C120" s="60">
        <v>7</v>
      </c>
      <c r="D120" s="60">
        <v>93</v>
      </c>
      <c r="E120" s="87"/>
      <c r="F120" s="87"/>
      <c r="G120" s="87"/>
      <c r="H120" s="87"/>
      <c r="I120" s="53">
        <f t="shared" si="6"/>
        <v>17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90</v>
      </c>
      <c r="B121" s="60">
        <v>588.5</v>
      </c>
      <c r="C121" s="60">
        <v>8</v>
      </c>
      <c r="D121" s="60">
        <v>98</v>
      </c>
      <c r="E121" s="87"/>
      <c r="F121" s="87"/>
      <c r="G121" s="87"/>
      <c r="H121" s="87"/>
      <c r="I121" s="53">
        <f t="shared" si="6"/>
        <v>17.5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100</v>
      </c>
      <c r="B122" s="60">
        <v>675.5</v>
      </c>
      <c r="C122" s="60">
        <v>9</v>
      </c>
      <c r="D122" s="60">
        <v>101</v>
      </c>
      <c r="E122" s="87"/>
      <c r="F122" s="87"/>
      <c r="G122" s="87"/>
      <c r="H122" s="87"/>
      <c r="I122" s="53">
        <f t="shared" si="6"/>
        <v>18.5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6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6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6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6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6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6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6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6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6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6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6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Pin maritime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12</v>
      </c>
      <c r="B140" s="60">
        <v>36</v>
      </c>
      <c r="C140" s="50">
        <v>1</v>
      </c>
      <c r="D140" s="60">
        <v>0</v>
      </c>
      <c r="E140" s="51"/>
      <c r="F140" s="51"/>
      <c r="G140" s="51"/>
      <c r="H140" s="51"/>
      <c r="I140" s="57">
        <f>IFERROR(B140/A140,"")</f>
        <v>3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16</v>
      </c>
      <c r="B141" s="60">
        <v>81</v>
      </c>
      <c r="C141" s="50">
        <v>2</v>
      </c>
      <c r="D141" s="60">
        <v>15</v>
      </c>
      <c r="E141" s="51">
        <v>0.2</v>
      </c>
      <c r="F141" s="51">
        <v>0.2</v>
      </c>
      <c r="G141" s="51">
        <v>0.6</v>
      </c>
      <c r="H141" s="51"/>
      <c r="I141" s="57">
        <f t="shared" ref="I141:I159" si="7">IF(A141&lt;&gt;0,(B141-(B140-D140))/(A141-A140),"")</f>
        <v>11.25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20</v>
      </c>
      <c r="B142" s="60">
        <v>119</v>
      </c>
      <c r="C142" s="50">
        <v>3</v>
      </c>
      <c r="D142" s="60">
        <v>22</v>
      </c>
      <c r="E142" s="51">
        <v>0.3</v>
      </c>
      <c r="F142" s="51">
        <v>0.4</v>
      </c>
      <c r="G142" s="51">
        <v>0.3</v>
      </c>
      <c r="H142" s="51"/>
      <c r="I142" s="57">
        <f t="shared" si="7"/>
        <v>13.25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24</v>
      </c>
      <c r="B143" s="60">
        <v>157</v>
      </c>
      <c r="C143" s="50">
        <v>4</v>
      </c>
      <c r="D143" s="60">
        <v>31</v>
      </c>
      <c r="E143" s="51">
        <v>0.4</v>
      </c>
      <c r="F143" s="51">
        <v>0.3</v>
      </c>
      <c r="G143" s="51">
        <v>0.3</v>
      </c>
      <c r="H143" s="51"/>
      <c r="I143" s="57">
        <f t="shared" si="7"/>
        <v>15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28</v>
      </c>
      <c r="B144" s="60">
        <v>190</v>
      </c>
      <c r="C144" s="50">
        <v>5</v>
      </c>
      <c r="D144" s="60">
        <v>35</v>
      </c>
      <c r="E144" s="51">
        <v>0.4</v>
      </c>
      <c r="F144" s="51">
        <v>0.3</v>
      </c>
      <c r="G144" s="51">
        <v>0.3</v>
      </c>
      <c r="H144" s="51"/>
      <c r="I144" s="57">
        <f t="shared" si="7"/>
        <v>16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34</v>
      </c>
      <c r="B145" s="60">
        <v>244</v>
      </c>
      <c r="C145" s="50">
        <v>6</v>
      </c>
      <c r="D145" s="60">
        <v>46</v>
      </c>
      <c r="E145" s="51"/>
      <c r="F145" s="51"/>
      <c r="G145" s="51"/>
      <c r="H145" s="51"/>
      <c r="I145" s="57">
        <f t="shared" si="7"/>
        <v>14.833333333333334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40</v>
      </c>
      <c r="B146" s="60">
        <v>275</v>
      </c>
      <c r="C146" s="50">
        <v>7</v>
      </c>
      <c r="D146" s="60">
        <v>41</v>
      </c>
      <c r="E146" s="51"/>
      <c r="F146" s="51"/>
      <c r="G146" s="51"/>
      <c r="H146" s="51"/>
      <c r="I146" s="57">
        <f t="shared" si="7"/>
        <v>12.833333333333334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46</v>
      </c>
      <c r="B147" s="60">
        <v>2393</v>
      </c>
      <c r="C147" s="50">
        <v>8</v>
      </c>
      <c r="D147" s="60">
        <v>29</v>
      </c>
      <c r="E147" s="51"/>
      <c r="F147" s="51"/>
      <c r="G147" s="51"/>
      <c r="H147" s="51"/>
      <c r="I147" s="57">
        <f>IF(A147&lt;&gt;0,(B147-(B146-D146))/(A147-A146),"")</f>
        <v>359.83333333333331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>
        <v>54</v>
      </c>
      <c r="B148" s="60">
        <v>311</v>
      </c>
      <c r="C148" s="50">
        <v>9</v>
      </c>
      <c r="D148" s="60">
        <v>16</v>
      </c>
      <c r="E148" s="51"/>
      <c r="F148" s="51"/>
      <c r="G148" s="51"/>
      <c r="H148" s="51"/>
      <c r="I148" s="57">
        <f t="shared" si="7"/>
        <v>-256.625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>
        <v>62</v>
      </c>
      <c r="B149" s="60">
        <v>316</v>
      </c>
      <c r="C149" s="50">
        <v>10</v>
      </c>
      <c r="D149" s="60">
        <v>316</v>
      </c>
      <c r="E149" s="51"/>
      <c r="F149" s="51"/>
      <c r="G149" s="51"/>
      <c r="H149" s="51"/>
      <c r="I149" s="57">
        <f t="shared" si="7"/>
        <v>2.625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7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7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7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7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7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7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7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7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7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7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Sapin méditerranéen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50</v>
      </c>
      <c r="B166" s="60">
        <v>153</v>
      </c>
      <c r="C166" s="60">
        <v>1</v>
      </c>
      <c r="D166" s="60">
        <v>24</v>
      </c>
      <c r="E166" s="51"/>
      <c r="F166" s="51"/>
      <c r="G166" s="51"/>
      <c r="H166" s="51"/>
      <c r="I166" s="49">
        <f>IFERROR(B166/A166,"")</f>
        <v>3.06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65</v>
      </c>
      <c r="B167" s="60">
        <v>538</v>
      </c>
      <c r="C167" s="60">
        <v>2</v>
      </c>
      <c r="D167" s="60">
        <v>173</v>
      </c>
      <c r="E167" s="51"/>
      <c r="F167" s="51"/>
      <c r="G167" s="51"/>
      <c r="H167" s="51"/>
      <c r="I167" s="49">
        <f t="shared" ref="I167:I185" si="8">IF(A167&lt;&gt;0,(B167-(B166-D166))/(A167-A166),"")</f>
        <v>27.266666666666666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80</v>
      </c>
      <c r="B168" s="60">
        <v>767</v>
      </c>
      <c r="C168" s="60">
        <v>3</v>
      </c>
      <c r="D168" s="60">
        <v>263</v>
      </c>
      <c r="E168" s="51"/>
      <c r="F168" s="51"/>
      <c r="G168" s="51"/>
      <c r="H168" s="51"/>
      <c r="I168" s="49">
        <f t="shared" si="8"/>
        <v>26.8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95</v>
      </c>
      <c r="B169" s="60">
        <v>850</v>
      </c>
      <c r="C169" s="60">
        <v>4</v>
      </c>
      <c r="D169" s="60">
        <v>850</v>
      </c>
      <c r="E169" s="51"/>
      <c r="F169" s="51"/>
      <c r="G169" s="51"/>
      <c r="H169" s="51"/>
      <c r="I169" s="49">
        <f t="shared" si="8"/>
        <v>23.066666666666666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8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8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8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8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8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8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8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8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8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8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8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8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8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8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8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8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9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9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9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9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9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9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9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9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9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9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9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9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9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9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9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9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9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9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9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51"/>
      <c r="F218" s="51"/>
      <c r="G218" s="51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51"/>
      <c r="F219" s="51"/>
      <c r="G219" s="51"/>
      <c r="H219" s="63"/>
      <c r="I219" s="53" t="str">
        <f t="shared" ref="I219:I237" si="10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10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10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10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10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10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10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10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10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10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10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10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10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10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10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10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10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10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10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51"/>
      <c r="F245" s="51"/>
      <c r="G245" s="51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51"/>
      <c r="F246" s="51"/>
      <c r="G246" s="51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1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1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1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1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1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1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1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1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1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1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1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1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1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1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1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1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1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2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2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2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2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2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2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2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2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2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2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2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2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2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2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2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2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2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2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2" sqref="G22"/>
    </sheetView>
  </sheetViews>
  <sheetFormatPr baseColWidth="10" defaultColWidth="11.42578125" defaultRowHeight="15" x14ac:dyDescent="0.25"/>
  <cols>
    <col min="1" max="1" width="5.7109375" style="1" customWidth="1"/>
    <col min="2" max="2" width="14.28515625" style="1" customWidth="1"/>
    <col min="3" max="3" width="62.28515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71093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71093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28515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pubescent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Tilleul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Cèdre de l'Atlas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Pin maritime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Sapin méditerranéen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265.50419397354284</v>
      </c>
      <c r="T3" s="59">
        <f>IF('Données projet'!E9&gt;30,$R$33-$H$33,LOOKUP('Données projet'!$E$9,$A$3:$A$203,R3:R203)-LOOKUP('Données projet'!$E$9,$A$3:$A$203,$H$3:$H$203))</f>
        <v>156.67965022779907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296.43642006376018</v>
      </c>
      <c r="AO3" s="59">
        <f>IF('Données projet'!E10&gt;30,$AM$33-$H$33,LOOKUP('Données projet'!$E$10,$A$3:$A$203,AM3:AM203)-LOOKUP('Données projet'!$E$10,$A$3:$A$203,$H$3:$H$203))</f>
        <v>179.56041631665812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181.32837315090507</v>
      </c>
      <c r="BJ3" s="59">
        <f>IF('Données projet'!E11&gt;30,$BH$33-$H$33,LOOKUP('Données projet'!$E$11,$A$3:$A$203,BH3:BH203)-LOOKUP('Données projet'!$E$11,$A$3:$A$203,$H$3:$H$203))</f>
        <v>175.03267817980338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226.0452828290525</v>
      </c>
      <c r="CE3" s="59">
        <f>IF('Données projet'!E12&gt;30,$CC$33-$H$33,LOOKUP('Données projet'!$E$12,$A$3:$A$203,CC3:CC203)-LOOKUP('Données projet'!$E$12,$A$3:$A$203,$H$3:$H$203))</f>
        <v>179.89696397462069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482.74318690313885</v>
      </c>
      <c r="CZ3" s="59">
        <f>IF('Données projet'!E13&gt;30,$CX$33-$H$33,LOOKUP('Données projet'!$E$13,$A$3:$A$203,CX3:CX203)-LOOKUP('Données projet'!$E$13,$A$3:$A$203,$H$3:$H$203))</f>
        <v>205.57161411620217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247.11965163963526</v>
      </c>
      <c r="DU3" s="59">
        <f>IF('Données projet'!E14&gt;30,$DS$33-$H$33,LOOKUP('Données projet'!$E$14,$A$3:$A$203,DS3:DS203)-LOOKUP('Données projet'!$E$14,$A$3:$A$203,$H$3:$H$203))</f>
        <v>61.686311966192704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2.8</v>
      </c>
      <c r="N4" s="13">
        <f>IF('Données projet'!$A$36&gt;35,N3+M4-V3,IF(A4&lt;'Données projet'!$A$36,$K$205^A4,IF(A4='Données projet'!$A$36,'Données projet'!$B$36,N3+M4-V3)))</f>
        <v>1.1852335095914694</v>
      </c>
      <c r="O4" s="13">
        <f>N4*VLOOKUP('Données projet'!$B$9,Paramètres!$A$1:$I$89,3,0)*VLOOKUP('Données projet'!$B$9,Paramètres!$A$1:$I$89,5,0)</f>
        <v>1.0723992794783614</v>
      </c>
      <c r="P4" s="13">
        <f>EXP(-1.0587+0.8836*LN(O4)+0.284)</f>
        <v>0.49020200157376026</v>
      </c>
      <c r="Q4" s="20">
        <f t="shared" ref="Q4:Q34" si="2">(O4+P4)*0.475*44/12</f>
        <v>2.7215305644991119</v>
      </c>
      <c r="R4" s="59">
        <f t="shared" si="0"/>
        <v>296.05486389783243</v>
      </c>
      <c r="S4" s="59">
        <f ca="1">AVERAGE(OFFSET($R$3,0,0,'Données projet'!$E$9+1,1))-AVERAGE(OFFSET($H$3,0,0,'Données projet'!$E$9+1,1))</f>
        <v>265.50419397354284</v>
      </c>
      <c r="T4" s="59">
        <f>$T$3</f>
        <v>156.67965022779907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2.8</v>
      </c>
      <c r="AI4" s="13">
        <f>IF('Données projet'!$A$62&gt;35,AI3+AH4-AQ3,IF(A4&lt;'Données projet'!$A$62,$AF$205^A4,IF(A4='Données projet'!$A$62,'Données projet'!$B$62,AI3+AH4-AQ3)))</f>
        <v>1.1852335095914694</v>
      </c>
      <c r="AJ4" s="13">
        <f>AI4*VLOOKUP('Données projet'!$B$10,Paramètres!$A$1:$I$89,3,0)*VLOOKUP('Données projet'!$B$10,Paramètres!$A$1:$I$89,5,0)</f>
        <v>1.2018267787257499</v>
      </c>
      <c r="AK4" s="13">
        <f>EXP(-1.0587+0.8836*LN(AJ4)+0.284)</f>
        <v>0.5421261382842083</v>
      </c>
      <c r="AL4" s="20">
        <f t="shared" ref="AL4:AL67" si="4">(AJ4+AK4)*0.475*44/12</f>
        <v>3.0373846637923445</v>
      </c>
      <c r="AM4" s="59">
        <f t="shared" ref="AM4:AM67" si="5">AL4+(AD4+AE4)*44/12</f>
        <v>296.37071799712567</v>
      </c>
      <c r="AN4" s="59">
        <f ca="1">AVERAGE(OFFSET($AM$3,0,0,'Données projet'!$E$10+1,1))-AVERAGE(OFFSET($H$3,0,0,'Données projet'!$E$10+1,1))</f>
        <v>296.43642006376018</v>
      </c>
      <c r="AO4" s="59">
        <f>$AO$3</f>
        <v>179.56041631665812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2.6666666666666665</v>
      </c>
      <c r="BD4" s="12">
        <f>IF('Données projet'!$A$88&gt;35,BD3+BC4-BL3,IF(A4&lt;'Données projet'!$A$88,$BA$205^A4,IF(A4='Données projet'!$A$88,'Données projet'!$B$88,BD3+BC4-BL3)))</f>
        <v>1.2788040393997409</v>
      </c>
      <c r="BE4" s="13">
        <f>BD4*VLOOKUP('Données projet'!$B$11,Paramètres!$A$1:$I$89,3,0)*VLOOKUP('Données projet'!$B$11,Paramètres!$A$1:$I$89,5,0)</f>
        <v>0.85782174962934621</v>
      </c>
      <c r="BF4" s="13">
        <f>EXP(-1.0587+0.8836*LN(BE4)+0.284)</f>
        <v>0.40244051974743428</v>
      </c>
      <c r="BG4" s="20">
        <f t="shared" ref="BG4:BG67" si="7">(BE4+BF4)*0.475*44/12</f>
        <v>2.1949567858312258</v>
      </c>
      <c r="BH4" s="59">
        <f t="shared" ref="BH4:BH67" si="8">BG4+(AY4+AZ4)*44/12</f>
        <v>295.52829011916452</v>
      </c>
      <c r="BI4" s="59">
        <f ca="1">AVERAGE(OFFSET($BH$3,0,0,'Données projet'!$E$11+1,1))-AVERAGE(OFFSET($H$3,0,0,'Données projet'!$E$11+1,1))</f>
        <v>181.32837315090507</v>
      </c>
      <c r="BJ4" s="59">
        <f>$BJ$3</f>
        <v>175.03267817980338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7.9</v>
      </c>
      <c r="BY4" s="12">
        <f>IF('Données projet'!$A$114&gt;35,BY3+BX4-CG3,IF(A4&lt;'Données projet'!$A$114,$BV$205^A4,IF(A4='Données projet'!$A$114,'Données projet'!$B$114,BY3+BX4-CG3)))</f>
        <v>1.2880503926580862</v>
      </c>
      <c r="BZ4" s="13">
        <f>BY4*VLOOKUP('Données projet'!$B$12,Paramètres!$A$1:$I$89,3,0)*VLOOKUP('Données projet'!$B$12,Paramètres!$A$1:$I$89,5,0)</f>
        <v>0.60280758376398436</v>
      </c>
      <c r="CA4" s="13">
        <f>EXP(-1.0587+0.8836*LN(BZ4)+0.284)</f>
        <v>0.29465781953181042</v>
      </c>
      <c r="CB4" s="20">
        <f t="shared" ref="CB4:CB67" si="10">(BZ4+CA4)*0.475*44/12</f>
        <v>1.5630855774068424</v>
      </c>
      <c r="CC4" s="59">
        <f t="shared" ref="CC4:CC67" si="11">CB4+(BT4+BU4)*44/12</f>
        <v>294.89641891074018</v>
      </c>
      <c r="CD4" s="59">
        <f ca="1">AVERAGE(OFFSET($CC$3,0,0,'Données projet'!$E$12+1,1))-AVERAGE(OFFSET($H$3,0,0,'Données projet'!$E$12+1,1))</f>
        <v>226.0452828290525</v>
      </c>
      <c r="CE4" s="59">
        <f>$CE$3</f>
        <v>179.89696397462069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3</v>
      </c>
      <c r="CT4" s="12">
        <f>IF('Données projet'!$A$140&gt;35,CT3+CS4-DB3,IF(A4&lt;'Données projet'!$A$140,$CQ$205^A4,IF(A4='Données projet'!$A$140,'Données projet'!$B$140,CT3+CS4-DB3)))</f>
        <v>1.3480061545972777</v>
      </c>
      <c r="CU4" s="17">
        <f>CT4*VLOOKUP('Données projet'!$B$13,Paramètres!$A$1:$I$89,3,0)*VLOOKUP('Données projet'!$B$13,Paramètres!$A$1:$I$89,5,0)</f>
        <v>0.80610768044917203</v>
      </c>
      <c r="CV4" s="13">
        <f>EXP(-1.0587+0.8836*LN(CU4)+0.284)</f>
        <v>0.38092631183578585</v>
      </c>
      <c r="CW4" s="20">
        <f t="shared" ref="CW4:CW67" si="13">(CU4+CV4)*0.475*44/12</f>
        <v>2.0674175365629677</v>
      </c>
      <c r="CX4" s="59">
        <f t="shared" ref="CX4:CX67" si="14">CW4+(CO4+CP4)*44/12</f>
        <v>295.40075086989629</v>
      </c>
      <c r="CY4" s="59">
        <f ca="1">AVERAGE(OFFSET($CX$3,0,0,'Données projet'!$E$13+1,1))-AVERAGE(OFFSET($H$3,0,0,'Données projet'!$E$13+1,1))</f>
        <v>482.74318690313885</v>
      </c>
      <c r="CZ4" s="59">
        <f>$CZ$3</f>
        <v>205.57161411620217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3.06</v>
      </c>
      <c r="DO4" s="12">
        <f>IF('Données projet'!$A$166&gt;35,DO3+DN4-DW3,IF(A4&lt;'Données projet'!$A$166,$DL$205^A4,IF(A4='Données projet'!$A$166,'Données projet'!$B$166,DO3+DN4-DW3)))</f>
        <v>3.06</v>
      </c>
      <c r="DP4" s="17">
        <f>DO4*VLOOKUP('Données projet'!$B$14,Paramètres!$A$1:$I$89,3,0)*VLOOKUP('Données projet'!$B$14,Paramètres!$A$1:$I$89,5,0)</f>
        <v>1.4718600000000002</v>
      </c>
      <c r="DQ4" s="13">
        <f>EXP(-1.0587+0.8836*LN(DP4)+0.284)</f>
        <v>0.64845360169795607</v>
      </c>
      <c r="DR4" s="20">
        <f t="shared" ref="DR4:DR67" si="16">(DP4+DQ4)*0.475*44/12</f>
        <v>3.6928795229572735</v>
      </c>
      <c r="DS4" s="59">
        <f t="shared" ref="DS4:DS67" si="17">DR4+(DJ4+DK4)*44/12</f>
        <v>297.02621285629061</v>
      </c>
      <c r="DT4" s="59">
        <f ca="1">AVERAGE(OFFSET($DS$3,0,0,'Données projet'!$E$14+1,1))-AVERAGE(OFFSET($H$3,0,0,'Données projet'!$E$14+1,1))</f>
        <v>247.11965163963526</v>
      </c>
      <c r="DU4" s="59">
        <f>$DU$3</f>
        <v>61.686311966192704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2.8</v>
      </c>
      <c r="N5" s="13">
        <f>IF('Données projet'!$A$36&gt;35,N4+M5-V4,IF(A5&lt;'Données projet'!$A$36,$K$205^A5,IF(A5='Données projet'!$A$36,'Données projet'!$B$36,N4+M5-V4)))</f>
        <v>1.4047784722585119</v>
      </c>
      <c r="O5" s="13">
        <f>N5*VLOOKUP('Données projet'!$B$9,Paramètres!$A$1:$I$89,3,0)*VLOOKUP('Données projet'!$B$9,Paramètres!$A$1:$I$89,5,0)</f>
        <v>1.2710435616995015</v>
      </c>
      <c r="P5" s="13">
        <f t="shared" ref="P5:P68" si="33">EXP(-1.0587+0.8836*LN(O5)+0.284)</f>
        <v>0.56962392939903683</v>
      </c>
      <c r="Q5" s="20">
        <f t="shared" si="2"/>
        <v>3.2058292136632871</v>
      </c>
      <c r="R5" s="59">
        <f t="shared" si="0"/>
        <v>296.53916254699658</v>
      </c>
      <c r="S5" s="59">
        <f ca="1">AVERAGE(OFFSET($R$3,0,0,'Données projet'!$E$9+1,1))-AVERAGE(OFFSET($H$3,0,0,'Données projet'!$E$9+1,1))</f>
        <v>265.50419397354284</v>
      </c>
      <c r="T5" s="59">
        <f t="shared" ref="T5:T68" si="34">$T$3</f>
        <v>156.67965022779907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2.8</v>
      </c>
      <c r="AI5" s="13">
        <f>IF('Données projet'!$A$62&gt;35,AI4+AH5-AQ4,IF(A5&lt;'Données projet'!$A$62,$AF$205^A5,IF(A5='Données projet'!$A$62,'Données projet'!$B$62,AI4+AH5-AQ4)))</f>
        <v>1.4047784722585119</v>
      </c>
      <c r="AJ5" s="13">
        <f>AI5*VLOOKUP('Données projet'!$B$10,Paramètres!$A$1:$I$89,3,0)*VLOOKUP('Données projet'!$B$10,Paramètres!$A$1:$I$89,5,0)</f>
        <v>1.4244453708701312</v>
      </c>
      <c r="AK5" s="13">
        <f t="shared" ref="AK5:AK68" si="35">EXP(-1.0587+0.8836*LN(AJ5)+0.284)</f>
        <v>0.62996075113518346</v>
      </c>
      <c r="AL5" s="20">
        <f t="shared" si="4"/>
        <v>3.5780906624925897</v>
      </c>
      <c r="AM5" s="59">
        <f t="shared" si="5"/>
        <v>296.91142399582588</v>
      </c>
      <c r="AN5" s="59">
        <f ca="1">AVERAGE(OFFSET($AM$3,0,0,'Données projet'!$E$10+1,1))-AVERAGE(OFFSET($H$3,0,0,'Données projet'!$E$10+1,1))</f>
        <v>296.43642006376018</v>
      </c>
      <c r="AO5" s="59">
        <f t="shared" ref="AO5:AO68" si="36">$AO$3</f>
        <v>179.56041631665812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2.6666666666666665</v>
      </c>
      <c r="BD5" s="12">
        <f>IF('Données projet'!$A$88&gt;35,BD4+BC5-BL4,IF(A5&lt;'Données projet'!$A$88,$BA$205^A5,IF(A5='Données projet'!$A$88,'Données projet'!$B$88,BD4+BC5-BL4)))</f>
        <v>1.6353397711850939</v>
      </c>
      <c r="BE5" s="13">
        <f>BD5*VLOOKUP('Données projet'!$B$11,Paramètres!$A$1:$I$89,3,0)*VLOOKUP('Données projet'!$B$11,Paramètres!$A$1:$I$89,5,0)</f>
        <v>1.0969859185109609</v>
      </c>
      <c r="BF5" s="13">
        <f t="shared" ref="BF5:BF68" si="37">EXP(-1.0587+0.8836*LN(BE5)+0.284)</f>
        <v>0.50011941569199869</v>
      </c>
      <c r="BG5" s="20">
        <f t="shared" si="7"/>
        <v>2.7816251237368212</v>
      </c>
      <c r="BH5" s="59">
        <f t="shared" si="8"/>
        <v>296.11495845707014</v>
      </c>
      <c r="BI5" s="59">
        <f ca="1">AVERAGE(OFFSET($BH$3,0,0,'Données projet'!$E$11+1,1))-AVERAGE(OFFSET($H$3,0,0,'Données projet'!$E$11+1,1))</f>
        <v>181.32837315090507</v>
      </c>
      <c r="BJ5" s="59">
        <f t="shared" ref="BJ5:BJ68" si="38">$BJ$3</f>
        <v>175.03267817980338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7.9</v>
      </c>
      <c r="BY5" s="12">
        <f>IF('Données projet'!$A$114&gt;35,BY4+BX5-CG4,IF(A5&lt;'Données projet'!$A$114,$BV$205^A5,IF(A5='Données projet'!$A$114,'Données projet'!$B$114,BY4+BX5-CG4)))</f>
        <v>1.6590738140266501</v>
      </c>
      <c r="BZ5" s="13">
        <f>BY5*VLOOKUP('Données projet'!$B$12,Paramètres!$A$1:$I$89,3,0)*VLOOKUP('Données projet'!$B$12,Paramètres!$A$1:$I$89,5,0)</f>
        <v>0.77644654496447219</v>
      </c>
      <c r="CA5" s="13">
        <f t="shared" ref="CA5:CA68" si="39">EXP(-1.0587+0.8836*LN(BZ5)+0.284)</f>
        <v>0.36851455096495994</v>
      </c>
      <c r="CB5" s="20">
        <f t="shared" si="10"/>
        <v>1.9941405754104276</v>
      </c>
      <c r="CC5" s="59">
        <f t="shared" si="11"/>
        <v>295.32747390874374</v>
      </c>
      <c r="CD5" s="59">
        <f ca="1">AVERAGE(OFFSET($CC$3,0,0,'Données projet'!$E$12+1,1))-AVERAGE(OFFSET($H$3,0,0,'Données projet'!$E$12+1,1))</f>
        <v>226.0452828290525</v>
      </c>
      <c r="CE5" s="59">
        <f t="shared" ref="CE5:CE68" si="40">$CE$3</f>
        <v>179.89696397462069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3</v>
      </c>
      <c r="CT5" s="12">
        <f>IF('Données projet'!$A$140&gt;35,CT4+CS5-DB4,IF(A5&lt;'Données projet'!$A$140,$CQ$205^A5,IF(A5='Données projet'!$A$140,'Données projet'!$B$140,CT4+CS5-DB4)))</f>
        <v>1.8171205928321397</v>
      </c>
      <c r="CU5" s="17">
        <f>CT5*VLOOKUP('Données projet'!$B$13,Paramètres!$A$1:$I$89,3,0)*VLOOKUP('Données projet'!$B$13,Paramètres!$A$1:$I$89,5,0)</f>
        <v>1.0866381145136197</v>
      </c>
      <c r="CV5" s="13">
        <f t="shared" ref="CV5:CV68" si="41">EXP(-1.0587+0.8836*LN(CU5)+0.284)</f>
        <v>0.49594865026181029</v>
      </c>
      <c r="CW5" s="20">
        <f t="shared" si="13"/>
        <v>2.7563386153172069</v>
      </c>
      <c r="CX5" s="59">
        <f t="shared" si="14"/>
        <v>296.0896719486505</v>
      </c>
      <c r="CY5" s="59">
        <f ca="1">AVERAGE(OFFSET($CX$3,0,0,'Données projet'!$E$13+1,1))-AVERAGE(OFFSET($H$3,0,0,'Données projet'!$E$13+1,1))</f>
        <v>482.74318690313885</v>
      </c>
      <c r="CZ5" s="59">
        <f t="shared" ref="CZ5:CZ68" si="42">$CZ$3</f>
        <v>205.57161411620217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3.06</v>
      </c>
      <c r="DO5" s="12">
        <f>IF('Données projet'!$A$166&gt;35,DO4+DN5-DW4,IF(A5&lt;'Données projet'!$A$166,$DL$205^A5,IF(A5='Données projet'!$A$166,'Données projet'!$B$166,DO4+DN5-DW4)))</f>
        <v>6.12</v>
      </c>
      <c r="DP5" s="17">
        <f>DO5*VLOOKUP('Données projet'!$B$14,Paramètres!$A$1:$I$89,3,0)*VLOOKUP('Données projet'!$B$14,Paramètres!$A$1:$I$89,5,0)</f>
        <v>2.9437200000000003</v>
      </c>
      <c r="DQ5" s="13">
        <f t="shared" ref="DQ5:DQ68" si="43">EXP(-1.0587+0.8836*LN(DP5)+0.284)</f>
        <v>1.1963796327458975</v>
      </c>
      <c r="DR5" s="20">
        <f t="shared" si="16"/>
        <v>7.210673527032438</v>
      </c>
      <c r="DS5" s="59">
        <f t="shared" si="17"/>
        <v>300.54400686036576</v>
      </c>
      <c r="DT5" s="59">
        <f ca="1">AVERAGE(OFFSET($DS$3,0,0,'Données projet'!$E$14+1,1))-AVERAGE(OFFSET($H$3,0,0,'Données projet'!$E$14+1,1))</f>
        <v>247.11965163963526</v>
      </c>
      <c r="DU5" s="59">
        <f t="shared" ref="DU5:DU68" si="44">$DU$3</f>
        <v>61.686311966192704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2.8</v>
      </c>
      <c r="N6" s="13">
        <f>IF('Données projet'!$A$36&gt;35,N5+M6-V5,IF(A6&lt;'Données projet'!$A$36,$K$205^A6,IF(A6='Données projet'!$A$36,'Données projet'!$B$36,N5+M6-V5)))</f>
        <v>1.6649905188734988</v>
      </c>
      <c r="O6" s="13">
        <f>N6*VLOOKUP('Données projet'!$B$9,Paramètres!$A$1:$I$89,3,0)*VLOOKUP('Données projet'!$B$9,Paramètres!$A$1:$I$89,5,0)</f>
        <v>1.5064834214767417</v>
      </c>
      <c r="P6" s="13">
        <f t="shared" si="33"/>
        <v>0.66191370068319888</v>
      </c>
      <c r="Q6" s="20">
        <f t="shared" si="2"/>
        <v>3.7766249877618967</v>
      </c>
      <c r="R6" s="59">
        <f t="shared" si="0"/>
        <v>297.10995832109523</v>
      </c>
      <c r="S6" s="59">
        <f ca="1">AVERAGE(OFFSET($R$3,0,0,'Données projet'!$E$9+1,1))-AVERAGE(OFFSET($H$3,0,0,'Données projet'!$E$9+1,1))</f>
        <v>265.50419397354284</v>
      </c>
      <c r="T6" s="59">
        <f t="shared" si="34"/>
        <v>156.67965022779907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2.8</v>
      </c>
      <c r="AI6" s="13">
        <f>IF('Données projet'!$A$62&gt;35,AI5+AH6-AQ5,IF(A6&lt;'Données projet'!$A$62,$AF$205^A6,IF(A6='Données projet'!$A$62,'Données projet'!$B$62,AI5+AH6-AQ5)))</f>
        <v>1.6649905188734988</v>
      </c>
      <c r="AJ6" s="13">
        <f>AI6*VLOOKUP('Données projet'!$B$10,Paramètres!$A$1:$I$89,3,0)*VLOOKUP('Données projet'!$B$10,Paramètres!$A$1:$I$89,5,0)</f>
        <v>1.6883003861377279</v>
      </c>
      <c r="AK6" s="13">
        <f t="shared" si="35"/>
        <v>0.7320262203678447</v>
      </c>
      <c r="AL6" s="20">
        <f t="shared" si="4"/>
        <v>4.215402172997206</v>
      </c>
      <c r="AM6" s="59">
        <f t="shared" si="5"/>
        <v>297.5487355063305</v>
      </c>
      <c r="AN6" s="59">
        <f ca="1">AVERAGE(OFFSET($AM$3,0,0,'Données projet'!$E$10+1,1))-AVERAGE(OFFSET($H$3,0,0,'Données projet'!$E$10+1,1))</f>
        <v>296.43642006376018</v>
      </c>
      <c r="AO6" s="59">
        <f t="shared" si="36"/>
        <v>179.56041631665812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2.6666666666666665</v>
      </c>
      <c r="BD6" s="12">
        <f>IF('Données projet'!$A$88&gt;35,BD5+BC6-BL5,IF(A6&lt;'Données projet'!$A$88,$BA$205^A6,IF(A6='Données projet'!$A$88,'Données projet'!$B$88,BD5+BC6-BL5)))</f>
        <v>2.0912791051825459</v>
      </c>
      <c r="BE6" s="13">
        <f>BD6*VLOOKUP('Données projet'!$B$11,Paramètres!$A$1:$I$89,3,0)*VLOOKUP('Données projet'!$B$11,Paramètres!$A$1:$I$89,5,0)</f>
        <v>1.4028300237564517</v>
      </c>
      <c r="BF6" s="13">
        <f t="shared" si="37"/>
        <v>0.62150657719326441</v>
      </c>
      <c r="BG6" s="20">
        <f t="shared" si="7"/>
        <v>3.5257195799874221</v>
      </c>
      <c r="BH6" s="59">
        <f t="shared" si="8"/>
        <v>296.85905291332074</v>
      </c>
      <c r="BI6" s="59">
        <f ca="1">AVERAGE(OFFSET($BH$3,0,0,'Données projet'!$E$11+1,1))-AVERAGE(OFFSET($H$3,0,0,'Données projet'!$E$11+1,1))</f>
        <v>181.32837315090507</v>
      </c>
      <c r="BJ6" s="59">
        <f t="shared" si="38"/>
        <v>175.03267817980338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7.9</v>
      </c>
      <c r="BY6" s="12">
        <f>IF('Données projet'!$A$114&gt;35,BY5+BX6-CG5,IF(A6&lt;'Données projet'!$A$114,$BV$205^A6,IF(A6='Données projet'!$A$114,'Données projet'!$B$114,BY5+BX6-CG5)))</f>
        <v>2.1369706776057753</v>
      </c>
      <c r="BZ6" s="13">
        <f>BY6*VLOOKUP('Données projet'!$B$12,Paramètres!$A$1:$I$89,3,0)*VLOOKUP('Données projet'!$B$12,Paramètres!$A$1:$I$89,5,0)</f>
        <v>1.0001022771195029</v>
      </c>
      <c r="CA6" s="13">
        <f t="shared" si="39"/>
        <v>0.46088365986243646</v>
      </c>
      <c r="CB6" s="20">
        <f t="shared" si="10"/>
        <v>2.5445505069102112</v>
      </c>
      <c r="CC6" s="59">
        <f t="shared" si="11"/>
        <v>295.8778838402435</v>
      </c>
      <c r="CD6" s="59">
        <f ca="1">AVERAGE(OFFSET($CC$3,0,0,'Données projet'!$E$12+1,1))-AVERAGE(OFFSET($H$3,0,0,'Données projet'!$E$12+1,1))</f>
        <v>226.0452828290525</v>
      </c>
      <c r="CE6" s="59">
        <f t="shared" si="40"/>
        <v>179.89696397462069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3</v>
      </c>
      <c r="CT6" s="12">
        <f>IF('Données projet'!$A$140&gt;35,CT5+CS6-DB5,IF(A6&lt;'Données projet'!$A$140,$CQ$205^A6,IF(A6='Données projet'!$A$140,'Données projet'!$B$140,CT5+CS6-DB5)))</f>
        <v>2.4494897427831783</v>
      </c>
      <c r="CU6" s="17">
        <f>CT6*VLOOKUP('Données projet'!$B$13,Paramètres!$A$1:$I$89,3,0)*VLOOKUP('Données projet'!$B$13,Paramètres!$A$1:$I$89,5,0)</f>
        <v>1.4647948661843406</v>
      </c>
      <c r="CV6" s="13">
        <f t="shared" si="41"/>
        <v>0.64570247854798968</v>
      </c>
      <c r="CW6" s="20">
        <f t="shared" si="13"/>
        <v>3.6757828754088084</v>
      </c>
      <c r="CX6" s="59">
        <f t="shared" si="14"/>
        <v>297.00911620874211</v>
      </c>
      <c r="CY6" s="59">
        <f ca="1">AVERAGE(OFFSET($CX$3,0,0,'Données projet'!$E$13+1,1))-AVERAGE(OFFSET($H$3,0,0,'Données projet'!$E$13+1,1))</f>
        <v>482.74318690313885</v>
      </c>
      <c r="CZ6" s="59">
        <f t="shared" si="42"/>
        <v>205.57161411620217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3.06</v>
      </c>
      <c r="DO6" s="12">
        <f>IF('Données projet'!$A$166&gt;35,DO5+DN6-DW5,IF(A6&lt;'Données projet'!$A$166,$DL$205^A6,IF(A6='Données projet'!$A$166,'Données projet'!$B$166,DO5+DN6-DW5)))</f>
        <v>9.18</v>
      </c>
      <c r="DP6" s="17">
        <f>DO6*VLOOKUP('Données projet'!$B$14,Paramètres!$A$1:$I$89,3,0)*VLOOKUP('Données projet'!$B$14,Paramètres!$A$1:$I$89,5,0)</f>
        <v>4.4155800000000003</v>
      </c>
      <c r="DQ6" s="13">
        <f t="shared" si="43"/>
        <v>1.7118403046422626</v>
      </c>
      <c r="DR6" s="20">
        <f t="shared" si="16"/>
        <v>10.671923697251939</v>
      </c>
      <c r="DS6" s="59">
        <f t="shared" si="17"/>
        <v>304.00525703058526</v>
      </c>
      <c r="DT6" s="59">
        <f ca="1">AVERAGE(OFFSET($DS$3,0,0,'Données projet'!$E$14+1,1))-AVERAGE(OFFSET($H$3,0,0,'Données projet'!$E$14+1,1))</f>
        <v>247.11965163963526</v>
      </c>
      <c r="DU6" s="59">
        <f t="shared" si="44"/>
        <v>61.686311966192704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2.8</v>
      </c>
      <c r="N7" s="13">
        <f>IF('Données projet'!$A$36&gt;35,N6+M7-V6,IF(A7&lt;'Données projet'!$A$36,$K$205^A7,IF(A7='Données projet'!$A$36,'Données projet'!$B$36,N6+M7-V6)))</f>
        <v>1.9734025561209587</v>
      </c>
      <c r="O7" s="13">
        <f>N7*VLOOKUP('Données projet'!$B$9,Paramètres!$A$1:$I$89,3,0)*VLOOKUP('Données projet'!$B$9,Paramètres!$A$1:$I$89,5,0)</f>
        <v>1.7855346327782433</v>
      </c>
      <c r="P7" s="13">
        <f t="shared" si="33"/>
        <v>0.7691561476610751</v>
      </c>
      <c r="Q7" s="20">
        <f t="shared" si="2"/>
        <v>4.4494197759318128</v>
      </c>
      <c r="R7" s="59">
        <f t="shared" si="0"/>
        <v>297.78275310926512</v>
      </c>
      <c r="S7" s="59">
        <f ca="1">AVERAGE(OFFSET($R$3,0,0,'Données projet'!$E$9+1,1))-AVERAGE(OFFSET($H$3,0,0,'Données projet'!$E$9+1,1))</f>
        <v>265.50419397354284</v>
      </c>
      <c r="T7" s="59">
        <f t="shared" si="34"/>
        <v>156.67965022779907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2.8</v>
      </c>
      <c r="AI7" s="13">
        <f>IF('Données projet'!$A$62&gt;35,AI6+AH7-AQ6,IF(A7&lt;'Données projet'!$A$62,$AF$205^A7,IF(A7='Données projet'!$A$62,'Données projet'!$B$62,AI6+AH7-AQ6)))</f>
        <v>1.9734025561209587</v>
      </c>
      <c r="AJ7" s="13">
        <f>AI7*VLOOKUP('Données projet'!$B$10,Paramètres!$A$1:$I$89,3,0)*VLOOKUP('Données projet'!$B$10,Paramètres!$A$1:$I$89,5,0)</f>
        <v>2.001030191906652</v>
      </c>
      <c r="AK7" s="13">
        <f t="shared" si="35"/>
        <v>0.85062821190115911</v>
      </c>
      <c r="AL7" s="20">
        <f t="shared" si="4"/>
        <v>4.9666383866319377</v>
      </c>
      <c r="AM7" s="59">
        <f t="shared" si="5"/>
        <v>298.29997171996524</v>
      </c>
      <c r="AN7" s="59">
        <f ca="1">AVERAGE(OFFSET($AM$3,0,0,'Données projet'!$E$10+1,1))-AVERAGE(OFFSET($H$3,0,0,'Données projet'!$E$10+1,1))</f>
        <v>296.43642006376018</v>
      </c>
      <c r="AO7" s="59">
        <f t="shared" si="36"/>
        <v>179.56041631665812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2.6666666666666665</v>
      </c>
      <c r="BD7" s="12">
        <f>IF('Données projet'!$A$88&gt;35,BD6+BC7-BL6,IF(A7&lt;'Données projet'!$A$88,$BA$205^A7,IF(A7='Données projet'!$A$88,'Données projet'!$B$88,BD6+BC7-BL6)))</f>
        <v>2.6743361672197152</v>
      </c>
      <c r="BE7" s="13">
        <f>BD7*VLOOKUP('Données projet'!$B$11,Paramètres!$A$1:$I$89,3,0)*VLOOKUP('Données projet'!$B$11,Paramètres!$A$1:$I$89,5,0)</f>
        <v>1.7939447009709848</v>
      </c>
      <c r="BF7" s="13">
        <f t="shared" si="37"/>
        <v>0.77235638804387863</v>
      </c>
      <c r="BG7" s="20">
        <f t="shared" si="7"/>
        <v>4.4696410633675532</v>
      </c>
      <c r="BH7" s="59">
        <f t="shared" si="8"/>
        <v>297.80297439670085</v>
      </c>
      <c r="BI7" s="59">
        <f ca="1">AVERAGE(OFFSET($BH$3,0,0,'Données projet'!$E$11+1,1))-AVERAGE(OFFSET($H$3,0,0,'Données projet'!$E$11+1,1))</f>
        <v>181.32837315090507</v>
      </c>
      <c r="BJ7" s="59">
        <f t="shared" si="38"/>
        <v>175.03267817980338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7.9</v>
      </c>
      <c r="BY7" s="12">
        <f>IF('Données projet'!$A$114&gt;35,BY6+BX7-CG6,IF(A7&lt;'Données projet'!$A$114,$BV$205^A7,IF(A7='Données projet'!$A$114,'Données projet'!$B$114,BY6+BX7-CG6)))</f>
        <v>2.7525259203889356</v>
      </c>
      <c r="BZ7" s="13">
        <f>BY7*VLOOKUP('Données projet'!$B$12,Paramètres!$A$1:$I$89,3,0)*VLOOKUP('Données projet'!$B$12,Paramètres!$A$1:$I$89,5,0)</f>
        <v>1.2881821307420218</v>
      </c>
      <c r="CA7" s="13">
        <f t="shared" si="39"/>
        <v>0.57640532069082717</v>
      </c>
      <c r="CB7" s="20">
        <f t="shared" si="10"/>
        <v>3.2474898112455457</v>
      </c>
      <c r="CC7" s="59">
        <f t="shared" si="11"/>
        <v>296.58082314457886</v>
      </c>
      <c r="CD7" s="59">
        <f ca="1">AVERAGE(OFFSET($CC$3,0,0,'Données projet'!$E$12+1,1))-AVERAGE(OFFSET($H$3,0,0,'Données projet'!$E$12+1,1))</f>
        <v>226.0452828290525</v>
      </c>
      <c r="CE7" s="59">
        <f t="shared" si="40"/>
        <v>179.89696397462069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3</v>
      </c>
      <c r="CT7" s="12">
        <f>IF('Données projet'!$A$140&gt;35,CT6+CS7-DB6,IF(A7&lt;'Données projet'!$A$140,$CQ$205^A7,IF(A7='Données projet'!$A$140,'Données projet'!$B$140,CT6+CS7-DB6)))</f>
        <v>3.3019272488946267</v>
      </c>
      <c r="CU7" s="17">
        <f>CT7*VLOOKUP('Données projet'!$B$13,Paramètres!$A$1:$I$89,3,0)*VLOOKUP('Données projet'!$B$13,Paramètres!$A$1:$I$89,5,0)</f>
        <v>1.974552494838987</v>
      </c>
      <c r="CV7" s="13">
        <f t="shared" si="41"/>
        <v>0.84067511945625772</v>
      </c>
      <c r="CW7" s="20">
        <f t="shared" si="13"/>
        <v>4.9031880948975504</v>
      </c>
      <c r="CX7" s="59">
        <f t="shared" si="14"/>
        <v>298.23652142823084</v>
      </c>
      <c r="CY7" s="59">
        <f ca="1">AVERAGE(OFFSET($CX$3,0,0,'Données projet'!$E$13+1,1))-AVERAGE(OFFSET($H$3,0,0,'Données projet'!$E$13+1,1))</f>
        <v>482.74318690313885</v>
      </c>
      <c r="CZ7" s="59">
        <f t="shared" si="42"/>
        <v>205.57161411620217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3.06</v>
      </c>
      <c r="DO7" s="12">
        <f>IF('Données projet'!$A$166&gt;35,DO6+DN7-DW6,IF(A7&lt;'Données projet'!$A$166,$DL$205^A7,IF(A7='Données projet'!$A$166,'Données projet'!$B$166,DO6+DN7-DW6)))</f>
        <v>12.24</v>
      </c>
      <c r="DP7" s="17">
        <f>DO7*VLOOKUP('Données projet'!$B$14,Paramètres!$A$1:$I$89,3,0)*VLOOKUP('Données projet'!$B$14,Paramètres!$A$1:$I$89,5,0)</f>
        <v>5.8874400000000007</v>
      </c>
      <c r="DQ7" s="13">
        <f t="shared" si="43"/>
        <v>2.2072885737720163</v>
      </c>
      <c r="DR7" s="20">
        <f t="shared" si="16"/>
        <v>14.09831893265293</v>
      </c>
      <c r="DS7" s="59">
        <f t="shared" si="17"/>
        <v>307.43165226598626</v>
      </c>
      <c r="DT7" s="59">
        <f ca="1">AVERAGE(OFFSET($DS$3,0,0,'Données projet'!$E$14+1,1))-AVERAGE(OFFSET($H$3,0,0,'Données projet'!$E$14+1,1))</f>
        <v>247.11965163963526</v>
      </c>
      <c r="DU7" s="59">
        <f t="shared" si="44"/>
        <v>61.686311966192704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2.8</v>
      </c>
      <c r="N8" s="13">
        <f>IF('Données projet'!$A$36&gt;35,N7+M8-V7,IF(A8&lt;'Données projet'!$A$36,$K$205^A8,IF(A8='Données projet'!$A$36,'Données projet'!$B$36,N7+M8-V7)))</f>
        <v>2.3389428374280206</v>
      </c>
      <c r="O8" s="13">
        <f>N8*VLOOKUP('Données projet'!$B$9,Paramètres!$A$1:$I$89,3,0)*VLOOKUP('Données projet'!$B$9,Paramètres!$A$1:$I$89,5,0)</f>
        <v>2.1162754793048726</v>
      </c>
      <c r="P8" s="13">
        <f t="shared" si="33"/>
        <v>0.89377388453237949</v>
      </c>
      <c r="Q8" s="20">
        <f t="shared" si="2"/>
        <v>5.2425026420165475</v>
      </c>
      <c r="R8" s="59">
        <f t="shared" si="0"/>
        <v>298.57583597534989</v>
      </c>
      <c r="S8" s="59">
        <f ca="1">AVERAGE(OFFSET($R$3,0,0,'Données projet'!$E$9+1,1))-AVERAGE(OFFSET($H$3,0,0,'Données projet'!$E$9+1,1))</f>
        <v>265.50419397354284</v>
      </c>
      <c r="T8" s="59">
        <f t="shared" si="34"/>
        <v>156.67965022779907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2.8</v>
      </c>
      <c r="AI8" s="13">
        <f>IF('Données projet'!$A$62&gt;35,AI7+AH8-AQ7,IF(A8&lt;'Données projet'!$A$62,$AF$205^A8,IF(A8='Données projet'!$A$62,'Données projet'!$B$62,AI7+AH8-AQ7)))</f>
        <v>2.3389428374280206</v>
      </c>
      <c r="AJ8" s="13">
        <f>AI8*VLOOKUP('Données projet'!$B$10,Paramètres!$A$1:$I$89,3,0)*VLOOKUP('Données projet'!$B$10,Paramètres!$A$1:$I$89,5,0)</f>
        <v>2.3716880371520133</v>
      </c>
      <c r="AK8" s="13">
        <f t="shared" si="35"/>
        <v>0.98844595282197545</v>
      </c>
      <c r="AL8" s="20">
        <f t="shared" si="4"/>
        <v>5.8522333658713634</v>
      </c>
      <c r="AM8" s="59">
        <f t="shared" si="5"/>
        <v>299.18556669920468</v>
      </c>
      <c r="AN8" s="59">
        <f ca="1">AVERAGE(OFFSET($AM$3,0,0,'Données projet'!$E$10+1,1))-AVERAGE(OFFSET($H$3,0,0,'Données projet'!$E$10+1,1))</f>
        <v>296.43642006376018</v>
      </c>
      <c r="AO8" s="59">
        <f t="shared" si="36"/>
        <v>179.56041631665812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2.6666666666666665</v>
      </c>
      <c r="BD8" s="12">
        <f>IF('Données projet'!$A$88&gt;35,BD7+BC8-BL7,IF(A8&lt;'Données projet'!$A$88,$BA$205^A8,IF(A8='Données projet'!$A$88,'Données projet'!$B$88,BD7+BC8-BL7)))</f>
        <v>3.4199518933533928</v>
      </c>
      <c r="BE8" s="13">
        <f>BD8*VLOOKUP('Données projet'!$B$11,Paramètres!$A$1:$I$89,3,0)*VLOOKUP('Données projet'!$B$11,Paramètres!$A$1:$I$89,5,0)</f>
        <v>2.294103730061456</v>
      </c>
      <c r="BF8" s="13">
        <f t="shared" si="37"/>
        <v>0.95981991509429754</v>
      </c>
      <c r="BG8" s="20">
        <f t="shared" si="7"/>
        <v>5.6672503486462702</v>
      </c>
      <c r="BH8" s="59">
        <f t="shared" si="8"/>
        <v>299.00058368197961</v>
      </c>
      <c r="BI8" s="59">
        <f ca="1">AVERAGE(OFFSET($BH$3,0,0,'Données projet'!$E$11+1,1))-AVERAGE(OFFSET($H$3,0,0,'Données projet'!$E$11+1,1))</f>
        <v>181.32837315090507</v>
      </c>
      <c r="BJ8" s="59">
        <f t="shared" si="38"/>
        <v>175.03267817980338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7.9</v>
      </c>
      <c r="BY8" s="12">
        <f>IF('Données projet'!$A$114&gt;35,BY7+BX8-CG7,IF(A8&lt;'Données projet'!$A$114,$BV$205^A8,IF(A8='Données projet'!$A$114,'Données projet'!$B$114,BY7+BX8-CG7)))</f>
        <v>3.5453920925585285</v>
      </c>
      <c r="BZ8" s="13">
        <f>BY8*VLOOKUP('Données projet'!$B$12,Paramètres!$A$1:$I$89,3,0)*VLOOKUP('Données projet'!$B$12,Paramètres!$A$1:$I$89,5,0)</f>
        <v>1.6592434993173915</v>
      </c>
      <c r="CA8" s="13">
        <f t="shared" si="39"/>
        <v>0.72088277944126433</v>
      </c>
      <c r="CB8" s="20">
        <f t="shared" si="10"/>
        <v>4.1453866021713255</v>
      </c>
      <c r="CC8" s="59">
        <f t="shared" si="11"/>
        <v>297.47871993550461</v>
      </c>
      <c r="CD8" s="59">
        <f ca="1">AVERAGE(OFFSET($CC$3,0,0,'Données projet'!$E$12+1,1))-AVERAGE(OFFSET($H$3,0,0,'Données projet'!$E$12+1,1))</f>
        <v>226.0452828290525</v>
      </c>
      <c r="CE8" s="59">
        <f t="shared" si="40"/>
        <v>179.89696397462069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3</v>
      </c>
      <c r="CT8" s="12">
        <f>IF('Données projet'!$A$140&gt;35,CT7+CS8-DB7,IF(A8&lt;'Données projet'!$A$140,$CQ$205^A8,IF(A8='Données projet'!$A$140,'Données projet'!$B$140,CT7+CS8-DB7)))</f>
        <v>4.4510182535424141</v>
      </c>
      <c r="CU8" s="17">
        <f>CT8*VLOOKUP('Données projet'!$B$13,Paramètres!$A$1:$I$89,3,0)*VLOOKUP('Données projet'!$B$13,Paramètres!$A$1:$I$89,5,0)</f>
        <v>2.6617089156183638</v>
      </c>
      <c r="CV8" s="13">
        <f t="shared" si="41"/>
        <v>1.0945205879680817</v>
      </c>
      <c r="CW8" s="20">
        <f t="shared" si="13"/>
        <v>6.5420997187463925</v>
      </c>
      <c r="CX8" s="59">
        <f t="shared" si="14"/>
        <v>299.8754330520797</v>
      </c>
      <c r="CY8" s="59">
        <f ca="1">AVERAGE(OFFSET($CX$3,0,0,'Données projet'!$E$13+1,1))-AVERAGE(OFFSET($H$3,0,0,'Données projet'!$E$13+1,1))</f>
        <v>482.74318690313885</v>
      </c>
      <c r="CZ8" s="59">
        <f t="shared" si="42"/>
        <v>205.57161411620217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3.06</v>
      </c>
      <c r="DO8" s="12">
        <f>IF('Données projet'!$A$166&gt;35,DO7+DN8-DW7,IF(A8&lt;'Données projet'!$A$166,$DL$205^A8,IF(A8='Données projet'!$A$166,'Données projet'!$B$166,DO7+DN8-DW7)))</f>
        <v>15.3</v>
      </c>
      <c r="DP8" s="17">
        <f>DO8*VLOOKUP('Données projet'!$B$14,Paramètres!$A$1:$I$89,3,0)*VLOOKUP('Données projet'!$B$14,Paramètres!$A$1:$I$89,5,0)</f>
        <v>7.3593000000000011</v>
      </c>
      <c r="DQ8" s="13">
        <f t="shared" si="43"/>
        <v>2.6883685282037293</v>
      </c>
      <c r="DR8" s="20">
        <f t="shared" si="16"/>
        <v>17.499689353288161</v>
      </c>
      <c r="DS8" s="59">
        <f t="shared" si="17"/>
        <v>310.83302268662146</v>
      </c>
      <c r="DT8" s="59">
        <f ca="1">AVERAGE(OFFSET($DS$3,0,0,'Données projet'!$E$14+1,1))-AVERAGE(OFFSET($H$3,0,0,'Données projet'!$E$14+1,1))</f>
        <v>247.11965163963526</v>
      </c>
      <c r="DU8" s="59">
        <f t="shared" si="44"/>
        <v>61.686311966192704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2.8</v>
      </c>
      <c r="N9" s="13">
        <f>IF('Données projet'!$A$36&gt;35,N8+M9-V8,IF(A9&lt;'Données projet'!$A$36,$K$205^A9,IF(A9='Données projet'!$A$36,'Données projet'!$B$36,N8+M9-V8)))</f>
        <v>2.7721934279386429</v>
      </c>
      <c r="O9" s="13">
        <f>N9*VLOOKUP('Données projet'!$B$9,Paramètres!$A$1:$I$89,3,0)*VLOOKUP('Données projet'!$B$9,Paramètres!$A$1:$I$89,5,0)</f>
        <v>2.5082806135988838</v>
      </c>
      <c r="P9" s="13">
        <f t="shared" si="33"/>
        <v>1.0385820344818992</v>
      </c>
      <c r="Q9" s="20">
        <f t="shared" si="2"/>
        <v>6.1774524454073623</v>
      </c>
      <c r="R9" s="59">
        <f t="shared" si="0"/>
        <v>299.51078577874068</v>
      </c>
      <c r="S9" s="59">
        <f ca="1">AVERAGE(OFFSET($R$3,0,0,'Données projet'!$E$9+1,1))-AVERAGE(OFFSET($H$3,0,0,'Données projet'!$E$9+1,1))</f>
        <v>265.50419397354284</v>
      </c>
      <c r="T9" s="59">
        <f t="shared" si="34"/>
        <v>156.67965022779907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2.8</v>
      </c>
      <c r="AI9" s="13">
        <f>IF('Données projet'!$A$62&gt;35,AI8+AH9-AQ8,IF(A9&lt;'Données projet'!$A$62,$AF$205^A9,IF(A9='Données projet'!$A$62,'Données projet'!$B$62,AI8+AH9-AQ8)))</f>
        <v>2.7721934279386429</v>
      </c>
      <c r="AJ9" s="13">
        <f>AI9*VLOOKUP('Données projet'!$B$10,Paramètres!$A$1:$I$89,3,0)*VLOOKUP('Données projet'!$B$10,Paramètres!$A$1:$I$89,5,0)</f>
        <v>2.8110041359297839</v>
      </c>
      <c r="AK9" s="13">
        <f t="shared" si="35"/>
        <v>1.1485927553078508</v>
      </c>
      <c r="AL9" s="20">
        <f t="shared" si="4"/>
        <v>6.8962979189055469</v>
      </c>
      <c r="AM9" s="59">
        <f t="shared" si="5"/>
        <v>300.22963125223885</v>
      </c>
      <c r="AN9" s="59">
        <f ca="1">AVERAGE(OFFSET($AM$3,0,0,'Données projet'!$E$10+1,1))-AVERAGE(OFFSET($H$3,0,0,'Données projet'!$E$10+1,1))</f>
        <v>296.43642006376018</v>
      </c>
      <c r="AO9" s="59">
        <f t="shared" si="36"/>
        <v>179.56041631665812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2.6666666666666665</v>
      </c>
      <c r="BD9" s="12">
        <f>IF('Données projet'!$A$88&gt;35,BD8+BC9-BL8,IF(A9&lt;'Données projet'!$A$88,$BA$205^A9,IF(A9='Données projet'!$A$88,'Données projet'!$B$88,BD8+BC9-BL8)))</f>
        <v>4.3734482957731098</v>
      </c>
      <c r="BE9" s="13">
        <f>BD9*VLOOKUP('Données projet'!$B$11,Paramètres!$A$1:$I$89,3,0)*VLOOKUP('Données projet'!$B$11,Paramètres!$A$1:$I$89,5,0)</f>
        <v>2.9337091168046019</v>
      </c>
      <c r="BF9" s="13">
        <f t="shared" si="37"/>
        <v>1.1927839060732757</v>
      </c>
      <c r="BG9" s="20">
        <f t="shared" si="7"/>
        <v>7.1869753481789695</v>
      </c>
      <c r="BH9" s="59">
        <f t="shared" si="8"/>
        <v>300.52030868151229</v>
      </c>
      <c r="BI9" s="59">
        <f ca="1">AVERAGE(OFFSET($BH$3,0,0,'Données projet'!$E$11+1,1))-AVERAGE(OFFSET($H$3,0,0,'Données projet'!$E$11+1,1))</f>
        <v>181.32837315090507</v>
      </c>
      <c r="BJ9" s="59">
        <f t="shared" si="38"/>
        <v>175.03267817980338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7.9</v>
      </c>
      <c r="BY9" s="12">
        <f>IF('Données projet'!$A$114&gt;35,BY8+BX9-CG8,IF(A9&lt;'Données projet'!$A$114,$BV$205^A9,IF(A9='Données projet'!$A$114,'Données projet'!$B$114,BY8+BX9-CG8)))</f>
        <v>4.566643676946887</v>
      </c>
      <c r="BZ9" s="13">
        <f>BY9*VLOOKUP('Données projet'!$B$12,Paramètres!$A$1:$I$89,3,0)*VLOOKUP('Données projet'!$B$12,Paramètres!$A$1:$I$89,5,0)</f>
        <v>2.1371892408111433</v>
      </c>
      <c r="CA9" s="13">
        <f t="shared" si="39"/>
        <v>0.9015738804633705</v>
      </c>
      <c r="CB9" s="20">
        <f t="shared" si="10"/>
        <v>5.292512436219778</v>
      </c>
      <c r="CC9" s="59">
        <f t="shared" si="11"/>
        <v>298.62584576955311</v>
      </c>
      <c r="CD9" s="59">
        <f ca="1">AVERAGE(OFFSET($CC$3,0,0,'Données projet'!$E$12+1,1))-AVERAGE(OFFSET($H$3,0,0,'Données projet'!$E$12+1,1))</f>
        <v>226.0452828290525</v>
      </c>
      <c r="CE9" s="59">
        <f t="shared" si="40"/>
        <v>179.89696397462069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3</v>
      </c>
      <c r="CT9" s="12">
        <f>IF('Données projet'!$A$140&gt;35,CT8+CS9-DB8,IF(A9&lt;'Données projet'!$A$140,$CQ$205^A9,IF(A9='Données projet'!$A$140,'Données projet'!$B$140,CT8+CS9-DB8)))</f>
        <v>6</v>
      </c>
      <c r="CU9" s="17">
        <f>CT9*VLOOKUP('Données projet'!$B$13,Paramètres!$A$1:$I$89,3,0)*VLOOKUP('Données projet'!$B$13,Paramètres!$A$1:$I$89,5,0)</f>
        <v>3.5880000000000005</v>
      </c>
      <c r="CV9" s="13">
        <f t="shared" si="41"/>
        <v>1.4250157876217819</v>
      </c>
      <c r="CW9" s="20">
        <f t="shared" si="13"/>
        <v>8.7310024967746021</v>
      </c>
      <c r="CX9" s="59">
        <f t="shared" si="14"/>
        <v>302.06433583010789</v>
      </c>
      <c r="CY9" s="59">
        <f ca="1">AVERAGE(OFFSET($CX$3,0,0,'Données projet'!$E$13+1,1))-AVERAGE(OFFSET($H$3,0,0,'Données projet'!$E$13+1,1))</f>
        <v>482.74318690313885</v>
      </c>
      <c r="CZ9" s="59">
        <f t="shared" si="42"/>
        <v>205.57161411620217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3.06</v>
      </c>
      <c r="DO9" s="12">
        <f>IF('Données projet'!$A$166&gt;35,DO8+DN9-DW8,IF(A9&lt;'Données projet'!$A$166,$DL$205^A9,IF(A9='Données projet'!$A$166,'Données projet'!$B$166,DO8+DN9-DW8)))</f>
        <v>18.36</v>
      </c>
      <c r="DP9" s="17">
        <f>DO9*VLOOKUP('Données projet'!$B$14,Paramètres!$A$1:$I$89,3,0)*VLOOKUP('Données projet'!$B$14,Paramètres!$A$1:$I$89,5,0)</f>
        <v>8.8311600000000006</v>
      </c>
      <c r="DQ9" s="13">
        <f t="shared" si="43"/>
        <v>3.1582997914189717</v>
      </c>
      <c r="DR9" s="20">
        <f t="shared" si="16"/>
        <v>20.881642470054711</v>
      </c>
      <c r="DS9" s="59">
        <f t="shared" si="17"/>
        <v>314.21497580338803</v>
      </c>
      <c r="DT9" s="59">
        <f ca="1">AVERAGE(OFFSET($DS$3,0,0,'Données projet'!$E$14+1,1))-AVERAGE(OFFSET($H$3,0,0,'Données projet'!$E$14+1,1))</f>
        <v>247.11965163963526</v>
      </c>
      <c r="DU9" s="59">
        <f t="shared" si="44"/>
        <v>61.686311966192704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2.8</v>
      </c>
      <c r="N10" s="13">
        <f>IF('Données projet'!$A$36&gt;35,N9+M10-V9,IF(A10&lt;'Données projet'!$A$36,$K$205^A10,IF(A10='Données projet'!$A$36,'Données projet'!$B$36,N9+M10-V9)))</f>
        <v>3.2856965458621241</v>
      </c>
      <c r="O10" s="13">
        <f>N10*VLOOKUP('Données projet'!$B$9,Paramètres!$A$1:$I$89,3,0)*VLOOKUP('Données projet'!$B$9,Paramètres!$A$1:$I$89,5,0)</f>
        <v>2.9728982346960495</v>
      </c>
      <c r="P10" s="13">
        <f t="shared" si="33"/>
        <v>1.2068518235044534</v>
      </c>
      <c r="Q10" s="20">
        <f t="shared" si="2"/>
        <v>7.279731351365875</v>
      </c>
      <c r="R10" s="59">
        <f t="shared" si="0"/>
        <v>300.61306468469917</v>
      </c>
      <c r="S10" s="59">
        <f ca="1">AVERAGE(OFFSET($R$3,0,0,'Données projet'!$E$9+1,1))-AVERAGE(OFFSET($H$3,0,0,'Données projet'!$E$9+1,1))</f>
        <v>265.50419397354284</v>
      </c>
      <c r="T10" s="59">
        <f t="shared" si="34"/>
        <v>156.67965022779907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2.8</v>
      </c>
      <c r="AI10" s="13">
        <f>IF('Données projet'!$A$62&gt;35,AI9+AH10-AQ9,IF(A10&lt;'Données projet'!$A$62,$AF$205^A10,IF(A10='Données projet'!$A$62,'Données projet'!$B$62,AI9+AH10-AQ9)))</f>
        <v>3.2856965458621241</v>
      </c>
      <c r="AJ10" s="13">
        <f>AI10*VLOOKUP('Données projet'!$B$10,Paramètres!$A$1:$I$89,3,0)*VLOOKUP('Données projet'!$B$10,Paramètres!$A$1:$I$89,5,0)</f>
        <v>3.3316962975041937</v>
      </c>
      <c r="AK10" s="13">
        <f t="shared" si="35"/>
        <v>1.3346863465617191</v>
      </c>
      <c r="AL10" s="20">
        <f t="shared" si="4"/>
        <v>8.1272831050814656</v>
      </c>
      <c r="AM10" s="59">
        <f t="shared" si="5"/>
        <v>301.46061643841477</v>
      </c>
      <c r="AN10" s="59">
        <f ca="1">AVERAGE(OFFSET($AM$3,0,0,'Données projet'!$E$10+1,1))-AVERAGE(OFFSET($H$3,0,0,'Données projet'!$E$10+1,1))</f>
        <v>296.43642006376018</v>
      </c>
      <c r="AO10" s="59">
        <f t="shared" si="36"/>
        <v>179.56041631665812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2.6666666666666665</v>
      </c>
      <c r="BD10" s="12">
        <f>IF('Données projet'!$A$88&gt;35,BD9+BC10-BL9,IF(A10&lt;'Données projet'!$A$88,$BA$205^A10,IF(A10='Données projet'!$A$88,'Données projet'!$B$88,BD9+BC10-BL9)))</f>
        <v>5.5927833467405659</v>
      </c>
      <c r="BE10" s="13">
        <f>BD10*VLOOKUP('Données projet'!$B$11,Paramètres!$A$1:$I$89,3,0)*VLOOKUP('Données projet'!$B$11,Paramètres!$A$1:$I$89,5,0)</f>
        <v>3.7516390689935712</v>
      </c>
      <c r="BF10" s="13">
        <f t="shared" si="37"/>
        <v>1.4822920677236051</v>
      </c>
      <c r="BG10" s="20">
        <f t="shared" si="7"/>
        <v>9.115763396449081</v>
      </c>
      <c r="BH10" s="59">
        <f t="shared" si="8"/>
        <v>302.44909672978241</v>
      </c>
      <c r="BI10" s="59">
        <f ca="1">AVERAGE(OFFSET($BH$3,0,0,'Données projet'!$E$11+1,1))-AVERAGE(OFFSET($H$3,0,0,'Données projet'!$E$11+1,1))</f>
        <v>181.32837315090507</v>
      </c>
      <c r="BJ10" s="59">
        <f t="shared" si="38"/>
        <v>175.03267817980338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7.9</v>
      </c>
      <c r="BY10" s="12">
        <f>IF('Données projet'!$A$114&gt;35,BY9+BX10-CG9,IF(A10&lt;'Données projet'!$A$114,$BV$205^A10,IF(A10='Données projet'!$A$114,'Données projet'!$B$114,BY9+BX10-CG9)))</f>
        <v>5.8820671812210037</v>
      </c>
      <c r="BZ10" s="13">
        <f>BY10*VLOOKUP('Données projet'!$B$12,Paramètres!$A$1:$I$89,3,0)*VLOOKUP('Données projet'!$B$12,Paramètres!$A$1:$I$89,5,0)</f>
        <v>2.7528074408114294</v>
      </c>
      <c r="CA10" s="13">
        <f t="shared" si="39"/>
        <v>1.1275556652411438</v>
      </c>
      <c r="CB10" s="20">
        <f t="shared" si="10"/>
        <v>6.7582990763748976</v>
      </c>
      <c r="CC10" s="59">
        <f t="shared" si="11"/>
        <v>300.09163240970821</v>
      </c>
      <c r="CD10" s="59">
        <f ca="1">AVERAGE(OFFSET($CC$3,0,0,'Données projet'!$E$12+1,1))-AVERAGE(OFFSET($H$3,0,0,'Données projet'!$E$12+1,1))</f>
        <v>226.0452828290525</v>
      </c>
      <c r="CE10" s="59">
        <f t="shared" si="40"/>
        <v>179.89696397462069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3</v>
      </c>
      <c r="CT10" s="12">
        <f>IF('Données projet'!$A$140&gt;35,CT9+CS10-DB9,IF(A10&lt;'Données projet'!$A$140,$CQ$205^A10,IF(A10='Données projet'!$A$140,'Données projet'!$B$140,CT9+CS10-DB9)))</f>
        <v>8.0880369275836674</v>
      </c>
      <c r="CU10" s="17">
        <f>CT10*VLOOKUP('Données projet'!$B$13,Paramètres!$A$1:$I$89,3,0)*VLOOKUP('Données projet'!$B$13,Paramètres!$A$1:$I$89,5,0)</f>
        <v>4.836646082695033</v>
      </c>
      <c r="CV10" s="13">
        <f t="shared" si="41"/>
        <v>1.8553054344470195</v>
      </c>
      <c r="CW10" s="20">
        <f t="shared" si="13"/>
        <v>11.65514889235574</v>
      </c>
      <c r="CX10" s="59">
        <f t="shared" si="14"/>
        <v>304.98848222568904</v>
      </c>
      <c r="CY10" s="59">
        <f ca="1">AVERAGE(OFFSET($CX$3,0,0,'Données projet'!$E$13+1,1))-AVERAGE(OFFSET($H$3,0,0,'Données projet'!$E$13+1,1))</f>
        <v>482.74318690313885</v>
      </c>
      <c r="CZ10" s="59">
        <f t="shared" si="42"/>
        <v>205.57161411620217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3.06</v>
      </c>
      <c r="DO10" s="12">
        <f>IF('Données projet'!$A$166&gt;35,DO9+DN10-DW9,IF(A10&lt;'Données projet'!$A$166,$DL$205^A10,IF(A10='Données projet'!$A$166,'Données projet'!$B$166,DO9+DN10-DW9)))</f>
        <v>21.419999999999998</v>
      </c>
      <c r="DP10" s="17">
        <f>DO10*VLOOKUP('Données projet'!$B$14,Paramètres!$A$1:$I$89,3,0)*VLOOKUP('Données projet'!$B$14,Paramètres!$A$1:$I$89,5,0)</f>
        <v>10.303019999999998</v>
      </c>
      <c r="DQ10" s="13">
        <f t="shared" si="43"/>
        <v>3.6191579301877552</v>
      </c>
      <c r="DR10" s="20">
        <f t="shared" si="16"/>
        <v>24.247793228410334</v>
      </c>
      <c r="DS10" s="59">
        <f t="shared" si="17"/>
        <v>317.58112656174364</v>
      </c>
      <c r="DT10" s="59">
        <f ca="1">AVERAGE(OFFSET($DS$3,0,0,'Données projet'!$E$14+1,1))-AVERAGE(OFFSET($H$3,0,0,'Données projet'!$E$14+1,1))</f>
        <v>247.11965163963526</v>
      </c>
      <c r="DU10" s="59">
        <f t="shared" si="44"/>
        <v>61.686311966192704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2.8</v>
      </c>
      <c r="N11" s="13">
        <f>IF('Données projet'!$A$36&gt;35,N10+M11-V10,IF(A11&lt;'Données projet'!$A$36,$K$205^A11,IF(A11='Données projet'!$A$36,'Données projet'!$B$36,N10+M11-V10)))</f>
        <v>3.8943176485047335</v>
      </c>
      <c r="O11" s="13">
        <f>N11*VLOOKUP('Données projet'!$B$9,Paramètres!$A$1:$I$89,3,0)*VLOOKUP('Données projet'!$B$9,Paramètres!$A$1:$I$89,5,0)</f>
        <v>3.5235786083670826</v>
      </c>
      <c r="P11" s="13">
        <f t="shared" si="33"/>
        <v>1.4023844776234748</v>
      </c>
      <c r="Q11" s="20">
        <f t="shared" si="2"/>
        <v>8.5793857081002205</v>
      </c>
      <c r="R11" s="59">
        <f t="shared" si="0"/>
        <v>301.91271904143355</v>
      </c>
      <c r="S11" s="59">
        <f ca="1">AVERAGE(OFFSET($R$3,0,0,'Données projet'!$E$9+1,1))-AVERAGE(OFFSET($H$3,0,0,'Données projet'!$E$9+1,1))</f>
        <v>265.50419397354284</v>
      </c>
      <c r="T11" s="59">
        <f t="shared" si="34"/>
        <v>156.67965022779907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2.8</v>
      </c>
      <c r="AI11" s="13">
        <f>IF('Données projet'!$A$62&gt;35,AI10+AH11-AQ10,IF(A11&lt;'Données projet'!$A$62,$AF$205^A11,IF(A11='Données projet'!$A$62,'Données projet'!$B$62,AI10+AH11-AQ10)))</f>
        <v>3.8943176485047335</v>
      </c>
      <c r="AJ11" s="13">
        <f>AI11*VLOOKUP('Données projet'!$B$10,Paramètres!$A$1:$I$89,3,0)*VLOOKUP('Données projet'!$B$10,Paramètres!$A$1:$I$89,5,0)</f>
        <v>3.9488380955837998</v>
      </c>
      <c r="AK11" s="13">
        <f t="shared" si="35"/>
        <v>1.5509305935164246</v>
      </c>
      <c r="AL11" s="20">
        <f t="shared" si="4"/>
        <v>9.578763800182891</v>
      </c>
      <c r="AM11" s="59">
        <f t="shared" si="5"/>
        <v>302.91209713351623</v>
      </c>
      <c r="AN11" s="59">
        <f ca="1">AVERAGE(OFFSET($AM$3,0,0,'Données projet'!$E$10+1,1))-AVERAGE(OFFSET($H$3,0,0,'Données projet'!$E$10+1,1))</f>
        <v>296.43642006376018</v>
      </c>
      <c r="AO11" s="59">
        <f t="shared" si="36"/>
        <v>179.56041631665812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2.6666666666666665</v>
      </c>
      <c r="BD11" s="12">
        <f>IF('Données projet'!$A$88&gt;35,BD10+BC11-BL10,IF(A11&lt;'Données projet'!$A$88,$BA$205^A11,IF(A11='Données projet'!$A$88,'Données projet'!$B$88,BD10+BC11-BL10)))</f>
        <v>7.1520739352994367</v>
      </c>
      <c r="BE11" s="13">
        <f>BD11*VLOOKUP('Données projet'!$B$11,Paramètres!$A$1:$I$89,3,0)*VLOOKUP('Données projet'!$B$11,Paramètres!$A$1:$I$89,5,0)</f>
        <v>4.7976111957988623</v>
      </c>
      <c r="BF11" s="13">
        <f t="shared" si="37"/>
        <v>1.8420685950312794</v>
      </c>
      <c r="BG11" s="20">
        <f t="shared" si="7"/>
        <v>11.564108969029164</v>
      </c>
      <c r="BH11" s="59">
        <f t="shared" si="8"/>
        <v>304.89744230236249</v>
      </c>
      <c r="BI11" s="59">
        <f ca="1">AVERAGE(OFFSET($BH$3,0,0,'Données projet'!$E$11+1,1))-AVERAGE(OFFSET($H$3,0,0,'Données projet'!$E$11+1,1))</f>
        <v>181.32837315090507</v>
      </c>
      <c r="BJ11" s="59">
        <f t="shared" si="38"/>
        <v>175.03267817980338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7.9</v>
      </c>
      <c r="BY11" s="12">
        <f>IF('Données projet'!$A$114&gt;35,BY10+BX11-CG10,IF(A11&lt;'Données projet'!$A$114,$BV$205^A11,IF(A11='Données projet'!$A$114,'Données projet'!$B$114,BY10+BX11-CG10)))</f>
        <v>7.5763989424129567</v>
      </c>
      <c r="BZ11" s="13">
        <f>BY11*VLOOKUP('Données projet'!$B$12,Paramètres!$A$1:$I$89,3,0)*VLOOKUP('Données projet'!$B$12,Paramètres!$A$1:$I$89,5,0)</f>
        <v>3.5457547050492639</v>
      </c>
      <c r="CA11" s="13">
        <f t="shared" si="39"/>
        <v>1.4101803587787649</v>
      </c>
      <c r="CB11" s="20">
        <f t="shared" si="10"/>
        <v>8.631586902833817</v>
      </c>
      <c r="CC11" s="59">
        <f t="shared" si="11"/>
        <v>301.96492023616713</v>
      </c>
      <c r="CD11" s="59">
        <f ca="1">AVERAGE(OFFSET($CC$3,0,0,'Données projet'!$E$12+1,1))-AVERAGE(OFFSET($H$3,0,0,'Données projet'!$E$12+1,1))</f>
        <v>226.0452828290525</v>
      </c>
      <c r="CE11" s="59">
        <f t="shared" si="40"/>
        <v>179.89696397462069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3</v>
      </c>
      <c r="CT11" s="12">
        <f>IF('Données projet'!$A$140&gt;35,CT10+CS11-DB10,IF(A11&lt;'Données projet'!$A$140,$CQ$205^A11,IF(A11='Données projet'!$A$140,'Données projet'!$B$140,CT10+CS11-DB10)))</f>
        <v>10.902723556992838</v>
      </c>
      <c r="CU11" s="17">
        <f>CT11*VLOOKUP('Données projet'!$B$13,Paramètres!$A$1:$I$89,3,0)*VLOOKUP('Données projet'!$B$13,Paramètres!$A$1:$I$89,5,0)</f>
        <v>6.5198286870817181</v>
      </c>
      <c r="CV11" s="13">
        <f t="shared" si="41"/>
        <v>2.4155228910363733</v>
      </c>
      <c r="CW11" s="20">
        <f t="shared" si="13"/>
        <v>15.562403998555673</v>
      </c>
      <c r="CX11" s="59">
        <f t="shared" si="14"/>
        <v>308.89573733188899</v>
      </c>
      <c r="CY11" s="59">
        <f ca="1">AVERAGE(OFFSET($CX$3,0,0,'Données projet'!$E$13+1,1))-AVERAGE(OFFSET($H$3,0,0,'Données projet'!$E$13+1,1))</f>
        <v>482.74318690313885</v>
      </c>
      <c r="CZ11" s="59">
        <f t="shared" si="42"/>
        <v>205.57161411620217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3.06</v>
      </c>
      <c r="DO11" s="12">
        <f>IF('Données projet'!$A$166&gt;35,DO10+DN11-DW10,IF(A11&lt;'Données projet'!$A$166,$DL$205^A11,IF(A11='Données projet'!$A$166,'Données projet'!$B$166,DO10+DN11-DW10)))</f>
        <v>24.479999999999997</v>
      </c>
      <c r="DP11" s="17">
        <f>DO11*VLOOKUP('Données projet'!$B$14,Paramètres!$A$1:$I$89,3,0)*VLOOKUP('Données projet'!$B$14,Paramètres!$A$1:$I$89,5,0)</f>
        <v>11.77488</v>
      </c>
      <c r="DQ11" s="13">
        <f t="shared" si="43"/>
        <v>4.0723886587087241</v>
      </c>
      <c r="DR11" s="20">
        <f t="shared" si="16"/>
        <v>27.600659580584363</v>
      </c>
      <c r="DS11" s="59">
        <f t="shared" si="17"/>
        <v>320.93399291391768</v>
      </c>
      <c r="DT11" s="59">
        <f ca="1">AVERAGE(OFFSET($DS$3,0,0,'Données projet'!$E$14+1,1))-AVERAGE(OFFSET($H$3,0,0,'Données projet'!$E$14+1,1))</f>
        <v>247.11965163963526</v>
      </c>
      <c r="DU11" s="59">
        <f t="shared" si="44"/>
        <v>61.686311966192704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2.8</v>
      </c>
      <c r="N12" s="13">
        <f>IF('Données projet'!$A$36&gt;35,N11+M12-V11,IF(A12&lt;'Données projet'!$A$36,$K$205^A12,IF(A12='Données projet'!$A$36,'Données projet'!$B$36,N11+M12-V11)))</f>
        <v>4.6156757740012635</v>
      </c>
      <c r="O12" s="13">
        <f>N12*VLOOKUP('Données projet'!$B$9,Paramètres!$A$1:$I$89,3,0)*VLOOKUP('Données projet'!$B$9,Paramètres!$A$1:$I$89,5,0)</f>
        <v>4.176263440316343</v>
      </c>
      <c r="P12" s="13">
        <f t="shared" si="33"/>
        <v>1.6295970928464274</v>
      </c>
      <c r="Q12" s="20">
        <f t="shared" si="2"/>
        <v>10.111873761925157</v>
      </c>
      <c r="R12" s="59">
        <f t="shared" si="0"/>
        <v>303.44520709525847</v>
      </c>
      <c r="S12" s="59">
        <f ca="1">AVERAGE(OFFSET($R$3,0,0,'Données projet'!$E$9+1,1))-AVERAGE(OFFSET($H$3,0,0,'Données projet'!$E$9+1,1))</f>
        <v>265.50419397354284</v>
      </c>
      <c r="T12" s="59">
        <f t="shared" si="34"/>
        <v>156.67965022779907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2.8</v>
      </c>
      <c r="AI12" s="13">
        <f>IF('Données projet'!$A$62&gt;35,AI11+AH12-AQ11,IF(A12&lt;'Données projet'!$A$62,$AF$205^A12,IF(A12='Données projet'!$A$62,'Données projet'!$B$62,AI11+AH12-AQ11)))</f>
        <v>4.6156757740012635</v>
      </c>
      <c r="AJ12" s="13">
        <f>AI12*VLOOKUP('Données projet'!$B$10,Paramètres!$A$1:$I$89,3,0)*VLOOKUP('Données projet'!$B$10,Paramètres!$A$1:$I$89,5,0)</f>
        <v>4.6802952348372813</v>
      </c>
      <c r="AK12" s="13">
        <f t="shared" si="35"/>
        <v>1.8022104684757689</v>
      </c>
      <c r="AL12" s="20">
        <f t="shared" si="4"/>
        <v>11.290364099936896</v>
      </c>
      <c r="AM12" s="59">
        <f t="shared" si="5"/>
        <v>304.62369743327019</v>
      </c>
      <c r="AN12" s="59">
        <f ca="1">AVERAGE(OFFSET($AM$3,0,0,'Données projet'!$E$10+1,1))-AVERAGE(OFFSET($H$3,0,0,'Données projet'!$E$10+1,1))</f>
        <v>296.43642006376018</v>
      </c>
      <c r="AO12" s="59">
        <f t="shared" si="36"/>
        <v>179.56041631665812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2.6666666666666665</v>
      </c>
      <c r="BD12" s="12">
        <f>IF('Données projet'!$A$88&gt;35,BD11+BC12-BL11,IF(A12&lt;'Données projet'!$A$88,$BA$205^A12,IF(A12='Données projet'!$A$88,'Données projet'!$B$88,BD11+BC12-BL11)))</f>
        <v>9.1461010385465205</v>
      </c>
      <c r="BE12" s="13">
        <f>BD12*VLOOKUP('Données projet'!$B$11,Paramètres!$A$1:$I$89,3,0)*VLOOKUP('Données projet'!$B$11,Paramètres!$A$1:$I$89,5,0)</f>
        <v>6.1352045766570056</v>
      </c>
      <c r="BF12" s="13">
        <f t="shared" si="37"/>
        <v>2.2891687695607548</v>
      </c>
      <c r="BG12" s="20">
        <f t="shared" si="7"/>
        <v>14.672450244662597</v>
      </c>
      <c r="BH12" s="59">
        <f t="shared" si="8"/>
        <v>308.00578357799589</v>
      </c>
      <c r="BI12" s="59">
        <f ca="1">AVERAGE(OFFSET($BH$3,0,0,'Données projet'!$E$11+1,1))-AVERAGE(OFFSET($H$3,0,0,'Données projet'!$E$11+1,1))</f>
        <v>181.32837315090507</v>
      </c>
      <c r="BJ12" s="59">
        <f t="shared" si="38"/>
        <v>175.03267817980338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7.9</v>
      </c>
      <c r="BY12" s="12">
        <f>IF('Données projet'!$A$114&gt;35,BY11+BX12-CG11,IF(A12&lt;'Données projet'!$A$114,$BV$205^A12,IF(A12='Données projet'!$A$114,'Données projet'!$B$114,BY11+BX12-CG11)))</f>
        <v>9.7587836327093171</v>
      </c>
      <c r="BZ12" s="13">
        <f>BY12*VLOOKUP('Données projet'!$B$12,Paramètres!$A$1:$I$89,3,0)*VLOOKUP('Données projet'!$B$12,Paramètres!$A$1:$I$89,5,0)</f>
        <v>4.5671107401079603</v>
      </c>
      <c r="CA12" s="13">
        <f t="shared" si="39"/>
        <v>1.763645650133036</v>
      </c>
      <c r="CB12" s="20">
        <f t="shared" si="10"/>
        <v>11.026067379669733</v>
      </c>
      <c r="CC12" s="59">
        <f t="shared" si="11"/>
        <v>304.35940071300303</v>
      </c>
      <c r="CD12" s="59">
        <f ca="1">AVERAGE(OFFSET($CC$3,0,0,'Données projet'!$E$12+1,1))-AVERAGE(OFFSET($H$3,0,0,'Données projet'!$E$12+1,1))</f>
        <v>226.0452828290525</v>
      </c>
      <c r="CE12" s="59">
        <f t="shared" si="40"/>
        <v>179.89696397462069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3</v>
      </c>
      <c r="CT12" s="12">
        <f>IF('Données projet'!$A$140&gt;35,CT11+CS12-DB11,IF(A12&lt;'Données projet'!$A$140,$CQ$205^A12,IF(A12='Données projet'!$A$140,'Données projet'!$B$140,CT11+CS12-DB11)))</f>
        <v>14.696938456699069</v>
      </c>
      <c r="CU12" s="17">
        <f>CT12*VLOOKUP('Données projet'!$B$13,Paramètres!$A$1:$I$89,3,0)*VLOOKUP('Données projet'!$B$13,Paramètres!$A$1:$I$89,5,0)</f>
        <v>8.7887691971060438</v>
      </c>
      <c r="CV12" s="13">
        <f t="shared" si="41"/>
        <v>3.1449004184369191</v>
      </c>
      <c r="CW12" s="20">
        <f t="shared" si="13"/>
        <v>20.784474580403991</v>
      </c>
      <c r="CX12" s="59">
        <f t="shared" si="14"/>
        <v>314.11780791373729</v>
      </c>
      <c r="CY12" s="59">
        <f ca="1">AVERAGE(OFFSET($CX$3,0,0,'Données projet'!$E$13+1,1))-AVERAGE(OFFSET($H$3,0,0,'Données projet'!$E$13+1,1))</f>
        <v>482.74318690313885</v>
      </c>
      <c r="CZ12" s="59">
        <f t="shared" si="42"/>
        <v>205.57161411620217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3.06</v>
      </c>
      <c r="DO12" s="12">
        <f>IF('Données projet'!$A$166&gt;35,DO11+DN12-DW11,IF(A12&lt;'Données projet'!$A$166,$DL$205^A12,IF(A12='Données projet'!$A$166,'Données projet'!$B$166,DO11+DN12-DW11)))</f>
        <v>27.539999999999996</v>
      </c>
      <c r="DP12" s="17">
        <f>DO12*VLOOKUP('Données projet'!$B$14,Paramètres!$A$1:$I$89,3,0)*VLOOKUP('Données projet'!$B$14,Paramètres!$A$1:$I$89,5,0)</f>
        <v>13.246739999999997</v>
      </c>
      <c r="DQ12" s="13">
        <f t="shared" si="43"/>
        <v>4.5190545953088366</v>
      </c>
      <c r="DR12" s="20">
        <f t="shared" si="16"/>
        <v>30.942092253496213</v>
      </c>
      <c r="DS12" s="59">
        <f t="shared" si="17"/>
        <v>324.27542558682956</v>
      </c>
      <c r="DT12" s="59">
        <f ca="1">AVERAGE(OFFSET($DS$3,0,0,'Données projet'!$E$14+1,1))-AVERAGE(OFFSET($H$3,0,0,'Données projet'!$E$14+1,1))</f>
        <v>247.11965163963526</v>
      </c>
      <c r="DU12" s="59">
        <f t="shared" si="44"/>
        <v>61.686311966192704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2.8</v>
      </c>
      <c r="N13" s="13">
        <f>IF('Données projet'!$A$36&gt;35,N12+M13-V12,IF(A13&lt;'Données projet'!$A$36,$K$205^A13,IF(A13='Données projet'!$A$36,'Données projet'!$B$36,N12+M13-V12)))</f>
        <v>5.4706535967558398</v>
      </c>
      <c r="O13" s="13">
        <f>N13*VLOOKUP('Données projet'!$B$9,Paramètres!$A$1:$I$89,3,0)*VLOOKUP('Données projet'!$B$9,Paramètres!$A$1:$I$89,5,0)</f>
        <v>4.9498473743446834</v>
      </c>
      <c r="P13" s="13">
        <f t="shared" si="33"/>
        <v>1.8936224176652101</v>
      </c>
      <c r="Q13" s="20">
        <f t="shared" si="2"/>
        <v>11.919043221083896</v>
      </c>
      <c r="R13" s="59">
        <f t="shared" si="0"/>
        <v>305.2523765544172</v>
      </c>
      <c r="S13" s="59">
        <f ca="1">AVERAGE(OFFSET($R$3,0,0,'Données projet'!$E$9+1,1))-AVERAGE(OFFSET($H$3,0,0,'Données projet'!$E$9+1,1))</f>
        <v>265.50419397354284</v>
      </c>
      <c r="T13" s="59">
        <f t="shared" si="34"/>
        <v>156.67965022779907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2.8</v>
      </c>
      <c r="AI13" s="13">
        <f>IF('Données projet'!$A$62&gt;35,AI12+AH13-AQ12,IF(A13&lt;'Données projet'!$A$62,$AF$205^A13,IF(A13='Données projet'!$A$62,'Données projet'!$B$62,AI12+AH13-AQ12)))</f>
        <v>5.4706535967558398</v>
      </c>
      <c r="AJ13" s="13">
        <f>AI13*VLOOKUP('Données projet'!$B$10,Paramètres!$A$1:$I$89,3,0)*VLOOKUP('Données projet'!$B$10,Paramètres!$A$1:$I$89,5,0)</f>
        <v>5.5472427471104222</v>
      </c>
      <c r="AK13" s="13">
        <f t="shared" si="35"/>
        <v>2.0942024009724034</v>
      </c>
      <c r="AL13" s="20">
        <f t="shared" si="4"/>
        <v>13.308850299577585</v>
      </c>
      <c r="AM13" s="59">
        <f t="shared" si="5"/>
        <v>306.64218363291093</v>
      </c>
      <c r="AN13" s="59">
        <f ca="1">AVERAGE(OFFSET($AM$3,0,0,'Données projet'!$E$10+1,1))-AVERAGE(OFFSET($H$3,0,0,'Données projet'!$E$10+1,1))</f>
        <v>296.43642006376018</v>
      </c>
      <c r="AO13" s="59">
        <f t="shared" si="36"/>
        <v>179.56041631665812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2.6666666666666665</v>
      </c>
      <c r="BD13" s="12">
        <f>IF('Données projet'!$A$88&gt;35,BD12+BC13-BL12,IF(A13&lt;'Données projet'!$A$88,$BA$205^A13,IF(A13='Données projet'!$A$88,'Données projet'!$B$88,BD12+BC13-BL12)))</f>
        <v>11.696070952851455</v>
      </c>
      <c r="BE13" s="13">
        <f>BD13*VLOOKUP('Données projet'!$B$11,Paramètres!$A$1:$I$89,3,0)*VLOOKUP('Données projet'!$B$11,Paramètres!$A$1:$I$89,5,0)</f>
        <v>7.8457243951727564</v>
      </c>
      <c r="BF13" s="13">
        <f t="shared" si="37"/>
        <v>2.8447874686465271</v>
      </c>
      <c r="BG13" s="20">
        <f t="shared" si="7"/>
        <v>18.619308162818584</v>
      </c>
      <c r="BH13" s="59">
        <f t="shared" si="8"/>
        <v>311.9526414961519</v>
      </c>
      <c r="BI13" s="59">
        <f ca="1">AVERAGE(OFFSET($BH$3,0,0,'Données projet'!$E$11+1,1))-AVERAGE(OFFSET($H$3,0,0,'Données projet'!$E$11+1,1))</f>
        <v>181.32837315090507</v>
      </c>
      <c r="BJ13" s="59">
        <f t="shared" si="38"/>
        <v>175.03267817980338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7.9</v>
      </c>
      <c r="BY13" s="12">
        <f>IF('Données projet'!$A$114&gt;35,BY12+BX13-CG12,IF(A13&lt;'Données projet'!$A$114,$BV$205^A13,IF(A13='Données projet'!$A$114,'Données projet'!$B$114,BY12+BX13-CG12)))</f>
        <v>12.569805089976542</v>
      </c>
      <c r="BZ13" s="13">
        <f>BY13*VLOOKUP('Données projet'!$B$12,Paramètres!$A$1:$I$89,3,0)*VLOOKUP('Données projet'!$B$12,Paramètres!$A$1:$I$89,5,0)</f>
        <v>5.8826687821090227</v>
      </c>
      <c r="CA13" s="13">
        <f t="shared" si="39"/>
        <v>2.2057079152108381</v>
      </c>
      <c r="CB13" s="20">
        <f t="shared" si="10"/>
        <v>14.087256081165423</v>
      </c>
      <c r="CC13" s="59">
        <f t="shared" si="11"/>
        <v>307.42058941449875</v>
      </c>
      <c r="CD13" s="59">
        <f ca="1">AVERAGE(OFFSET($CC$3,0,0,'Données projet'!$E$12+1,1))-AVERAGE(OFFSET($H$3,0,0,'Données projet'!$E$12+1,1))</f>
        <v>226.0452828290525</v>
      </c>
      <c r="CE13" s="59">
        <f t="shared" si="40"/>
        <v>179.89696397462069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3</v>
      </c>
      <c r="CT13" s="12">
        <f>IF('Données projet'!$A$140&gt;35,CT12+CS13-DB12,IF(A13&lt;'Données projet'!$A$140,$CQ$205^A13,IF(A13='Données projet'!$A$140,'Données projet'!$B$140,CT12+CS13-DB12)))</f>
        <v>19.81156349336776</v>
      </c>
      <c r="CU13" s="17">
        <f>CT13*VLOOKUP('Données projet'!$B$13,Paramètres!$A$1:$I$89,3,0)*VLOOKUP('Données projet'!$B$13,Paramètres!$A$1:$I$89,5,0)</f>
        <v>11.847314969033921</v>
      </c>
      <c r="CV13" s="13">
        <f t="shared" si="41"/>
        <v>4.094516627677768</v>
      </c>
      <c r="CW13" s="20">
        <f t="shared" si="13"/>
        <v>27.76535669760619</v>
      </c>
      <c r="CX13" s="59">
        <f t="shared" si="14"/>
        <v>321.09869003093951</v>
      </c>
      <c r="CY13" s="59">
        <f ca="1">AVERAGE(OFFSET($CX$3,0,0,'Données projet'!$E$13+1,1))-AVERAGE(OFFSET($H$3,0,0,'Données projet'!$E$13+1,1))</f>
        <v>482.74318690313885</v>
      </c>
      <c r="CZ13" s="59">
        <f t="shared" si="42"/>
        <v>205.57161411620217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3.06</v>
      </c>
      <c r="DO13" s="12">
        <f>IF('Données projet'!$A$166&gt;35,DO12+DN13-DW12,IF(A13&lt;'Données projet'!$A$166,$DL$205^A13,IF(A13='Données projet'!$A$166,'Données projet'!$B$166,DO12+DN13-DW12)))</f>
        <v>30.599999999999994</v>
      </c>
      <c r="DP13" s="17">
        <f>DO13*VLOOKUP('Données projet'!$B$14,Paramètres!$A$1:$I$89,3,0)*VLOOKUP('Données projet'!$B$14,Paramètres!$A$1:$I$89,5,0)</f>
        <v>14.718599999999997</v>
      </c>
      <c r="DQ13" s="13">
        <f t="shared" si="43"/>
        <v>4.9599683678773587</v>
      </c>
      <c r="DR13" s="20">
        <f t="shared" si="16"/>
        <v>34.273506574053052</v>
      </c>
      <c r="DS13" s="59">
        <f t="shared" si="17"/>
        <v>327.60683990738636</v>
      </c>
      <c r="DT13" s="59">
        <f ca="1">AVERAGE(OFFSET($DS$3,0,0,'Données projet'!$E$14+1,1))-AVERAGE(OFFSET($H$3,0,0,'Données projet'!$E$14+1,1))</f>
        <v>247.11965163963526</v>
      </c>
      <c r="DU13" s="59">
        <f t="shared" si="44"/>
        <v>61.686311966192704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2.8</v>
      </c>
      <c r="N14" s="13">
        <f>IF('Données projet'!$A$36&gt;35,N13+M14-V13,IF(A14&lt;'Données projet'!$A$36,$K$205^A14,IF(A14='Données projet'!$A$36,'Données projet'!$B$36,N13+M14-V13)))</f>
        <v>6.4840019622421199</v>
      </c>
      <c r="O14" s="13">
        <f>N14*VLOOKUP('Données projet'!$B$9,Paramètres!$A$1:$I$89,3,0)*VLOOKUP('Données projet'!$B$9,Paramètres!$A$1:$I$89,5,0)</f>
        <v>5.8667249754366697</v>
      </c>
      <c r="P14" s="13">
        <f t="shared" si="33"/>
        <v>2.2004248021950543</v>
      </c>
      <c r="Q14" s="20">
        <f t="shared" si="2"/>
        <v>14.050285862708584</v>
      </c>
      <c r="R14" s="59">
        <f t="shared" si="0"/>
        <v>307.38361919604188</v>
      </c>
      <c r="S14" s="59">
        <f ca="1">AVERAGE(OFFSET($R$3,0,0,'Données projet'!$E$9+1,1))-AVERAGE(OFFSET($H$3,0,0,'Données projet'!$E$9+1,1))</f>
        <v>265.50419397354284</v>
      </c>
      <c r="T14" s="59">
        <f t="shared" si="34"/>
        <v>156.67965022779907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2.8</v>
      </c>
      <c r="AI14" s="13">
        <f>IF('Données projet'!$A$62&gt;35,AI13+AH14-AQ13,IF(A14&lt;'Données projet'!$A$62,$AF$205^A14,IF(A14='Données projet'!$A$62,'Données projet'!$B$62,AI13+AH14-AQ13)))</f>
        <v>6.4840019622421199</v>
      </c>
      <c r="AJ14" s="13">
        <f>AI14*VLOOKUP('Données projet'!$B$10,Paramètres!$A$1:$I$89,3,0)*VLOOKUP('Données projet'!$B$10,Paramètres!$A$1:$I$89,5,0)</f>
        <v>6.5747779897135095</v>
      </c>
      <c r="AK14" s="13">
        <f t="shared" si="35"/>
        <v>2.4335025086985533</v>
      </c>
      <c r="AL14" s="20">
        <f t="shared" si="4"/>
        <v>15.689421868067676</v>
      </c>
      <c r="AM14" s="59">
        <f t="shared" si="5"/>
        <v>309.02275520140097</v>
      </c>
      <c r="AN14" s="59">
        <f ca="1">AVERAGE(OFFSET($AM$3,0,0,'Données projet'!$E$10+1,1))-AVERAGE(OFFSET($H$3,0,0,'Données projet'!$E$10+1,1))</f>
        <v>296.43642006376018</v>
      </c>
      <c r="AO14" s="59">
        <f t="shared" si="36"/>
        <v>179.56041631665812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2.6666666666666665</v>
      </c>
      <c r="BD14" s="12">
        <f>IF('Données projet'!$A$88&gt;35,BD13+BC14-BL13,IF(A14&lt;'Données projet'!$A$88,$BA$205^A14,IF(A14='Données projet'!$A$88,'Données projet'!$B$88,BD13+BC14-BL13)))</f>
        <v>14.956982779612416</v>
      </c>
      <c r="BE14" s="13">
        <f>BD14*VLOOKUP('Données projet'!$B$11,Paramètres!$A$1:$I$89,3,0)*VLOOKUP('Données projet'!$B$11,Paramètres!$A$1:$I$89,5,0)</f>
        <v>10.033144048564008</v>
      </c>
      <c r="BF14" s="13">
        <f t="shared" si="37"/>
        <v>3.5352639129884524</v>
      </c>
      <c r="BG14" s="20">
        <f t="shared" si="7"/>
        <v>23.631643866370535</v>
      </c>
      <c r="BH14" s="59">
        <f t="shared" si="8"/>
        <v>316.96497719970387</v>
      </c>
      <c r="BI14" s="59">
        <f ca="1">AVERAGE(OFFSET($BH$3,0,0,'Données projet'!$E$11+1,1))-AVERAGE(OFFSET($H$3,0,0,'Données projet'!$E$11+1,1))</f>
        <v>181.32837315090507</v>
      </c>
      <c r="BJ14" s="59">
        <f t="shared" si="38"/>
        <v>175.03267817980338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7.9</v>
      </c>
      <c r="BY14" s="12">
        <f>IF('Données projet'!$A$114&gt;35,BY13+BX14-CG13,IF(A14&lt;'Données projet'!$A$114,$BV$205^A14,IF(A14='Données projet'!$A$114,'Données projet'!$B$114,BY13+BX14-CG13)))</f>
        <v>16.190542381779895</v>
      </c>
      <c r="BZ14" s="13">
        <f>BY14*VLOOKUP('Données projet'!$B$12,Paramètres!$A$1:$I$89,3,0)*VLOOKUP('Données projet'!$B$12,Paramètres!$A$1:$I$89,5,0)</f>
        <v>7.5771738346729904</v>
      </c>
      <c r="CA14" s="13">
        <f t="shared" si="39"/>
        <v>2.7585742106736397</v>
      </c>
      <c r="CB14" s="20">
        <f t="shared" si="10"/>
        <v>18.001427845645381</v>
      </c>
      <c r="CC14" s="59">
        <f t="shared" si="11"/>
        <v>311.33476117897868</v>
      </c>
      <c r="CD14" s="59">
        <f ca="1">AVERAGE(OFFSET($CC$3,0,0,'Données projet'!$E$12+1,1))-AVERAGE(OFFSET($H$3,0,0,'Données projet'!$E$12+1,1))</f>
        <v>226.0452828290525</v>
      </c>
      <c r="CE14" s="59">
        <f t="shared" si="40"/>
        <v>179.89696397462069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3</v>
      </c>
      <c r="CT14" s="12">
        <f>IF('Données projet'!$A$140&gt;35,CT13+CS14-DB13,IF(A14&lt;'Données projet'!$A$140,$CQ$205^A14,IF(A14='Données projet'!$A$140,'Données projet'!$B$140,CT13+CS14-DB13)))</f>
        <v>26.706109521254486</v>
      </c>
      <c r="CU14" s="17">
        <f>CT14*VLOOKUP('Données projet'!$B$13,Paramètres!$A$1:$I$89,3,0)*VLOOKUP('Données projet'!$B$13,Paramètres!$A$1:$I$89,5,0)</f>
        <v>15.970253493710185</v>
      </c>
      <c r="CV14" s="13">
        <f t="shared" si="41"/>
        <v>5.3308735361046251</v>
      </c>
      <c r="CW14" s="20">
        <f t="shared" si="13"/>
        <v>37.09946291026079</v>
      </c>
      <c r="CX14" s="59">
        <f t="shared" si="14"/>
        <v>330.43279624359411</v>
      </c>
      <c r="CY14" s="59">
        <f ca="1">AVERAGE(OFFSET($CX$3,0,0,'Données projet'!$E$13+1,1))-AVERAGE(OFFSET($H$3,0,0,'Données projet'!$E$13+1,1))</f>
        <v>482.74318690313885</v>
      </c>
      <c r="CZ14" s="59">
        <f t="shared" si="42"/>
        <v>205.57161411620217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3.06</v>
      </c>
      <c r="DO14" s="12">
        <f>IF('Données projet'!$A$166&gt;35,DO13+DN14-DW13,IF(A14&lt;'Données projet'!$A$166,$DL$205^A14,IF(A14='Données projet'!$A$166,'Données projet'!$B$166,DO13+DN14-DW13)))</f>
        <v>33.659999999999997</v>
      </c>
      <c r="DP14" s="17">
        <f>DO14*VLOOKUP('Données projet'!$B$14,Paramètres!$A$1:$I$89,3,0)*VLOOKUP('Données projet'!$B$14,Paramètres!$A$1:$I$89,5,0)</f>
        <v>16.190459999999998</v>
      </c>
      <c r="DQ14" s="13">
        <f t="shared" si="43"/>
        <v>5.3957706738048907</v>
      </c>
      <c r="DR14" s="20">
        <f t="shared" si="16"/>
        <v>37.596018423543512</v>
      </c>
      <c r="DS14" s="59">
        <f t="shared" si="17"/>
        <v>330.92935175687683</v>
      </c>
      <c r="DT14" s="59">
        <f ca="1">AVERAGE(OFFSET($DS$3,0,0,'Données projet'!$E$14+1,1))-AVERAGE(OFFSET($H$3,0,0,'Données projet'!$E$14+1,1))</f>
        <v>247.11965163963526</v>
      </c>
      <c r="DU14" s="59">
        <f t="shared" si="44"/>
        <v>61.686311966192704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2.8</v>
      </c>
      <c r="N15" s="13">
        <f>IF('Données projet'!$A$36&gt;35,N14+M15-V14,IF(A15&lt;'Données projet'!$A$36,$K$205^A15,IF(A15='Données projet'!$A$36,'Données projet'!$B$36,N14+M15-V14)))</f>
        <v>7.685056401906202</v>
      </c>
      <c r="O15" s="13">
        <f>N15*VLOOKUP('Données projet'!$B$9,Paramètres!$A$1:$I$89,3,0)*VLOOKUP('Données projet'!$B$9,Paramètres!$A$1:$I$89,5,0)</f>
        <v>6.9534390324447317</v>
      </c>
      <c r="P15" s="13">
        <f t="shared" si="33"/>
        <v>2.55693493325087</v>
      </c>
      <c r="Q15" s="20">
        <f t="shared" si="2"/>
        <v>16.563901323586503</v>
      </c>
      <c r="R15" s="59">
        <f t="shared" si="0"/>
        <v>309.89723465691981</v>
      </c>
      <c r="S15" s="59">
        <f ca="1">AVERAGE(OFFSET($R$3,0,0,'Données projet'!$E$9+1,1))-AVERAGE(OFFSET($H$3,0,0,'Données projet'!$E$9+1,1))</f>
        <v>265.50419397354284</v>
      </c>
      <c r="T15" s="59">
        <f t="shared" si="34"/>
        <v>156.67965022779907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2.8</v>
      </c>
      <c r="AI15" s="13">
        <f>IF('Données projet'!$A$62&gt;35,AI14+AH15-AQ14,IF(A15&lt;'Données projet'!$A$62,$AF$205^A15,IF(A15='Données projet'!$A$62,'Données projet'!$B$62,AI14+AH15-AQ14)))</f>
        <v>7.685056401906202</v>
      </c>
      <c r="AJ15" s="13">
        <f>AI15*VLOOKUP('Données projet'!$B$10,Paramètres!$A$1:$I$89,3,0)*VLOOKUP('Données projet'!$B$10,Paramètres!$A$1:$I$89,5,0)</f>
        <v>7.7926471915328897</v>
      </c>
      <c r="AK15" s="13">
        <f t="shared" si="35"/>
        <v>2.827775604255069</v>
      </c>
      <c r="AL15" s="20">
        <f t="shared" si="4"/>
        <v>18.497236369330697</v>
      </c>
      <c r="AM15" s="59">
        <f t="shared" si="5"/>
        <v>311.83056970266404</v>
      </c>
      <c r="AN15" s="59">
        <f ca="1">AVERAGE(OFFSET($AM$3,0,0,'Données projet'!$E$10+1,1))-AVERAGE(OFFSET($H$3,0,0,'Données projet'!$E$10+1,1))</f>
        <v>296.43642006376018</v>
      </c>
      <c r="AO15" s="59">
        <f t="shared" si="36"/>
        <v>179.56041631665812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2.6666666666666665</v>
      </c>
      <c r="BD15" s="12">
        <f>IF('Données projet'!$A$88&gt;35,BD14+BC15-BL14,IF(A15&lt;'Données projet'!$A$88,$BA$205^A15,IF(A15='Données projet'!$A$88,'Données projet'!$B$88,BD14+BC15-BL14)))</f>
        <v>19.127049995800721</v>
      </c>
      <c r="BE15" s="13">
        <f>BD15*VLOOKUP('Données projet'!$B$11,Paramètres!$A$1:$I$89,3,0)*VLOOKUP('Données projet'!$B$11,Paramètres!$A$1:$I$89,5,0)</f>
        <v>12.830425137183123</v>
      </c>
      <c r="BF15" s="13">
        <f t="shared" si="37"/>
        <v>4.3933302829208145</v>
      </c>
      <c r="BG15" s="20">
        <f t="shared" si="7"/>
        <v>29.998040690014353</v>
      </c>
      <c r="BH15" s="59">
        <f t="shared" si="8"/>
        <v>323.33137402334768</v>
      </c>
      <c r="BI15" s="59">
        <f ca="1">AVERAGE(OFFSET($BH$3,0,0,'Données projet'!$E$11+1,1))-AVERAGE(OFFSET($H$3,0,0,'Données projet'!$E$11+1,1))</f>
        <v>181.32837315090507</v>
      </c>
      <c r="BJ15" s="59">
        <f t="shared" si="38"/>
        <v>175.03267817980338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7.9</v>
      </c>
      <c r="BY15" s="12">
        <f>IF('Données projet'!$A$114&gt;35,BY14+BX15-CG14,IF(A15&lt;'Données projet'!$A$114,$BV$205^A15,IF(A15='Données projet'!$A$114,'Données projet'!$B$114,BY14+BX15-CG14)))</f>
        <v>20.854234472198982</v>
      </c>
      <c r="BZ15" s="13">
        <f>BY15*VLOOKUP('Données projet'!$B$12,Paramètres!$A$1:$I$89,3,0)*VLOOKUP('Données projet'!$B$12,Paramètres!$A$1:$I$89,5,0)</f>
        <v>9.7597817329891239</v>
      </c>
      <c r="CA15" s="13">
        <f t="shared" si="39"/>
        <v>3.4500178483814818</v>
      </c>
      <c r="CB15" s="20">
        <f t="shared" si="10"/>
        <v>23.00706760422047</v>
      </c>
      <c r="CC15" s="59">
        <f t="shared" si="11"/>
        <v>316.3404009375538</v>
      </c>
      <c r="CD15" s="59">
        <f ca="1">AVERAGE(OFFSET($CC$3,0,0,'Données projet'!$E$12+1,1))-AVERAGE(OFFSET($H$3,0,0,'Données projet'!$E$12+1,1))</f>
        <v>226.0452828290525</v>
      </c>
      <c r="CE15" s="59">
        <f t="shared" si="40"/>
        <v>179.89696397462069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>
        <f>VLOOKUP(A15,'Données projet'!$A$139:$I$159,2,0)</f>
        <v>36</v>
      </c>
      <c r="CR15" s="12">
        <f>VLOOKUP(A15,'Données projet'!$A$139:$I$159,9,0)</f>
        <v>3</v>
      </c>
      <c r="CS15" s="12">
        <f t="array" ref="CS15">INDEX(CR:CR,MIN(IF(ISNUMBER(CR15:CR211),ROW(CR15:CR211),"")))</f>
        <v>3</v>
      </c>
      <c r="CT15" s="12">
        <f>IF('Données projet'!$A$140&gt;35,CT14+CS15-DB14,IF(A15&lt;'Données projet'!$A$140,$CQ$205^A15,IF(A15='Données projet'!$A$140,'Données projet'!$B$140,CT14+CS15-DB14)))</f>
        <v>36</v>
      </c>
      <c r="CU15" s="17">
        <f>CT15*VLOOKUP('Données projet'!$B$13,Paramètres!$A$1:$I$89,3,0)*VLOOKUP('Données projet'!$B$13,Paramètres!$A$1:$I$89,5,0)</f>
        <v>21.528000000000002</v>
      </c>
      <c r="CV15" s="13">
        <f t="shared" si="41"/>
        <v>6.9405537312613621</v>
      </c>
      <c r="CW15" s="20">
        <f t="shared" si="13"/>
        <v>49.582731081946882</v>
      </c>
      <c r="CX15" s="59">
        <f t="shared" si="14"/>
        <v>342.91606441528018</v>
      </c>
      <c r="CY15" s="59">
        <f ca="1">AVERAGE(OFFSET($CX$3,0,0,'Données projet'!$E$13+1,1))-AVERAGE(OFFSET($H$3,0,0,'Données projet'!$E$13+1,1))</f>
        <v>482.74318690313885</v>
      </c>
      <c r="CZ15" s="59">
        <f t="shared" si="42"/>
        <v>205.57161411620217</v>
      </c>
      <c r="DA15" s="15">
        <f>IF(ISNA(VLOOKUP(A15,'Données projet'!$A$139:$I$159,3,0)),0,VLOOKUP(A15,'Données projet'!$A$139:$I$159,3,0))</f>
        <v>1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3.06</v>
      </c>
      <c r="DO15" s="12">
        <f>IF('Données projet'!$A$166&gt;35,DO14+DN15-DW14,IF(A15&lt;'Données projet'!$A$166,$DL$205^A15,IF(A15='Données projet'!$A$166,'Données projet'!$B$166,DO14+DN15-DW14)))</f>
        <v>36.72</v>
      </c>
      <c r="DP15" s="17">
        <f>DO15*VLOOKUP('Données projet'!$B$14,Paramètres!$A$1:$I$89,3,0)*VLOOKUP('Données projet'!$B$14,Paramètres!$A$1:$I$89,5,0)</f>
        <v>17.662320000000001</v>
      </c>
      <c r="DQ15" s="13">
        <f t="shared" si="43"/>
        <v>5.8269790385392568</v>
      </c>
      <c r="DR15" s="20">
        <f t="shared" si="16"/>
        <v>40.91052915878921</v>
      </c>
      <c r="DS15" s="59">
        <f t="shared" si="17"/>
        <v>334.2438624921225</v>
      </c>
      <c r="DT15" s="59">
        <f ca="1">AVERAGE(OFFSET($DS$3,0,0,'Données projet'!$E$14+1,1))-AVERAGE(OFFSET($H$3,0,0,'Données projet'!$E$14+1,1))</f>
        <v>247.11965163963526</v>
      </c>
      <c r="DU15" s="59">
        <f t="shared" si="44"/>
        <v>61.686311966192704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2.8</v>
      </c>
      <c r="N16" s="13">
        <f>IF('Données projet'!$A$36&gt;35,N15+M16-V15,IF(A16&lt;'Données projet'!$A$36,$K$205^A16,IF(A16='Données projet'!$A$36,'Données projet'!$B$36,N15+M16-V15)))</f>
        <v>9.1085863706396779</v>
      </c>
      <c r="O16" s="13">
        <f>N16*VLOOKUP('Données projet'!$B$9,Paramètres!$A$1:$I$89,3,0)*VLOOKUP('Données projet'!$B$9,Paramètres!$A$1:$I$89,5,0)</f>
        <v>8.2414489481547797</v>
      </c>
      <c r="P16" s="13">
        <f t="shared" si="33"/>
        <v>2.971206399035617</v>
      </c>
      <c r="Q16" s="20">
        <f t="shared" si="2"/>
        <v>19.528708063023274</v>
      </c>
      <c r="R16" s="59">
        <f t="shared" si="0"/>
        <v>312.86204139635657</v>
      </c>
      <c r="S16" s="59">
        <f ca="1">AVERAGE(OFFSET($R$3,0,0,'Données projet'!$E$9+1,1))-AVERAGE(OFFSET($H$3,0,0,'Données projet'!$E$9+1,1))</f>
        <v>265.50419397354284</v>
      </c>
      <c r="T16" s="59">
        <f t="shared" si="34"/>
        <v>156.67965022779907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2.8</v>
      </c>
      <c r="AI16" s="13">
        <f>IF('Données projet'!$A$62&gt;35,AI15+AH16-AQ15,IF(A16&lt;'Données projet'!$A$62,$AF$205^A16,IF(A16='Données projet'!$A$62,'Données projet'!$B$62,AI15+AH16-AQ15)))</f>
        <v>9.1085863706396779</v>
      </c>
      <c r="AJ16" s="13">
        <f>AI16*VLOOKUP('Données projet'!$B$10,Paramètres!$A$1:$I$89,3,0)*VLOOKUP('Données projet'!$B$10,Paramètres!$A$1:$I$89,5,0)</f>
        <v>9.2361065798286326</v>
      </c>
      <c r="AK16" s="13">
        <f t="shared" si="35"/>
        <v>3.2859283437914253</v>
      </c>
      <c r="AL16" s="20">
        <f t="shared" si="4"/>
        <v>21.809210825304934</v>
      </c>
      <c r="AM16" s="59">
        <f t="shared" si="5"/>
        <v>315.14254415863826</v>
      </c>
      <c r="AN16" s="59">
        <f ca="1">AVERAGE(OFFSET($AM$3,0,0,'Données projet'!$E$10+1,1))-AVERAGE(OFFSET($H$3,0,0,'Données projet'!$E$10+1,1))</f>
        <v>296.43642006376018</v>
      </c>
      <c r="AO16" s="59">
        <f t="shared" si="36"/>
        <v>179.56041631665812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2.6666666666666665</v>
      </c>
      <c r="BD16" s="12">
        <f>IF('Données projet'!$A$88&gt;35,BD15+BC16-BL15,IF(A16&lt;'Données projet'!$A$88,$BA$205^A16,IF(A16='Données projet'!$A$88,'Données projet'!$B$88,BD15+BC16-BL15)))</f>
        <v>24.459748796430759</v>
      </c>
      <c r="BE16" s="13">
        <f>BD16*VLOOKUP('Données projet'!$B$11,Paramètres!$A$1:$I$89,3,0)*VLOOKUP('Données projet'!$B$11,Paramètres!$A$1:$I$89,5,0)</f>
        <v>16.407599492645755</v>
      </c>
      <c r="BF16" s="13">
        <f t="shared" si="37"/>
        <v>5.4596633942706498</v>
      </c>
      <c r="BG16" s="20">
        <f t="shared" si="7"/>
        <v>38.085482861379397</v>
      </c>
      <c r="BH16" s="59">
        <f t="shared" si="8"/>
        <v>331.41881619471269</v>
      </c>
      <c r="BI16" s="59">
        <f ca="1">AVERAGE(OFFSET($BH$3,0,0,'Données projet'!$E$11+1,1))-AVERAGE(OFFSET($H$3,0,0,'Données projet'!$E$11+1,1))</f>
        <v>181.32837315090507</v>
      </c>
      <c r="BJ16" s="59">
        <f t="shared" si="38"/>
        <v>175.03267817980338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7.9</v>
      </c>
      <c r="BY16" s="12">
        <f>IF('Données projet'!$A$114&gt;35,BY15+BX16-CG15,IF(A16&lt;'Données projet'!$A$114,$BV$205^A16,IF(A16='Données projet'!$A$114,'Données projet'!$B$114,BY15+BX16-CG15)))</f>
        <v>26.861304900499697</v>
      </c>
      <c r="BZ16" s="13">
        <f>BY16*VLOOKUP('Données projet'!$B$12,Paramètres!$A$1:$I$89,3,0)*VLOOKUP('Données projet'!$B$12,Paramètres!$A$1:$I$89,5,0)</f>
        <v>12.571090693433858</v>
      </c>
      <c r="CA16" s="13">
        <f t="shared" si="39"/>
        <v>4.3147735914069099</v>
      </c>
      <c r="CB16" s="20">
        <f t="shared" si="10"/>
        <v>29.409546962764335</v>
      </c>
      <c r="CC16" s="59">
        <f t="shared" si="11"/>
        <v>322.74288029609767</v>
      </c>
      <c r="CD16" s="59">
        <f ca="1">AVERAGE(OFFSET($CC$3,0,0,'Données projet'!$E$12+1,1))-AVERAGE(OFFSET($H$3,0,0,'Données projet'!$E$12+1,1))</f>
        <v>226.0452828290525</v>
      </c>
      <c r="CE16" s="59">
        <f t="shared" si="40"/>
        <v>179.89696397462069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11.25</v>
      </c>
      <c r="CT16" s="12">
        <f>IF('Données projet'!$A$140&gt;35,CT15+CS16-DB15,IF(A16&lt;'Données projet'!$A$140,$CQ$205^A16,IF(A16='Données projet'!$A$140,'Données projet'!$B$140,CT15+CS16-DB15)))</f>
        <v>47.25</v>
      </c>
      <c r="CU16" s="17">
        <f>CT16*VLOOKUP('Données projet'!$B$13,Paramètres!$A$1:$I$89,3,0)*VLOOKUP('Données projet'!$B$13,Paramètres!$A$1:$I$89,5,0)</f>
        <v>28.255500000000001</v>
      </c>
      <c r="CV16" s="13">
        <f t="shared" si="41"/>
        <v>8.8256494369710552</v>
      </c>
      <c r="CW16" s="20">
        <f t="shared" si="13"/>
        <v>64.583001936057926</v>
      </c>
      <c r="CX16" s="59">
        <f t="shared" si="14"/>
        <v>357.91633526939125</v>
      </c>
      <c r="CY16" s="59">
        <f ca="1">AVERAGE(OFFSET($CX$3,0,0,'Données projet'!$E$13+1,1))-AVERAGE(OFFSET($H$3,0,0,'Données projet'!$E$13+1,1))</f>
        <v>482.74318690313885</v>
      </c>
      <c r="CZ16" s="59">
        <f t="shared" si="42"/>
        <v>205.57161411620217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3.06</v>
      </c>
      <c r="DO16" s="12">
        <f>IF('Données projet'!$A$166&gt;35,DO15+DN16-DW15,IF(A16&lt;'Données projet'!$A$166,$DL$205^A16,IF(A16='Données projet'!$A$166,'Données projet'!$B$166,DO15+DN16-DW15)))</f>
        <v>39.78</v>
      </c>
      <c r="DP16" s="17">
        <f>DO16*VLOOKUP('Données projet'!$B$14,Paramètres!$A$1:$I$89,3,0)*VLOOKUP('Données projet'!$B$14,Paramètres!$A$1:$I$89,5,0)</f>
        <v>19.134180000000001</v>
      </c>
      <c r="DQ16" s="13">
        <f t="shared" si="43"/>
        <v>6.2540198147062007</v>
      </c>
      <c r="DR16" s="20">
        <f t="shared" si="16"/>
        <v>44.217781343946626</v>
      </c>
      <c r="DS16" s="59">
        <f t="shared" si="17"/>
        <v>337.55111467727994</v>
      </c>
      <c r="DT16" s="59">
        <f ca="1">AVERAGE(OFFSET($DS$3,0,0,'Données projet'!$E$14+1,1))-AVERAGE(OFFSET($H$3,0,0,'Données projet'!$E$14+1,1))</f>
        <v>247.11965163963526</v>
      </c>
      <c r="DU16" s="59">
        <f t="shared" si="44"/>
        <v>61.686311966192704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2.8</v>
      </c>
      <c r="N17" s="13">
        <f>IF('Données projet'!$A$36&gt;35,N16+M17-V16,IF(A17&lt;'Données projet'!$A$36,$K$205^A17,IF(A17='Données projet'!$A$36,'Données projet'!$B$36,N16+M17-V16)))</f>
        <v>10.795801791490293</v>
      </c>
      <c r="O17" s="13">
        <f>N17*VLOOKUP('Données projet'!$B$9,Paramètres!$A$1:$I$89,3,0)*VLOOKUP('Données projet'!$B$9,Paramètres!$A$1:$I$89,5,0)</f>
        <v>9.7680414609404167</v>
      </c>
      <c r="P17" s="13">
        <f t="shared" si="33"/>
        <v>3.4525976202477158</v>
      </c>
      <c r="Q17" s="20">
        <f t="shared" si="2"/>
        <v>23.025946399735997</v>
      </c>
      <c r="R17" s="59">
        <f t="shared" si="0"/>
        <v>316.35927973306929</v>
      </c>
      <c r="S17" s="59">
        <f ca="1">AVERAGE(OFFSET($R$3,0,0,'Données projet'!$E$9+1,1))-AVERAGE(OFFSET($H$3,0,0,'Données projet'!$E$9+1,1))</f>
        <v>265.50419397354284</v>
      </c>
      <c r="T17" s="59">
        <f t="shared" si="34"/>
        <v>156.67965022779907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2.8</v>
      </c>
      <c r="AI17" s="13">
        <f>IF('Données projet'!$A$62&gt;35,AI16+AH17-AQ16,IF(A17&lt;'Données projet'!$A$62,$AF$205^A17,IF(A17='Données projet'!$A$62,'Données projet'!$B$62,AI16+AH17-AQ16)))</f>
        <v>10.795801791490293</v>
      </c>
      <c r="AJ17" s="13">
        <f>AI17*VLOOKUP('Données projet'!$B$10,Paramètres!$A$1:$I$89,3,0)*VLOOKUP('Données projet'!$B$10,Paramètres!$A$1:$I$89,5,0)</f>
        <v>10.946943016571158</v>
      </c>
      <c r="AK17" s="13">
        <f t="shared" si="35"/>
        <v>3.8183104289762917</v>
      </c>
      <c r="AL17" s="20">
        <f t="shared" si="4"/>
        <v>25.71614975099514</v>
      </c>
      <c r="AM17" s="59">
        <f t="shared" si="5"/>
        <v>319.04948308432847</v>
      </c>
      <c r="AN17" s="59">
        <f ca="1">AVERAGE(OFFSET($AM$3,0,0,'Données projet'!$E$10+1,1))-AVERAGE(OFFSET($H$3,0,0,'Données projet'!$E$10+1,1))</f>
        <v>296.43642006376018</v>
      </c>
      <c r="AO17" s="59">
        <f t="shared" si="36"/>
        <v>179.56041631665812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2.6666666666666665</v>
      </c>
      <c r="BD17" s="12">
        <f>IF('Données projet'!$A$88&gt;35,BD16+BC17-BL16,IF(A17&lt;'Données projet'!$A$88,$BA$205^A17,IF(A17='Données projet'!$A$88,'Données projet'!$B$88,BD16+BC17-BL16)))</f>
        <v>31.279225563578599</v>
      </c>
      <c r="BE17" s="13">
        <f>BD17*VLOOKUP('Données projet'!$B$11,Paramètres!$A$1:$I$89,3,0)*VLOOKUP('Données projet'!$B$11,Paramètres!$A$1:$I$89,5,0)</f>
        <v>20.982104508048526</v>
      </c>
      <c r="BF17" s="13">
        <f t="shared" si="37"/>
        <v>6.7848129913241397</v>
      </c>
      <c r="BG17" s="20">
        <f t="shared" si="7"/>
        <v>48.360714644740732</v>
      </c>
      <c r="BH17" s="59">
        <f t="shared" si="8"/>
        <v>341.69404797807402</v>
      </c>
      <c r="BI17" s="59">
        <f ca="1">AVERAGE(OFFSET($BH$3,0,0,'Données projet'!$E$11+1,1))-AVERAGE(OFFSET($H$3,0,0,'Données projet'!$E$11+1,1))</f>
        <v>181.32837315090507</v>
      </c>
      <c r="BJ17" s="59">
        <f t="shared" si="38"/>
        <v>175.03267817980338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7.9</v>
      </c>
      <c r="BY17" s="12">
        <f>IF('Données projet'!$A$114&gt;35,BY16+BX17-CG16,IF(A17&lt;'Données projet'!$A$114,$BV$205^A17,IF(A17='Données projet'!$A$114,'Données projet'!$B$114,BY16+BX17-CG16)))</f>
        <v>34.598714324397214</v>
      </c>
      <c r="BZ17" s="13">
        <f>BY17*VLOOKUP('Données projet'!$B$12,Paramètres!$A$1:$I$89,3,0)*VLOOKUP('Données projet'!$B$12,Paramètres!$A$1:$I$89,5,0)</f>
        <v>16.192198303817896</v>
      </c>
      <c r="CA17" s="13">
        <f t="shared" si="39"/>
        <v>5.3962825594761723</v>
      </c>
      <c r="CB17" s="20">
        <f t="shared" si="10"/>
        <v>37.599937503570509</v>
      </c>
      <c r="CC17" s="59">
        <f t="shared" si="11"/>
        <v>330.93327083690383</v>
      </c>
      <c r="CD17" s="59">
        <f ca="1">AVERAGE(OFFSET($CC$3,0,0,'Données projet'!$E$12+1,1))-AVERAGE(OFFSET($H$3,0,0,'Données projet'!$E$12+1,1))</f>
        <v>226.0452828290525</v>
      </c>
      <c r="CE17" s="59">
        <f t="shared" si="40"/>
        <v>179.89696397462069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11.25</v>
      </c>
      <c r="CT17" s="12">
        <f>IF('Données projet'!$A$140&gt;35,CT16+CS17-DB16,IF(A17&lt;'Données projet'!$A$140,$CQ$205^A17,IF(A17='Données projet'!$A$140,'Données projet'!$B$140,CT16+CS17-DB16)))</f>
        <v>58.5</v>
      </c>
      <c r="CU17" s="17">
        <f>CT17*VLOOKUP('Données projet'!$B$13,Paramètres!$A$1:$I$89,3,0)*VLOOKUP('Données projet'!$B$13,Paramètres!$A$1:$I$89,5,0)</f>
        <v>34.983000000000004</v>
      </c>
      <c r="CV17" s="13">
        <f t="shared" si="41"/>
        <v>10.658697928430266</v>
      </c>
      <c r="CW17" s="20">
        <f t="shared" si="13"/>
        <v>79.492623892016056</v>
      </c>
      <c r="CX17" s="59">
        <f t="shared" si="14"/>
        <v>372.82595722534938</v>
      </c>
      <c r="CY17" s="59">
        <f ca="1">AVERAGE(OFFSET($CX$3,0,0,'Données projet'!$E$13+1,1))-AVERAGE(OFFSET($H$3,0,0,'Données projet'!$E$13+1,1))</f>
        <v>482.74318690313885</v>
      </c>
      <c r="CZ17" s="59">
        <f t="shared" si="42"/>
        <v>205.57161411620217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3.06</v>
      </c>
      <c r="DO17" s="12">
        <f>IF('Données projet'!$A$166&gt;35,DO16+DN17-DW16,IF(A17&lt;'Données projet'!$A$166,$DL$205^A17,IF(A17='Données projet'!$A$166,'Données projet'!$B$166,DO16+DN17-DW16)))</f>
        <v>42.84</v>
      </c>
      <c r="DP17" s="17">
        <f>DO17*VLOOKUP('Données projet'!$B$14,Paramètres!$A$1:$I$89,3,0)*VLOOKUP('Données projet'!$B$14,Paramètres!$A$1:$I$89,5,0)</f>
        <v>20.606040000000004</v>
      </c>
      <c r="DQ17" s="13">
        <f t="shared" si="43"/>
        <v>6.6772500361317357</v>
      </c>
      <c r="DR17" s="20">
        <f t="shared" si="16"/>
        <v>47.518396812929439</v>
      </c>
      <c r="DS17" s="59">
        <f t="shared" si="17"/>
        <v>340.85173014626275</v>
      </c>
      <c r="DT17" s="59">
        <f ca="1">AVERAGE(OFFSET($DS$3,0,0,'Données projet'!$E$14+1,1))-AVERAGE(OFFSET($H$3,0,0,'Données projet'!$E$14+1,1))</f>
        <v>247.11965163963526</v>
      </c>
      <c r="DU17" s="59">
        <f t="shared" si="44"/>
        <v>61.686311966192704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2.8</v>
      </c>
      <c r="N18" s="13">
        <f>IF('Données projet'!$A$36&gt;35,N17+M18-V17,IF(A18&lt;'Données projet'!$A$36,$K$205^A18,IF(A18='Données projet'!$A$36,'Données projet'!$B$36,N17+M18-V17)))</f>
        <v>12.795546046181913</v>
      </c>
      <c r="O18" s="13">
        <f>N18*VLOOKUP('Données projet'!$B$9,Paramètres!$A$1:$I$89,3,0)*VLOOKUP('Données projet'!$B$9,Paramètres!$A$1:$I$89,5,0)</f>
        <v>11.577410062585395</v>
      </c>
      <c r="P18" s="13">
        <f t="shared" si="33"/>
        <v>4.0119832574435987</v>
      </c>
      <c r="Q18" s="20">
        <f t="shared" si="2"/>
        <v>27.151526699050493</v>
      </c>
      <c r="R18" s="59">
        <f t="shared" si="0"/>
        <v>320.48486003238384</v>
      </c>
      <c r="S18" s="59">
        <f ca="1">AVERAGE(OFFSET($R$3,0,0,'Données projet'!$E$9+1,1))-AVERAGE(OFFSET($H$3,0,0,'Données projet'!$E$9+1,1))</f>
        <v>265.50419397354284</v>
      </c>
      <c r="T18" s="59">
        <f t="shared" si="34"/>
        <v>156.67965022779907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2.8</v>
      </c>
      <c r="AI18" s="13">
        <f>IF('Données projet'!$A$62&gt;35,AI17+AH18-AQ17,IF(A18&lt;'Données projet'!$A$62,$AF$205^A18,IF(A18='Données projet'!$A$62,'Données projet'!$B$62,AI17+AH18-AQ17)))</f>
        <v>12.795546046181913</v>
      </c>
      <c r="AJ18" s="13">
        <f>AI18*VLOOKUP('Données projet'!$B$10,Paramètres!$A$1:$I$89,3,0)*VLOOKUP('Données projet'!$B$10,Paramètres!$A$1:$I$89,5,0)</f>
        <v>12.974683690828462</v>
      </c>
      <c r="AK18" s="13">
        <f t="shared" si="35"/>
        <v>4.4369484074648931</v>
      </c>
      <c r="AL18" s="20">
        <f t="shared" si="4"/>
        <v>30.325259237860919</v>
      </c>
      <c r="AM18" s="59">
        <f t="shared" si="5"/>
        <v>323.65859257119422</v>
      </c>
      <c r="AN18" s="59">
        <f ca="1">AVERAGE(OFFSET($AM$3,0,0,'Données projet'!$E$10+1,1))-AVERAGE(OFFSET($H$3,0,0,'Données projet'!$E$10+1,1))</f>
        <v>296.43642006376018</v>
      </c>
      <c r="AO18" s="59">
        <f t="shared" si="36"/>
        <v>179.56041631665812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40</v>
      </c>
      <c r="BB18" s="12">
        <f>VLOOKUP(A18,'Données projet'!$A$87:$I$107,9,0)</f>
        <v>2.6666666666666665</v>
      </c>
      <c r="BC18" s="12">
        <f t="array" ref="BC18">INDEX(BB:BB,MIN(IF(ISNUMBER(BB18:BB214),ROW(BB18:BB214),"")))</f>
        <v>2.6666666666666665</v>
      </c>
      <c r="BD18" s="12">
        <f>IF('Données projet'!$A$88&gt;35,BD17+BC18-BL17,IF(A18&lt;'Données projet'!$A$88,$BA$205^A18,IF(A18='Données projet'!$A$88,'Données projet'!$B$88,BD17+BC18-BL17)))</f>
        <v>40</v>
      </c>
      <c r="BE18" s="13">
        <f>BD18*VLOOKUP('Données projet'!$B$11,Paramètres!$A$1:$I$89,3,0)*VLOOKUP('Données projet'!$B$11,Paramètres!$A$1:$I$89,5,0)</f>
        <v>26.832000000000001</v>
      </c>
      <c r="BF18" s="13">
        <f t="shared" si="37"/>
        <v>8.4315980680326312</v>
      </c>
      <c r="BG18" s="20">
        <f t="shared" si="7"/>
        <v>61.4174333018235</v>
      </c>
      <c r="BH18" s="59">
        <f t="shared" si="8"/>
        <v>354.75076663515682</v>
      </c>
      <c r="BI18" s="59">
        <f ca="1">AVERAGE(OFFSET($BH$3,0,0,'Données projet'!$E$11+1,1))-AVERAGE(OFFSET($H$3,0,0,'Données projet'!$E$11+1,1))</f>
        <v>181.32837315090507</v>
      </c>
      <c r="BJ18" s="59">
        <f t="shared" si="38"/>
        <v>175.03267817980338</v>
      </c>
      <c r="BK18" s="15">
        <f>IF(ISNA(VLOOKUP(A18,'Données projet'!$A$87:$I$107,3,0)),0,VLOOKUP(A18,'Données projet'!$A$87:$I$107,3,0))</f>
        <v>2</v>
      </c>
      <c r="BL18" s="15">
        <f>IF(ISNA(VLOOKUP(A18,'Données projet'!$A$87:$I$107,4,0)),0,VLOOKUP(A18,'Données projet'!$A$87:$I$107,4,0))</f>
        <v>3</v>
      </c>
      <c r="BM18" s="16">
        <f>IF(ISNA(VLOOKUP(A18,'Données projet'!$A$87:$I$107,5,0)),0%,VLOOKUP(A18,'Données projet'!$A$87:$I$107,5,0)*VLOOKUP('Données projet'!$B$11,Paramètres!$A$1:$I$89,7,0))</f>
        <v>0.10600000000000001</v>
      </c>
      <c r="BN18" s="16">
        <f>IF(ISNA(VLOOKUP(A18,'Données projet'!$A$87:$I$107,6,0)),0%,VLOOKUP(A18,'Données projet'!$A$87:$I$107,6,0)*VLOOKUP('Données projet'!$B$11,Paramètres!$A$1:$I$89,7,0))</f>
        <v>0.10600000000000001</v>
      </c>
      <c r="BO18" s="16">
        <f>IF(ISNA(VLOOKUP(A18,'Données projet'!$A$87:$I$107,7,0)),0%,VLOOKUP(A18,'Données projet'!$A$87:$I$107,7,0))</f>
        <v>0.6</v>
      </c>
      <c r="BP18" s="21">
        <f>EXP(-LN(2)/35)*BP17+(1-EXP(-LN(2)/35))/(LN(2)/35)*BL18*BM18*VLOOKUP('Données projet'!$B$11,Paramètres!$A$1:$I$89,3,0)*0.475*44/12</f>
        <v>0.23581275072784355</v>
      </c>
      <c r="BQ18" s="21">
        <f>EXP(-LN(2)/25)*BQ17+(1-EXP(-LN(2)/25))/(LN(2)/25)*Calculateur!BL18*Calculateur!BN18*VLOOKUP('Données projet'!$B$11,Paramètres!$A$1:$I$89,3,0)*0.475*44/12</f>
        <v>0.23488426607652579</v>
      </c>
      <c r="BR18" s="21">
        <f>EXP(-LN(2)/2)*BR17+(1-EXP(-LN(2)/2))/(LN(2)/2)*BL18*BO18*VLOOKUP('Données projet'!$B$11,Paramètres!$A$1:$I$89,3,0)*0.475*44/12</f>
        <v>1.1392521377711298</v>
      </c>
      <c r="BS18" s="22">
        <f t="shared" si="9"/>
        <v>1.6099491545754991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7.9</v>
      </c>
      <c r="BY18" s="12">
        <f>IF('Données projet'!$A$114&gt;35,BY17+BX18-CG17,IF(A18&lt;'Données projet'!$A$114,$BV$205^A18,IF(A18='Données projet'!$A$114,'Données projet'!$B$114,BY17+BX18-CG17)))</f>
        <v>44.564887571004775</v>
      </c>
      <c r="BZ18" s="13">
        <f>BY18*VLOOKUP('Données projet'!$B$12,Paramètres!$A$1:$I$89,3,0)*VLOOKUP('Données projet'!$B$12,Paramètres!$A$1:$I$89,5,0)</f>
        <v>20.856367383230236</v>
      </c>
      <c r="CA18" s="13">
        <f t="shared" si="39"/>
        <v>6.7488744993944465</v>
      </c>
      <c r="CB18" s="20">
        <f t="shared" si="10"/>
        <v>48.079129612237985</v>
      </c>
      <c r="CC18" s="59">
        <f t="shared" si="11"/>
        <v>341.41246294557129</v>
      </c>
      <c r="CD18" s="59">
        <f ca="1">AVERAGE(OFFSET($CC$3,0,0,'Données projet'!$E$12+1,1))-AVERAGE(OFFSET($H$3,0,0,'Données projet'!$E$12+1,1))</f>
        <v>226.0452828290525</v>
      </c>
      <c r="CE18" s="59">
        <f t="shared" si="40"/>
        <v>179.89696397462069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11.25</v>
      </c>
      <c r="CT18" s="12">
        <f>IF('Données projet'!$A$140&gt;35,CT17+CS18-DB17,IF(A18&lt;'Données projet'!$A$140,$CQ$205^A18,IF(A18='Données projet'!$A$140,'Données projet'!$B$140,CT17+CS18-DB17)))</f>
        <v>69.75</v>
      </c>
      <c r="CU18" s="17">
        <f>CT18*VLOOKUP('Données projet'!$B$13,Paramètres!$A$1:$I$89,3,0)*VLOOKUP('Données projet'!$B$13,Paramètres!$A$1:$I$89,5,0)</f>
        <v>41.710500000000003</v>
      </c>
      <c r="CV18" s="13">
        <f t="shared" si="41"/>
        <v>12.450904347349248</v>
      </c>
      <c r="CW18" s="20">
        <f t="shared" si="13"/>
        <v>94.331112571633255</v>
      </c>
      <c r="CX18" s="59">
        <f t="shared" si="14"/>
        <v>387.66444590496656</v>
      </c>
      <c r="CY18" s="59">
        <f ca="1">AVERAGE(OFFSET($CX$3,0,0,'Données projet'!$E$13+1,1))-AVERAGE(OFFSET($H$3,0,0,'Données projet'!$E$13+1,1))</f>
        <v>482.74318690313885</v>
      </c>
      <c r="CZ18" s="59">
        <f t="shared" si="42"/>
        <v>205.57161411620217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3.06</v>
      </c>
      <c r="DO18" s="12">
        <f>IF('Données projet'!$A$166&gt;35,DO17+DN18-DW17,IF(A18&lt;'Données projet'!$A$166,$DL$205^A18,IF(A18='Données projet'!$A$166,'Données projet'!$B$166,DO17+DN18-DW17)))</f>
        <v>45.900000000000006</v>
      </c>
      <c r="DP18" s="17">
        <f>DO18*VLOOKUP('Données projet'!$B$14,Paramètres!$A$1:$I$89,3,0)*VLOOKUP('Données projet'!$B$14,Paramètres!$A$1:$I$89,5,0)</f>
        <v>22.077900000000003</v>
      </c>
      <c r="DQ18" s="13">
        <f t="shared" si="43"/>
        <v>7.0969728416352318</v>
      </c>
      <c r="DR18" s="20">
        <f t="shared" si="16"/>
        <v>50.812903532514696</v>
      </c>
      <c r="DS18" s="59">
        <f t="shared" si="17"/>
        <v>344.14623686584798</v>
      </c>
      <c r="DT18" s="59">
        <f ca="1">AVERAGE(OFFSET($DS$3,0,0,'Données projet'!$E$14+1,1))-AVERAGE(OFFSET($H$3,0,0,'Données projet'!$E$14+1,1))</f>
        <v>247.11965163963526</v>
      </c>
      <c r="DU18" s="59">
        <f t="shared" si="44"/>
        <v>61.686311966192704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2.8</v>
      </c>
      <c r="N19" s="13">
        <f>IF('Données projet'!$A$36&gt;35,N18+M19-V18,IF(A19&lt;'Données projet'!$A$36,$K$205^A19,IF(A19='Données projet'!$A$36,'Données projet'!$B$36,N18+M19-V18)))</f>
        <v>15.165709947455436</v>
      </c>
      <c r="O19" s="13">
        <f>N19*VLOOKUP('Données projet'!$B$9,Paramètres!$A$1:$I$89,3,0)*VLOOKUP('Données projet'!$B$9,Paramètres!$A$1:$I$89,5,0)</f>
        <v>13.721934360457679</v>
      </c>
      <c r="P19" s="13">
        <f t="shared" si="33"/>
        <v>4.6619998703622194</v>
      </c>
      <c r="Q19" s="20">
        <f t="shared" si="2"/>
        <v>32.018685452011319</v>
      </c>
      <c r="R19" s="59">
        <f t="shared" si="0"/>
        <v>325.35201878534463</v>
      </c>
      <c r="S19" s="59">
        <f ca="1">AVERAGE(OFFSET($R$3,0,0,'Données projet'!$E$9+1,1))-AVERAGE(OFFSET($H$3,0,0,'Données projet'!$E$9+1,1))</f>
        <v>265.50419397354284</v>
      </c>
      <c r="T19" s="59">
        <f t="shared" si="34"/>
        <v>156.67965022779907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2.8</v>
      </c>
      <c r="AI19" s="13">
        <f>IF('Données projet'!$A$62&gt;35,AI18+AH19-AQ18,IF(A19&lt;'Données projet'!$A$62,$AF$205^A19,IF(A19='Données projet'!$A$62,'Données projet'!$B$62,AI18+AH19-AQ18)))</f>
        <v>15.165709947455436</v>
      </c>
      <c r="AJ19" s="13">
        <f>AI19*VLOOKUP('Données projet'!$B$10,Paramètres!$A$1:$I$89,3,0)*VLOOKUP('Données projet'!$B$10,Paramètres!$A$1:$I$89,5,0)</f>
        <v>15.378029886719814</v>
      </c>
      <c r="AK19" s="13">
        <f t="shared" si="35"/>
        <v>5.1558173534317051</v>
      </c>
      <c r="AL19" s="20">
        <f t="shared" si="4"/>
        <v>35.763117276597228</v>
      </c>
      <c r="AM19" s="59">
        <f t="shared" si="5"/>
        <v>329.09645060993057</v>
      </c>
      <c r="AN19" s="59">
        <f ca="1">AVERAGE(OFFSET($AM$3,0,0,'Données projet'!$E$10+1,1))-AVERAGE(OFFSET($H$3,0,0,'Données projet'!$E$10+1,1))</f>
        <v>296.43642006376018</v>
      </c>
      <c r="AO19" s="59">
        <f t="shared" si="36"/>
        <v>179.56041631665812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9.6</v>
      </c>
      <c r="BD19" s="12">
        <f>IF('Données projet'!$A$88&gt;35,BD18+BC19-BL18,IF(A19&lt;'Données projet'!$A$88,$BA$205^A19,IF(A19='Données projet'!$A$88,'Données projet'!$B$88,BD18+BC19-BL18)))</f>
        <v>46.6</v>
      </c>
      <c r="BE19" s="13">
        <f>BD19*VLOOKUP('Données projet'!$B$11,Paramètres!$A$1:$I$89,3,0)*VLOOKUP('Données projet'!$B$11,Paramètres!$A$1:$I$89,5,0)</f>
        <v>31.25928</v>
      </c>
      <c r="BF19" s="13">
        <f t="shared" si="37"/>
        <v>9.6497371409320873</v>
      </c>
      <c r="BG19" s="20">
        <f t="shared" si="7"/>
        <v>71.249871520456722</v>
      </c>
      <c r="BH19" s="59">
        <f t="shared" si="8"/>
        <v>364.58320485379005</v>
      </c>
      <c r="BI19" s="59">
        <f ca="1">AVERAGE(OFFSET($BH$3,0,0,'Données projet'!$E$11+1,1))-AVERAGE(OFFSET($H$3,0,0,'Données projet'!$E$11+1,1))</f>
        <v>181.32837315090507</v>
      </c>
      <c r="BJ19" s="59">
        <f t="shared" si="38"/>
        <v>175.03267817980338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0.23118860651764631</v>
      </c>
      <c r="BQ19" s="21">
        <f>EXP(-LN(2)/25)*BQ18+(1-EXP(-LN(2)/25))/(LN(2)/25)*Calculateur!BL19*Calculateur!BN19*VLOOKUP('Données projet'!$B$11,Paramètres!$A$1:$I$89,3,0)*0.475*44/12</f>
        <v>0.22846134346863647</v>
      </c>
      <c r="BR19" s="21">
        <f>EXP(-LN(2)/2)*BR18+(1-EXP(-LN(2)/2))/(LN(2)/2)*BL19*BO19*VLOOKUP('Données projet'!$B$11,Paramètres!$A$1:$I$89,3,0)*0.475*44/12</f>
        <v>0.80557291209923676</v>
      </c>
      <c r="BS19" s="22">
        <f t="shared" si="9"/>
        <v>1.2652228620855195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7.9</v>
      </c>
      <c r="BY19" s="12">
        <f>IF('Données projet'!$A$114&gt;35,BY18+BX19-CG18,IF(A19&lt;'Données projet'!$A$114,$BV$205^A19,IF(A19='Données projet'!$A$114,'Données projet'!$B$114,BY18+BX19-CG18)))</f>
        <v>57.401820934596167</v>
      </c>
      <c r="BZ19" s="13">
        <f>BY19*VLOOKUP('Données projet'!$B$12,Paramètres!$A$1:$I$89,3,0)*VLOOKUP('Données projet'!$B$12,Paramètres!$A$1:$I$89,5,0)</f>
        <v>26.864052197391008</v>
      </c>
      <c r="CA19" s="13">
        <f t="shared" si="39"/>
        <v>8.4404970471001413</v>
      </c>
      <c r="CB19" s="20">
        <f t="shared" si="10"/>
        <v>61.488756600822086</v>
      </c>
      <c r="CC19" s="59">
        <f t="shared" si="11"/>
        <v>354.82208993415543</v>
      </c>
      <c r="CD19" s="59">
        <f ca="1">AVERAGE(OFFSET($CC$3,0,0,'Données projet'!$E$12+1,1))-AVERAGE(OFFSET($H$3,0,0,'Données projet'!$E$12+1,1))</f>
        <v>226.0452828290525</v>
      </c>
      <c r="CE19" s="59">
        <f t="shared" si="40"/>
        <v>179.89696397462069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>
        <f>VLOOKUP(A19,'Données projet'!$A$139:$I$159,2,0)</f>
        <v>81</v>
      </c>
      <c r="CR19" s="12">
        <f>VLOOKUP(A19,'Données projet'!$A$139:$I$159,9,0)</f>
        <v>11.25</v>
      </c>
      <c r="CS19" s="12">
        <f t="array" ref="CS19">INDEX(CR:CR,MIN(IF(ISNUMBER(CR19:CR215),ROW(CR19:CR215),"")))</f>
        <v>11.25</v>
      </c>
      <c r="CT19" s="12">
        <f>IF('Données projet'!$A$140&gt;35,CT18+CS19-DB18,IF(A19&lt;'Données projet'!$A$140,$CQ$205^A19,IF(A19='Données projet'!$A$140,'Données projet'!$B$140,CT18+CS19-DB18)))</f>
        <v>81</v>
      </c>
      <c r="CU19" s="17">
        <f>CT19*VLOOKUP('Données projet'!$B$13,Paramètres!$A$1:$I$89,3,0)*VLOOKUP('Données projet'!$B$13,Paramètres!$A$1:$I$89,5,0)</f>
        <v>48.438000000000009</v>
      </c>
      <c r="CV19" s="13">
        <f t="shared" si="41"/>
        <v>14.209624244846971</v>
      </c>
      <c r="CW19" s="20">
        <f t="shared" si="13"/>
        <v>109.11127889310849</v>
      </c>
      <c r="CX19" s="59">
        <f t="shared" si="14"/>
        <v>402.44461222644179</v>
      </c>
      <c r="CY19" s="59">
        <f ca="1">AVERAGE(OFFSET($CX$3,0,0,'Données projet'!$E$13+1,1))-AVERAGE(OFFSET($H$3,0,0,'Données projet'!$E$13+1,1))</f>
        <v>482.74318690313885</v>
      </c>
      <c r="CZ19" s="59">
        <f t="shared" si="42"/>
        <v>205.57161411620217</v>
      </c>
      <c r="DA19" s="15">
        <f>IF(ISNA(VLOOKUP(A19,'Données projet'!$A$139:$I$159,3,0)),0,VLOOKUP(A19,'Données projet'!$A$139:$I$159,3,0))</f>
        <v>2</v>
      </c>
      <c r="DB19" s="15">
        <f>IF(ISNA(VLOOKUP(A19,'Données projet'!$A$139:$I$159,4,0)),0,VLOOKUP(A19,'Données projet'!$A$139:$I$159,4,0))</f>
        <v>15</v>
      </c>
      <c r="DC19" s="16">
        <f>IF(ISNA(VLOOKUP(A19,'Données projet'!$A$139:$I$159,5,0)),0%,VLOOKUP(A19,'Données projet'!$A$139:$I$159,5,0)*VLOOKUP('Données projet'!$B$13,Paramètres!$A$1:$I$89,7,0))</f>
        <v>9.0000000000000011E-2</v>
      </c>
      <c r="DD19" s="16">
        <f>IF(ISNA(VLOOKUP(A19,'Données projet'!$A$139:$I$159,6,0)),0%,VLOOKUP(A19,'Données projet'!$A$139:$I$159,6,0)*VLOOKUP('Données projet'!$B$13,Paramètres!$A$1:$I$89,7,0))</f>
        <v>9.0000000000000011E-2</v>
      </c>
      <c r="DE19" s="16">
        <f>IF(ISNA(VLOOKUP(A19,'Données projet'!$A$139:$I$159,7,0)),0%,VLOOKUP(A19,'Données projet'!$A$139:$I$159,7,0))</f>
        <v>0.6</v>
      </c>
      <c r="DF19" s="21">
        <f>EXP(-LN(2)/35)*DF18+(1-EXP(-LN(2)/35))/(LN(2)/35)*DB19*DC19*VLOOKUP('Données projet'!$B$13,Paramètres!$A$1:$I$89,3,0)*0.475*44/12</f>
        <v>1.070935484876341</v>
      </c>
      <c r="DG19" s="21">
        <f>EXP(-LN(2)/25)*DG18+(1-EXP(-LN(2)/25))/(LN(2)/25)*Calculateur!DB19*Calculateur!DD19*VLOOKUP('Données projet'!$B$13,Paramètres!$A$1:$I$89,3,0)*0.475*44/12</f>
        <v>1.0667188038139717</v>
      </c>
      <c r="DH19" s="21">
        <f>EXP(-LN(2)/2)*DH18+(1-EXP(-LN(2)/2))/(LN(2)/2)*DB19*DE19*VLOOKUP('Données projet'!$B$13,Paramètres!$A$1:$I$89,3,0)*0.475*44/12</f>
        <v>6.0936742252874394</v>
      </c>
      <c r="DI19" s="22">
        <f t="shared" si="15"/>
        <v>8.2313285139777523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3.06</v>
      </c>
      <c r="DO19" s="12">
        <f>IF('Données projet'!$A$166&gt;35,DO18+DN19-DW18,IF(A19&lt;'Données projet'!$A$166,$DL$205^A19,IF(A19='Données projet'!$A$166,'Données projet'!$B$166,DO18+DN19-DW18)))</f>
        <v>48.960000000000008</v>
      </c>
      <c r="DP19" s="17">
        <f>DO19*VLOOKUP('Données projet'!$B$14,Paramètres!$A$1:$I$89,3,0)*VLOOKUP('Données projet'!$B$14,Paramètres!$A$1:$I$89,5,0)</f>
        <v>23.549760000000003</v>
      </c>
      <c r="DQ19" s="13">
        <f t="shared" si="43"/>
        <v>7.513448664865142</v>
      </c>
      <c r="DR19" s="20">
        <f t="shared" si="16"/>
        <v>54.101755091306785</v>
      </c>
      <c r="DS19" s="59">
        <f t="shared" si="17"/>
        <v>347.43508842464007</v>
      </c>
      <c r="DT19" s="59">
        <f ca="1">AVERAGE(OFFSET($DS$3,0,0,'Données projet'!$E$14+1,1))-AVERAGE(OFFSET($H$3,0,0,'Données projet'!$E$14+1,1))</f>
        <v>247.11965163963526</v>
      </c>
      <c r="DU19" s="59">
        <f t="shared" si="44"/>
        <v>61.686311966192704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2.8</v>
      </c>
      <c r="N20" s="13">
        <f>IF('Données projet'!$A$36&gt;35,N19+M20-V19,IF(A20&lt;'Données projet'!$A$36,$K$205^A20,IF(A20='Données projet'!$A$36,'Données projet'!$B$36,N19+M20-V19)))</f>
        <v>17.974907626468866</v>
      </c>
      <c r="O20" s="13">
        <f>N20*VLOOKUP('Données projet'!$B$9,Paramètres!$A$1:$I$89,3,0)*VLOOKUP('Données projet'!$B$9,Paramètres!$A$1:$I$89,5,0)</f>
        <v>16.263696420429028</v>
      </c>
      <c r="P20" s="13">
        <f t="shared" si="33"/>
        <v>5.4173313786723556</v>
      </c>
      <c r="Q20" s="20">
        <f t="shared" si="2"/>
        <v>37.761123416768235</v>
      </c>
      <c r="R20" s="59">
        <f t="shared" si="0"/>
        <v>331.09445675010153</v>
      </c>
      <c r="S20" s="59">
        <f ca="1">AVERAGE(OFFSET($R$3,0,0,'Données projet'!$E$9+1,1))-AVERAGE(OFFSET($H$3,0,0,'Données projet'!$E$9+1,1))</f>
        <v>265.50419397354284</v>
      </c>
      <c r="T20" s="59">
        <f t="shared" si="34"/>
        <v>156.67965022779907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2.8</v>
      </c>
      <c r="AI20" s="13">
        <f>IF('Données projet'!$A$62&gt;35,AI19+AH20-AQ19,IF(A20&lt;'Données projet'!$A$62,$AF$205^A20,IF(A20='Données projet'!$A$62,'Données projet'!$B$62,AI19+AH20-AQ19)))</f>
        <v>17.974907626468866</v>
      </c>
      <c r="AJ20" s="13">
        <f>AI20*VLOOKUP('Données projet'!$B$10,Paramètres!$A$1:$I$89,3,0)*VLOOKUP('Données projet'!$B$10,Paramètres!$A$1:$I$89,5,0)</f>
        <v>18.226556333239429</v>
      </c>
      <c r="AK20" s="13">
        <f t="shared" si="35"/>
        <v>5.9911565654502983</v>
      </c>
      <c r="AL20" s="20">
        <f t="shared" si="4"/>
        <v>42.179183298551266</v>
      </c>
      <c r="AM20" s="59">
        <f t="shared" si="5"/>
        <v>335.51251663188458</v>
      </c>
      <c r="AN20" s="59">
        <f ca="1">AVERAGE(OFFSET($AM$3,0,0,'Données projet'!$E$10+1,1))-AVERAGE(OFFSET($H$3,0,0,'Données projet'!$E$10+1,1))</f>
        <v>296.43642006376018</v>
      </c>
      <c r="AO20" s="59">
        <f t="shared" si="36"/>
        <v>179.56041631665812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9.6</v>
      </c>
      <c r="BD20" s="12">
        <f>IF('Données projet'!$A$88&gt;35,BD19+BC20-BL19,IF(A20&lt;'Données projet'!$A$88,$BA$205^A20,IF(A20='Données projet'!$A$88,'Données projet'!$B$88,BD19+BC20-BL19)))</f>
        <v>56.2</v>
      </c>
      <c r="BE20" s="13">
        <f>BD20*VLOOKUP('Données projet'!$B$11,Paramètres!$A$1:$I$89,3,0)*VLOOKUP('Données projet'!$B$11,Paramètres!$A$1:$I$89,5,0)</f>
        <v>37.69896</v>
      </c>
      <c r="BF20" s="13">
        <f t="shared" si="37"/>
        <v>11.38666898611536</v>
      </c>
      <c r="BG20" s="20">
        <f t="shared" si="7"/>
        <v>85.490803817484263</v>
      </c>
      <c r="BH20" s="59">
        <f t="shared" si="8"/>
        <v>378.82413715081759</v>
      </c>
      <c r="BI20" s="59">
        <f ca="1">AVERAGE(OFFSET($BH$3,0,0,'Données projet'!$E$11+1,1))-AVERAGE(OFFSET($H$3,0,0,'Données projet'!$E$11+1,1))</f>
        <v>181.32837315090507</v>
      </c>
      <c r="BJ20" s="59">
        <f t="shared" si="38"/>
        <v>175.03267817980338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0.22665513895496153</v>
      </c>
      <c r="BQ20" s="21">
        <f>EXP(-LN(2)/25)*BQ19+(1-EXP(-LN(2)/25))/(LN(2)/25)*Calculateur!BL20*Calculateur!BN20*VLOOKUP('Données projet'!$B$11,Paramètres!$A$1:$I$89,3,0)*0.475*44/12</f>
        <v>0.22221405601722671</v>
      </c>
      <c r="BR20" s="21">
        <f>EXP(-LN(2)/2)*BR19+(1-EXP(-LN(2)/2))/(LN(2)/2)*BL20*BO20*VLOOKUP('Données projet'!$B$11,Paramètres!$A$1:$I$89,3,0)*0.475*44/12</f>
        <v>0.56962606888556488</v>
      </c>
      <c r="BS20" s="22">
        <f t="shared" si="9"/>
        <v>1.0184952638577531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7.9</v>
      </c>
      <c r="BY20" s="12">
        <f>IF('Données projet'!$A$114&gt;35,BY19+BX20-CG19,IF(A20&lt;'Données projet'!$A$114,$BV$205^A20,IF(A20='Données projet'!$A$114,'Données projet'!$B$114,BY19+BX20-CG19)))</f>
        <v>73.936437994095741</v>
      </c>
      <c r="BZ20" s="13">
        <f>BY20*VLOOKUP('Données projet'!$B$12,Paramètres!$A$1:$I$89,3,0)*VLOOKUP('Données projet'!$B$12,Paramètres!$A$1:$I$89,5,0)</f>
        <v>34.602252981236802</v>
      </c>
      <c r="CA20" s="13">
        <f t="shared" si="39"/>
        <v>10.556129086190376</v>
      </c>
      <c r="CB20" s="20">
        <f t="shared" si="10"/>
        <v>78.650848767435647</v>
      </c>
      <c r="CC20" s="59">
        <f t="shared" si="11"/>
        <v>371.98418210076898</v>
      </c>
      <c r="CD20" s="59">
        <f ca="1">AVERAGE(OFFSET($CC$3,0,0,'Données projet'!$E$12+1,1))-AVERAGE(OFFSET($H$3,0,0,'Données projet'!$E$12+1,1))</f>
        <v>226.0452828290525</v>
      </c>
      <c r="CE20" s="59">
        <f t="shared" si="40"/>
        <v>179.89696397462069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13.25</v>
      </c>
      <c r="CT20" s="12">
        <f>IF('Données projet'!$A$140&gt;35,CT19+CS20-DB19,IF(A20&lt;'Données projet'!$A$140,$CQ$205^A20,IF(A20='Données projet'!$A$140,'Données projet'!$B$140,CT19+CS20-DB19)))</f>
        <v>79.25</v>
      </c>
      <c r="CU20" s="17">
        <f>CT20*VLOOKUP('Données projet'!$B$13,Paramètres!$A$1:$I$89,3,0)*VLOOKUP('Données projet'!$B$13,Paramètres!$A$1:$I$89,5,0)</f>
        <v>47.391500000000001</v>
      </c>
      <c r="CV20" s="13">
        <f t="shared" si="41"/>
        <v>13.938016900926096</v>
      </c>
      <c r="CW20" s="20">
        <f t="shared" si="13"/>
        <v>106.81557526911295</v>
      </c>
      <c r="CX20" s="59">
        <f t="shared" si="14"/>
        <v>400.14890860244628</v>
      </c>
      <c r="CY20" s="59">
        <f ca="1">AVERAGE(OFFSET($CX$3,0,0,'Données projet'!$E$13+1,1))-AVERAGE(OFFSET($H$3,0,0,'Données projet'!$E$13+1,1))</f>
        <v>482.74318690313885</v>
      </c>
      <c r="CZ20" s="59">
        <f t="shared" si="42"/>
        <v>205.57161411620217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1.049935093224063</v>
      </c>
      <c r="DG20" s="21">
        <f>EXP(-LN(2)/25)*DG19+(1-EXP(-LN(2)/25))/(LN(2)/25)*Calculateur!DB20*Calculateur!DD20*VLOOKUP('Données projet'!$B$13,Paramètres!$A$1:$I$89,3,0)*0.475*44/12</f>
        <v>1.0375493220273748</v>
      </c>
      <c r="DH20" s="21">
        <f>EXP(-LN(2)/2)*DH19+(1-EXP(-LN(2)/2))/(LN(2)/2)*DB20*DE20*VLOOKUP('Données projet'!$B$13,Paramètres!$A$1:$I$89,3,0)*0.475*44/12</f>
        <v>4.3088783670424302</v>
      </c>
      <c r="DI20" s="22">
        <f t="shared" si="15"/>
        <v>6.3963627822938678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3.06</v>
      </c>
      <c r="DO20" s="12">
        <f>IF('Données projet'!$A$166&gt;35,DO19+DN20-DW19,IF(A20&lt;'Données projet'!$A$166,$DL$205^A20,IF(A20='Données projet'!$A$166,'Données projet'!$B$166,DO19+DN20-DW19)))</f>
        <v>52.02000000000001</v>
      </c>
      <c r="DP20" s="17">
        <f>DO20*VLOOKUP('Données projet'!$B$14,Paramètres!$A$1:$I$89,3,0)*VLOOKUP('Données projet'!$B$14,Paramètres!$A$1:$I$89,5,0)</f>
        <v>25.021620000000006</v>
      </c>
      <c r="DQ20" s="13">
        <f t="shared" si="43"/>
        <v>7.926903545294218</v>
      </c>
      <c r="DR20" s="20">
        <f t="shared" si="16"/>
        <v>57.385345174720761</v>
      </c>
      <c r="DS20" s="59">
        <f t="shared" si="17"/>
        <v>350.7186785080541</v>
      </c>
      <c r="DT20" s="59">
        <f ca="1">AVERAGE(OFFSET($DS$3,0,0,'Données projet'!$E$14+1,1))-AVERAGE(OFFSET($H$3,0,0,'Données projet'!$E$14+1,1))</f>
        <v>247.11965163963526</v>
      </c>
      <c r="DU20" s="59">
        <f t="shared" si="44"/>
        <v>61.686311966192704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2.8</v>
      </c>
      <c r="N21" s="13">
        <f>IF('Données projet'!$A$36&gt;35,N20+M21-V20,IF(A21&lt;'Données projet'!$A$36,$K$205^A21,IF(A21='Données projet'!$A$36,'Données projet'!$B$36,N20+M21-V20)))</f>
        <v>21.304462850702166</v>
      </c>
      <c r="O21" s="13">
        <f>N21*VLOOKUP('Données projet'!$B$9,Paramètres!$A$1:$I$89,3,0)*VLOOKUP('Données projet'!$B$9,Paramètres!$A$1:$I$89,5,0)</f>
        <v>19.276277987315318</v>
      </c>
      <c r="P21" s="13">
        <f t="shared" si="33"/>
        <v>6.2950407727205615</v>
      </c>
      <c r="Q21" s="20">
        <f t="shared" si="2"/>
        <v>44.536713507062494</v>
      </c>
      <c r="R21" s="59">
        <f t="shared" si="0"/>
        <v>337.87004684039579</v>
      </c>
      <c r="S21" s="59">
        <f ca="1">AVERAGE(OFFSET($R$3,0,0,'Données projet'!$E$9+1,1))-AVERAGE(OFFSET($H$3,0,0,'Données projet'!$E$9+1,1))</f>
        <v>265.50419397354284</v>
      </c>
      <c r="T21" s="59">
        <f t="shared" si="34"/>
        <v>156.67965022779907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2.8</v>
      </c>
      <c r="AI21" s="13">
        <f>IF('Données projet'!$A$62&gt;35,AI20+AH21-AQ20,IF(A21&lt;'Données projet'!$A$62,$AF$205^A21,IF(A21='Données projet'!$A$62,'Données projet'!$B$62,AI20+AH21-AQ20)))</f>
        <v>21.304462850702166</v>
      </c>
      <c r="AJ21" s="13">
        <f>AI21*VLOOKUP('Données projet'!$B$10,Paramètres!$A$1:$I$89,3,0)*VLOOKUP('Données projet'!$B$10,Paramètres!$A$1:$I$89,5,0)</f>
        <v>21.602725330612</v>
      </c>
      <c r="AK21" s="13">
        <f t="shared" si="35"/>
        <v>6.9618364133568926</v>
      </c>
      <c r="AL21" s="20">
        <f t="shared" si="4"/>
        <v>49.749945037412488</v>
      </c>
      <c r="AM21" s="59">
        <f t="shared" si="5"/>
        <v>343.0832783707458</v>
      </c>
      <c r="AN21" s="59">
        <f ca="1">AVERAGE(OFFSET($AM$3,0,0,'Données projet'!$E$10+1,1))-AVERAGE(OFFSET($H$3,0,0,'Données projet'!$E$10+1,1))</f>
        <v>296.43642006376018</v>
      </c>
      <c r="AO21" s="59">
        <f t="shared" si="36"/>
        <v>179.56041631665812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9.6</v>
      </c>
      <c r="BD21" s="12">
        <f>IF('Données projet'!$A$88&gt;35,BD20+BC21-BL20,IF(A21&lt;'Données projet'!$A$88,$BA$205^A21,IF(A21='Données projet'!$A$88,'Données projet'!$B$88,BD20+BC21-BL20)))</f>
        <v>65.8</v>
      </c>
      <c r="BE21" s="13">
        <f>BD21*VLOOKUP('Données projet'!$B$11,Paramètres!$A$1:$I$89,3,0)*VLOOKUP('Données projet'!$B$11,Paramètres!$A$1:$I$89,5,0)</f>
        <v>44.138639999999995</v>
      </c>
      <c r="BF21" s="13">
        <f t="shared" si="37"/>
        <v>13.089229634046784</v>
      </c>
      <c r="BG21" s="20">
        <f t="shared" si="7"/>
        <v>99.671872945964807</v>
      </c>
      <c r="BH21" s="59">
        <f t="shared" si="8"/>
        <v>393.00520627929814</v>
      </c>
      <c r="BI21" s="59">
        <f ca="1">AVERAGE(OFFSET($BH$3,0,0,'Données projet'!$E$11+1,1))-AVERAGE(OFFSET($H$3,0,0,'Données projet'!$E$11+1,1))</f>
        <v>181.32837315090507</v>
      </c>
      <c r="BJ21" s="59">
        <f t="shared" si="38"/>
        <v>175.03267817980338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0.22221056992603885</v>
      </c>
      <c r="BQ21" s="21">
        <f>EXP(-LN(2)/25)*BQ20+(1-EXP(-LN(2)/25))/(LN(2)/25)*Calculateur!BL21*Calculateur!BN21*VLOOKUP('Données projet'!$B$11,Paramètres!$A$1:$I$89,3,0)*0.475*44/12</f>
        <v>0.21613760096970633</v>
      </c>
      <c r="BR21" s="21">
        <f>EXP(-LN(2)/2)*BR20+(1-EXP(-LN(2)/2))/(LN(2)/2)*BL21*BO21*VLOOKUP('Données projet'!$B$11,Paramètres!$A$1:$I$89,3,0)*0.475*44/12</f>
        <v>0.40278645604961838</v>
      </c>
      <c r="BS21" s="22">
        <f t="shared" si="9"/>
        <v>0.84113462694536356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7.9</v>
      </c>
      <c r="BY21" s="12">
        <f>IF('Données projet'!$A$114&gt;35,BY20+BX21-CG20,IF(A21&lt;'Données projet'!$A$114,$BV$205^A21,IF(A21='Données projet'!$A$114,'Données projet'!$B$114,BY20+BX21-CG20)))</f>
        <v>95.233857990035276</v>
      </c>
      <c r="BZ21" s="13">
        <f>BY21*VLOOKUP('Données projet'!$B$12,Paramètres!$A$1:$I$89,3,0)*VLOOKUP('Données projet'!$B$12,Paramètres!$A$1:$I$89,5,0)</f>
        <v>44.569445539336513</v>
      </c>
      <c r="CA21" s="13">
        <f t="shared" si="39"/>
        <v>13.202049673437019</v>
      </c>
      <c r="CB21" s="20">
        <f t="shared" si="10"/>
        <v>100.61868749558056</v>
      </c>
      <c r="CC21" s="59">
        <f t="shared" si="11"/>
        <v>393.95202082891387</v>
      </c>
      <c r="CD21" s="59">
        <f ca="1">AVERAGE(OFFSET($CC$3,0,0,'Données projet'!$E$12+1,1))-AVERAGE(OFFSET($H$3,0,0,'Données projet'!$E$12+1,1))</f>
        <v>226.0452828290525</v>
      </c>
      <c r="CE21" s="59">
        <f t="shared" si="40"/>
        <v>179.89696397462069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13.25</v>
      </c>
      <c r="CT21" s="12">
        <f>IF('Données projet'!$A$140&gt;35,CT20+CS21-DB20,IF(A21&lt;'Données projet'!$A$140,$CQ$205^A21,IF(A21='Données projet'!$A$140,'Données projet'!$B$140,CT20+CS21-DB20)))</f>
        <v>92.5</v>
      </c>
      <c r="CU21" s="17">
        <f>CT21*VLOOKUP('Données projet'!$B$13,Paramètres!$A$1:$I$89,3,0)*VLOOKUP('Données projet'!$B$13,Paramètres!$A$1:$I$89,5,0)</f>
        <v>55.315000000000005</v>
      </c>
      <c r="CV21" s="13">
        <f t="shared" si="41"/>
        <v>15.978207841877614</v>
      </c>
      <c r="CW21" s="20">
        <f t="shared" si="13"/>
        <v>124.16900365793684</v>
      </c>
      <c r="CX21" s="59">
        <f t="shared" si="14"/>
        <v>417.50233699127017</v>
      </c>
      <c r="CY21" s="59">
        <f ca="1">AVERAGE(OFFSET($CX$3,0,0,'Données projet'!$E$13+1,1))-AVERAGE(OFFSET($H$3,0,0,'Données projet'!$E$13+1,1))</f>
        <v>482.74318690313885</v>
      </c>
      <c r="CZ21" s="59">
        <f t="shared" si="42"/>
        <v>205.57161411620217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1.029346506443112</v>
      </c>
      <c r="DG21" s="21">
        <f>EXP(-LN(2)/25)*DG20+(1-EXP(-LN(2)/25))/(LN(2)/25)*Calculateur!DB21*Calculateur!DD21*VLOOKUP('Données projet'!$B$13,Paramètres!$A$1:$I$89,3,0)*0.475*44/12</f>
        <v>1.0091774812541887</v>
      </c>
      <c r="DH21" s="21">
        <f>EXP(-LN(2)/2)*DH20+(1-EXP(-LN(2)/2))/(LN(2)/2)*DB21*DE21*VLOOKUP('Données projet'!$B$13,Paramètres!$A$1:$I$89,3,0)*0.475*44/12</f>
        <v>3.0468371126437201</v>
      </c>
      <c r="DI21" s="22">
        <f t="shared" si="15"/>
        <v>5.0853611003410206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3.06</v>
      </c>
      <c r="DO21" s="12">
        <f>IF('Données projet'!$A$166&gt;35,DO20+DN21-DW20,IF(A21&lt;'Données projet'!$A$166,$DL$205^A21,IF(A21='Données projet'!$A$166,'Données projet'!$B$166,DO20+DN21-DW20)))</f>
        <v>55.080000000000013</v>
      </c>
      <c r="DP21" s="17">
        <f>DO21*VLOOKUP('Données projet'!$B$14,Paramètres!$A$1:$I$89,3,0)*VLOOKUP('Données projet'!$B$14,Paramètres!$A$1:$I$89,5,0)</f>
        <v>26.493480000000005</v>
      </c>
      <c r="DQ21" s="13">
        <f t="shared" si="43"/>
        <v>8.3375354272649247</v>
      </c>
      <c r="DR21" s="20">
        <f t="shared" si="16"/>
        <v>60.664018535819743</v>
      </c>
      <c r="DS21" s="59">
        <f t="shared" si="17"/>
        <v>353.99735186915308</v>
      </c>
      <c r="DT21" s="59">
        <f ca="1">AVERAGE(OFFSET($DS$3,0,0,'Données projet'!$E$14+1,1))-AVERAGE(OFFSET($H$3,0,0,'Données projet'!$E$14+1,1))</f>
        <v>247.11965163963526</v>
      </c>
      <c r="DU21" s="59">
        <f t="shared" si="44"/>
        <v>61.686311966192704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2.8</v>
      </c>
      <c r="N22" s="13">
        <f>IF('Données projet'!$A$36&gt;35,N21+M22-V21,IF(A22&lt;'Données projet'!$A$36,$K$205^A22,IF(A22='Données projet'!$A$36,'Données projet'!$B$36,N21+M22-V21)))</f>
        <v>25.250763274498809</v>
      </c>
      <c r="O22" s="13">
        <f>N22*VLOOKUP('Données projet'!$B$9,Paramètres!$A$1:$I$89,3,0)*VLOOKUP('Données projet'!$B$9,Paramètres!$A$1:$I$89,5,0)</f>
        <v>22.846890610766522</v>
      </c>
      <c r="P22" s="13">
        <f t="shared" si="33"/>
        <v>7.3149555676481315</v>
      </c>
      <c r="Q22" s="20">
        <f t="shared" si="2"/>
        <v>52.531882094072188</v>
      </c>
      <c r="R22" s="59">
        <f t="shared" si="0"/>
        <v>345.86521542740547</v>
      </c>
      <c r="S22" s="59">
        <f ca="1">AVERAGE(OFFSET($R$3,0,0,'Données projet'!$E$9+1,1))-AVERAGE(OFFSET($H$3,0,0,'Données projet'!$E$9+1,1))</f>
        <v>265.50419397354284</v>
      </c>
      <c r="T22" s="59">
        <f t="shared" si="34"/>
        <v>156.67965022779907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2.8</v>
      </c>
      <c r="AI22" s="13">
        <f>IF('Données projet'!$A$62&gt;35,AI21+AH22-AQ21,IF(A22&lt;'Données projet'!$A$62,$AF$205^A22,IF(A22='Données projet'!$A$62,'Données projet'!$B$62,AI21+AH22-AQ21)))</f>
        <v>25.250763274498809</v>
      </c>
      <c r="AJ22" s="13">
        <f>AI22*VLOOKUP('Données projet'!$B$10,Paramètres!$A$1:$I$89,3,0)*VLOOKUP('Données projet'!$B$10,Paramètres!$A$1:$I$89,5,0)</f>
        <v>25.604273960341793</v>
      </c>
      <c r="AK22" s="13">
        <f t="shared" si="35"/>
        <v>8.0897846211934414</v>
      </c>
      <c r="AL22" s="20">
        <f t="shared" si="4"/>
        <v>58.683818696173859</v>
      </c>
      <c r="AM22" s="59">
        <f t="shared" si="5"/>
        <v>352.0171520295072</v>
      </c>
      <c r="AN22" s="59">
        <f ca="1">AVERAGE(OFFSET($AM$3,0,0,'Données projet'!$E$10+1,1))-AVERAGE(OFFSET($H$3,0,0,'Données projet'!$E$10+1,1))</f>
        <v>296.43642006376018</v>
      </c>
      <c r="AO22" s="59">
        <f t="shared" si="36"/>
        <v>179.56041631665812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9.6</v>
      </c>
      <c r="BD22" s="12">
        <f>IF('Données projet'!$A$88&gt;35,BD21+BC22-BL21,IF(A22&lt;'Données projet'!$A$88,$BA$205^A22,IF(A22='Données projet'!$A$88,'Données projet'!$B$88,BD21+BC22-BL21)))</f>
        <v>75.399999999999991</v>
      </c>
      <c r="BE22" s="13">
        <f>BD22*VLOOKUP('Données projet'!$B$11,Paramètres!$A$1:$I$89,3,0)*VLOOKUP('Données projet'!$B$11,Paramètres!$A$1:$I$89,5,0)</f>
        <v>50.578319999999998</v>
      </c>
      <c r="BF22" s="13">
        <f t="shared" si="37"/>
        <v>14.763013215913022</v>
      </c>
      <c r="BG22" s="20">
        <f t="shared" si="7"/>
        <v>113.80282201771517</v>
      </c>
      <c r="BH22" s="59">
        <f t="shared" si="8"/>
        <v>407.1361553510485</v>
      </c>
      <c r="BI22" s="59">
        <f ca="1">AVERAGE(OFFSET($BH$3,0,0,'Données projet'!$E$11+1,1))-AVERAGE(OFFSET($H$3,0,0,'Données projet'!$E$11+1,1))</f>
        <v>181.32837315090507</v>
      </c>
      <c r="BJ22" s="59">
        <f t="shared" si="38"/>
        <v>175.03267817980338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0.2178531561848539</v>
      </c>
      <c r="BQ22" s="21">
        <f>EXP(-LN(2)/25)*BQ21+(1-EXP(-LN(2)/25))/(LN(2)/25)*Calculateur!BL22*Calculateur!BN22*VLOOKUP('Données projet'!$B$11,Paramètres!$A$1:$I$89,3,0)*0.475*44/12</f>
        <v>0.21022730690500727</v>
      </c>
      <c r="BR22" s="21">
        <f>EXP(-LN(2)/2)*BR21+(1-EXP(-LN(2)/2))/(LN(2)/2)*BL22*BO22*VLOOKUP('Données projet'!$B$11,Paramètres!$A$1:$I$89,3,0)*0.475*44/12</f>
        <v>0.28481303444278244</v>
      </c>
      <c r="BS22" s="22">
        <f t="shared" si="9"/>
        <v>0.71289349753264353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7.9</v>
      </c>
      <c r="BY22" s="12">
        <f>IF('Données projet'!$A$114&gt;35,BY21+BX22-CG21,IF(A22&lt;'Données projet'!$A$114,$BV$205^A22,IF(A22='Données projet'!$A$114,'Données projet'!$B$114,BY21+BX22-CG21)))</f>
        <v>122.66600817840934</v>
      </c>
      <c r="BZ22" s="13">
        <f>BY22*VLOOKUP('Données projet'!$B$12,Paramètres!$A$1:$I$89,3,0)*VLOOKUP('Données projet'!$B$12,Paramètres!$A$1:$I$89,5,0)</f>
        <v>57.407691827495569</v>
      </c>
      <c r="CA22" s="13">
        <f t="shared" si="39"/>
        <v>16.511176981334152</v>
      </c>
      <c r="CB22" s="20">
        <f t="shared" si="10"/>
        <v>128.7420298420451</v>
      </c>
      <c r="CC22" s="59">
        <f t="shared" si="11"/>
        <v>422.07536317537841</v>
      </c>
      <c r="CD22" s="59">
        <f ca="1">AVERAGE(OFFSET($CC$3,0,0,'Données projet'!$E$12+1,1))-AVERAGE(OFFSET($H$3,0,0,'Données projet'!$E$12+1,1))</f>
        <v>226.0452828290525</v>
      </c>
      <c r="CE22" s="59">
        <f t="shared" si="40"/>
        <v>179.89696397462069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13.25</v>
      </c>
      <c r="CT22" s="12">
        <f>IF('Données projet'!$A$140&gt;35,CT21+CS22-DB21,IF(A22&lt;'Données projet'!$A$140,$CQ$205^A22,IF(A22='Données projet'!$A$140,'Données projet'!$B$140,CT21+CS22-DB21)))</f>
        <v>105.75</v>
      </c>
      <c r="CU22" s="17">
        <f>CT22*VLOOKUP('Données projet'!$B$13,Paramètres!$A$1:$I$89,3,0)*VLOOKUP('Données projet'!$B$13,Paramètres!$A$1:$I$89,5,0)</f>
        <v>63.238500000000009</v>
      </c>
      <c r="CV22" s="13">
        <f t="shared" si="41"/>
        <v>17.984541540394584</v>
      </c>
      <c r="CW22" s="20">
        <f t="shared" si="13"/>
        <v>141.46346401618726</v>
      </c>
      <c r="CX22" s="59">
        <f t="shared" si="14"/>
        <v>434.7967973495206</v>
      </c>
      <c r="CY22" s="59">
        <f ca="1">AVERAGE(OFFSET($CX$3,0,0,'Données projet'!$E$13+1,1))-AVERAGE(OFFSET($H$3,0,0,'Données projet'!$E$13+1,1))</f>
        <v>482.74318690313885</v>
      </c>
      <c r="CZ22" s="59">
        <f t="shared" si="42"/>
        <v>205.57161411620217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1.0091616492911375</v>
      </c>
      <c r="DG22" s="21">
        <f>EXP(-LN(2)/25)*DG21+(1-EXP(-LN(2)/25))/(LN(2)/25)*Calculateur!DB22*Calculateur!DD22*VLOOKUP('Données projet'!$B$13,Paramètres!$A$1:$I$89,3,0)*0.475*44/12</f>
        <v>0.98158146995895568</v>
      </c>
      <c r="DH22" s="21">
        <f>EXP(-LN(2)/2)*DH21+(1-EXP(-LN(2)/2))/(LN(2)/2)*DB22*DE22*VLOOKUP('Données projet'!$B$13,Paramètres!$A$1:$I$89,3,0)*0.475*44/12</f>
        <v>2.1544391835212156</v>
      </c>
      <c r="DI22" s="22">
        <f t="shared" si="15"/>
        <v>4.1451823027713086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3.06</v>
      </c>
      <c r="DO22" s="12">
        <f>IF('Données projet'!$A$166&gt;35,DO21+DN22-DW21,IF(A22&lt;'Données projet'!$A$166,$DL$205^A22,IF(A22='Données projet'!$A$166,'Données projet'!$B$166,DO21+DN22-DW21)))</f>
        <v>58.140000000000015</v>
      </c>
      <c r="DP22" s="17">
        <f>DO22*VLOOKUP('Données projet'!$B$14,Paramètres!$A$1:$I$89,3,0)*VLOOKUP('Données projet'!$B$14,Paramètres!$A$1:$I$89,5,0)</f>
        <v>27.965340000000008</v>
      </c>
      <c r="DQ22" s="13">
        <f t="shared" si="43"/>
        <v>8.7455190191163581</v>
      </c>
      <c r="DR22" s="20">
        <f t="shared" si="16"/>
        <v>63.938079458294339</v>
      </c>
      <c r="DS22" s="59">
        <f t="shared" si="17"/>
        <v>357.27141279162765</v>
      </c>
      <c r="DT22" s="59">
        <f ca="1">AVERAGE(OFFSET($DS$3,0,0,'Données projet'!$E$14+1,1))-AVERAGE(OFFSET($H$3,0,0,'Données projet'!$E$14+1,1))</f>
        <v>247.11965163963526</v>
      </c>
      <c r="DU22" s="59">
        <f t="shared" si="44"/>
        <v>61.686311966192704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2.8</v>
      </c>
      <c r="N23" s="13">
        <f>IF('Données projet'!$A$36&gt;35,N22+M23-V22,IF(A23&lt;'Données projet'!$A$36,$K$205^A23,IF(A23='Données projet'!$A$36,'Données projet'!$B$36,N22+M23-V22)))</f>
        <v>29.92805077569761</v>
      </c>
      <c r="O23" s="13">
        <f>N23*VLOOKUP('Données projet'!$B$9,Paramètres!$A$1:$I$89,3,0)*VLOOKUP('Données projet'!$B$9,Paramètres!$A$1:$I$89,5,0)</f>
        <v>27.078900341851195</v>
      </c>
      <c r="P23" s="13">
        <f t="shared" si="33"/>
        <v>8.5001157083119736</v>
      </c>
      <c r="Q23" s="20">
        <f t="shared" si="2"/>
        <v>61.966786287367512</v>
      </c>
      <c r="R23" s="59">
        <f t="shared" si="0"/>
        <v>355.3001196207008</v>
      </c>
      <c r="S23" s="59">
        <f ca="1">AVERAGE(OFFSET($R$3,0,0,'Données projet'!$E$9+1,1))-AVERAGE(OFFSET($H$3,0,0,'Données projet'!$E$9+1,1))</f>
        <v>265.50419397354284</v>
      </c>
      <c r="T23" s="59">
        <f t="shared" si="34"/>
        <v>156.67965022779907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2.8</v>
      </c>
      <c r="AI23" s="13">
        <f>IF('Données projet'!$A$62&gt;35,AI22+AH23-AQ22,IF(A23&lt;'Données projet'!$A$62,$AF$205^A23,IF(A23='Données projet'!$A$62,'Données projet'!$B$62,AI22+AH23-AQ22)))</f>
        <v>29.92805077569761</v>
      </c>
      <c r="AJ23" s="13">
        <f>AI23*VLOOKUP('Données projet'!$B$10,Paramètres!$A$1:$I$89,3,0)*VLOOKUP('Données projet'!$B$10,Paramètres!$A$1:$I$89,5,0)</f>
        <v>30.347043486557379</v>
      </c>
      <c r="AK23" s="13">
        <f t="shared" si="35"/>
        <v>9.4004816159909641</v>
      </c>
      <c r="AL23" s="20">
        <f t="shared" si="4"/>
        <v>69.226939553605035</v>
      </c>
      <c r="AM23" s="59">
        <f t="shared" si="5"/>
        <v>362.56027288693838</v>
      </c>
      <c r="AN23" s="59">
        <f ca="1">AVERAGE(OFFSET($AM$3,0,0,'Données projet'!$E$10+1,1))-AVERAGE(OFFSET($H$3,0,0,'Données projet'!$E$10+1,1))</f>
        <v>296.43642006376018</v>
      </c>
      <c r="AO23" s="59">
        <f t="shared" si="36"/>
        <v>179.56041631665812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85</v>
      </c>
      <c r="BB23" s="12">
        <f>VLOOKUP(A23,'Données projet'!$A$87:$I$107,9,0)</f>
        <v>9.6</v>
      </c>
      <c r="BC23" s="12">
        <f t="array" ref="BC23">INDEX(BB:BB,MIN(IF(ISNUMBER(BB23:BB219),ROW(BB23:BB219),"")))</f>
        <v>9.6</v>
      </c>
      <c r="BD23" s="12">
        <f>IF('Données projet'!$A$88&gt;35,BD22+BC23-BL22,IF(A23&lt;'Données projet'!$A$88,$BA$205^A23,IF(A23='Données projet'!$A$88,'Données projet'!$B$88,BD22+BC23-BL22)))</f>
        <v>84.999999999999986</v>
      </c>
      <c r="BE23" s="13">
        <f>BD23*VLOOKUP('Données projet'!$B$11,Paramètres!$A$1:$I$89,3,0)*VLOOKUP('Données projet'!$B$11,Paramètres!$A$1:$I$89,5,0)</f>
        <v>57.017999999999986</v>
      </c>
      <c r="BF23" s="13">
        <f t="shared" si="37"/>
        <v>16.412103612717626</v>
      </c>
      <c r="BG23" s="20">
        <f t="shared" si="7"/>
        <v>127.89076379214983</v>
      </c>
      <c r="BH23" s="59">
        <f t="shared" si="8"/>
        <v>421.22409712548313</v>
      </c>
      <c r="BI23" s="59">
        <f ca="1">AVERAGE(OFFSET($BH$3,0,0,'Données projet'!$E$11+1,1))-AVERAGE(OFFSET($H$3,0,0,'Données projet'!$E$11+1,1))</f>
        <v>181.32837315090507</v>
      </c>
      <c r="BJ23" s="59">
        <f t="shared" si="38"/>
        <v>175.03267817980338</v>
      </c>
      <c r="BK23" s="15">
        <f>IF(ISNA(VLOOKUP(A23,'Données projet'!$A$87:$I$107,3,0)),0,VLOOKUP(A23,'Données projet'!$A$87:$I$107,3,0))</f>
        <v>3</v>
      </c>
      <c r="BL23" s="15">
        <f>IF(ISNA(VLOOKUP(A23,'Données projet'!$A$87:$I$107,4,0)),0,VLOOKUP(A23,'Données projet'!$A$87:$I$107,4,0))</f>
        <v>25</v>
      </c>
      <c r="BM23" s="16">
        <f>IF(ISNA(VLOOKUP(A23,'Données projet'!$A$87:$I$107,5,0)),0%,VLOOKUP(A23,'Données projet'!$A$87:$I$107,5,0)*VLOOKUP('Données projet'!$B$11,Paramètres!$A$1:$I$89,7,0))</f>
        <v>0.159</v>
      </c>
      <c r="BN23" s="16">
        <f>IF(ISNA(VLOOKUP(A23,'Données projet'!$A$87:$I$107,6,0)),0%,VLOOKUP(A23,'Données projet'!$A$87:$I$107,6,0)*VLOOKUP('Données projet'!$B$11,Paramètres!$A$1:$I$89,7,0))</f>
        <v>0.21200000000000002</v>
      </c>
      <c r="BO23" s="16">
        <f>IF(ISNA(VLOOKUP(A23,'Données projet'!$A$87:$I$107,7,0)),0%,VLOOKUP(A23,'Données projet'!$A$87:$I$107,7,0))</f>
        <v>0.3</v>
      </c>
      <c r="BP23" s="21">
        <f>EXP(-LN(2)/35)*BP22+(1-EXP(-LN(2)/35))/(LN(2)/35)*BL23*BM23*VLOOKUP('Données projet'!$B$11,Paramètres!$A$1:$I$89,3,0)*0.475*44/12</f>
        <v>3.1612405727674178</v>
      </c>
      <c r="BQ23" s="21">
        <f>EXP(-LN(2)/25)*BQ22+(1-EXP(-LN(2)/25))/(LN(2)/25)*Calculateur!BL23*Calculateur!BN23*VLOOKUP('Données projet'!$B$11,Paramètres!$A$1:$I$89,3,0)*0.475*44/12</f>
        <v>4.1192163980844123</v>
      </c>
      <c r="BR23" s="21">
        <f>EXP(-LN(2)/2)*BR22+(1-EXP(-LN(2)/2))/(LN(2)/2)*BL23*BO23*VLOOKUP('Données projet'!$B$11,Paramètres!$A$1:$I$89,3,0)*0.475*44/12</f>
        <v>4.9482771354045161</v>
      </c>
      <c r="BS23" s="22">
        <f t="shared" si="9"/>
        <v>12.228734106256347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158</v>
      </c>
      <c r="BW23" s="12">
        <f>VLOOKUP(A23,'Données projet'!$A$113:$I$133,9,0)</f>
        <v>7.9</v>
      </c>
      <c r="BX23" s="12">
        <f t="array" ref="BX23">INDEX(BW:BW,MIN(IF(ISNUMBER(BW23:BW219),ROW(BW23:BW219),"")))</f>
        <v>7.9</v>
      </c>
      <c r="BY23" s="12">
        <f>IF('Données projet'!$A$114&gt;35,BY22+BX23-CG22,IF(A23&lt;'Données projet'!$A$114,$BV$205^A23,IF(A23='Données projet'!$A$114,'Données projet'!$B$114,BY22+BX23-CG22)))</f>
        <v>158</v>
      </c>
      <c r="BZ23" s="13">
        <f>BY23*VLOOKUP('Données projet'!$B$12,Paramètres!$A$1:$I$89,3,0)*VLOOKUP('Données projet'!$B$12,Paramètres!$A$1:$I$89,5,0)</f>
        <v>73.944000000000003</v>
      </c>
      <c r="CA23" s="13">
        <f t="shared" si="39"/>
        <v>20.649745460165708</v>
      </c>
      <c r="CB23" s="20">
        <f t="shared" si="10"/>
        <v>164.75077334312192</v>
      </c>
      <c r="CC23" s="59">
        <f t="shared" si="11"/>
        <v>458.08410667645524</v>
      </c>
      <c r="CD23" s="59">
        <f ca="1">AVERAGE(OFFSET($CC$3,0,0,'Données projet'!$E$12+1,1))-AVERAGE(OFFSET($H$3,0,0,'Données projet'!$E$12+1,1))</f>
        <v>226.0452828290525</v>
      </c>
      <c r="CE23" s="59">
        <f t="shared" si="40"/>
        <v>179.89696397462069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39.5</v>
      </c>
      <c r="CH23" s="16">
        <f>IF(ISNA(VLOOKUP(A23,'Données projet'!$A$113:$I$133,5,0)),0%,VLOOKUP(A23,'Données projet'!$A$113:$I$133,5,0)*VLOOKUP('Données projet'!$B$12,Paramètres!$A$1:$I$89,7,0))</f>
        <v>0.11000000000000001</v>
      </c>
      <c r="CI23" s="16">
        <f>IF(ISNA(VLOOKUP(A23,'Données projet'!$A$113:$I$133,6,0)),0%,VLOOKUP(A23,'Données projet'!$A$113:$I$133,6,0)*VLOOKUP('Données projet'!$B$12,Paramètres!$A$1:$I$89,7,0))</f>
        <v>0.11000000000000001</v>
      </c>
      <c r="CJ23" s="16">
        <f>IF(ISNA(VLOOKUP(A23,'Données projet'!$A$113:$I$133,7,0)),0%,VLOOKUP(A23,'Données projet'!$A$113:$I$133,7,0))</f>
        <v>0.6</v>
      </c>
      <c r="CK23" s="21">
        <f>EXP(-LN(2)/35)*CK22+(1-EXP(-LN(2)/35))/(LN(2)/35)*CG23*CH23*VLOOKUP('Données projet'!$B$12,Paramètres!$A$1:$I$89,3,0)*0.475*44/12</f>
        <v>2.6975157575580879</v>
      </c>
      <c r="CL23" s="21">
        <f>EXP(-LN(2)/25)*CL22+(1-EXP(-LN(2)/25))/(LN(2)/25)*Calculateur!CG23*Calculateur!CI23*VLOOKUP('Données projet'!$B$12,Paramètres!$A$1:$I$89,3,0)*0.475*44/12</f>
        <v>2.686894610186497</v>
      </c>
      <c r="CM23" s="21">
        <f>EXP(-LN(2)/2)*CM22+(1-EXP(-LN(2)/2))/(LN(2)/2)*CG23*CJ23*VLOOKUP('Données projet'!$B$12,Paramètres!$A$1:$I$89,3,0)*0.475*44/12</f>
        <v>12.558267751244545</v>
      </c>
      <c r="CN23" s="22">
        <f t="shared" si="12"/>
        <v>17.942678118989129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119</v>
      </c>
      <c r="CR23" s="12">
        <f>VLOOKUP(A23,'Données projet'!$A$139:$I$159,9,0)</f>
        <v>13.25</v>
      </c>
      <c r="CS23" s="12">
        <f t="array" ref="CS23">INDEX(CR:CR,MIN(IF(ISNUMBER(CR23:CR219),ROW(CR23:CR219),"")))</f>
        <v>13.25</v>
      </c>
      <c r="CT23" s="12">
        <f>IF('Données projet'!$A$140&gt;35,CT22+CS23-DB22,IF(A23&lt;'Données projet'!$A$140,$CQ$205^A23,IF(A23='Données projet'!$A$140,'Données projet'!$B$140,CT22+CS23-DB22)))</f>
        <v>119</v>
      </c>
      <c r="CU23" s="17">
        <f>CT23*VLOOKUP('Données projet'!$B$13,Paramètres!$A$1:$I$89,3,0)*VLOOKUP('Données projet'!$B$13,Paramètres!$A$1:$I$89,5,0)</f>
        <v>71.162000000000006</v>
      </c>
      <c r="CV23" s="13">
        <f t="shared" si="41"/>
        <v>19.961746043676346</v>
      </c>
      <c r="CW23" s="20">
        <f t="shared" si="13"/>
        <v>158.70719102606964</v>
      </c>
      <c r="CX23" s="59">
        <f t="shared" si="14"/>
        <v>452.04052435940298</v>
      </c>
      <c r="CY23" s="59">
        <f ca="1">AVERAGE(OFFSET($CX$3,0,0,'Données projet'!$E$13+1,1))-AVERAGE(OFFSET($H$3,0,0,'Données projet'!$E$13+1,1))</f>
        <v>482.74318690313885</v>
      </c>
      <c r="CZ23" s="59">
        <f t="shared" si="42"/>
        <v>205.57161411620217</v>
      </c>
      <c r="DA23" s="15">
        <f>IF(ISNA(VLOOKUP(A23,'Données projet'!$A$139:$I$159,3,0)),0,VLOOKUP(A23,'Données projet'!$A$139:$I$159,3,0))</f>
        <v>3</v>
      </c>
      <c r="DB23" s="15">
        <f>IF(ISNA(VLOOKUP(A23,'Données projet'!$A$139:$I$159,4,0)),0,VLOOKUP(A23,'Données projet'!$A$139:$I$159,4,0))</f>
        <v>22</v>
      </c>
      <c r="DC23" s="16">
        <f>IF(ISNA(VLOOKUP(A23,'Données projet'!$A$139:$I$159,5,0)),0%,VLOOKUP(A23,'Données projet'!$A$139:$I$159,5,0)*VLOOKUP('Données projet'!$B$13,Paramètres!$A$1:$I$89,7,0))</f>
        <v>0.13500000000000001</v>
      </c>
      <c r="DD23" s="16">
        <f>IF(ISNA(VLOOKUP(A23,'Données projet'!$A$139:$I$159,6,0)),0%,VLOOKUP(A23,'Données projet'!$A$139:$I$159,6,0)*VLOOKUP('Données projet'!$B$13,Paramètres!$A$1:$I$89,7,0))</f>
        <v>0.18000000000000002</v>
      </c>
      <c r="DE23" s="16">
        <f>IF(ISNA(VLOOKUP(A23,'Données projet'!$A$139:$I$159,7,0)),0%,VLOOKUP(A23,'Données projet'!$A$139:$I$159,7,0))</f>
        <v>0.3</v>
      </c>
      <c r="DF23" s="21">
        <f>EXP(-LN(2)/35)*DF22+(1-EXP(-LN(2)/35))/(LN(2)/35)*DB23*DC23*VLOOKUP('Données projet'!$B$13,Paramètres!$A$1:$I$89,3,0)*0.475*44/12</f>
        <v>3.3454306716043156</v>
      </c>
      <c r="DG23" s="21">
        <f>EXP(-LN(2)/25)*DG22+(1-EXP(-LN(2)/25))/(LN(2)/25)*Calculateur!DB23*Calculateur!DD23*VLOOKUP('Données projet'!$B$13,Paramètres!$A$1:$I$89,3,0)*0.475*44/12</f>
        <v>4.0837818975647862</v>
      </c>
      <c r="DH23" s="21">
        <f>EXP(-LN(2)/2)*DH22+(1-EXP(-LN(2)/2))/(LN(2)/2)*DB23*DE23*VLOOKUP('Données projet'!$B$13,Paramètres!$A$1:$I$89,3,0)*0.475*44/12</f>
        <v>5.9921129881993149</v>
      </c>
      <c r="DI23" s="22">
        <f t="shared" si="15"/>
        <v>13.421325557368416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3.06</v>
      </c>
      <c r="DO23" s="12">
        <f>IF('Données projet'!$A$166&gt;35,DO22+DN23-DW22,IF(A23&lt;'Données projet'!$A$166,$DL$205^A23,IF(A23='Données projet'!$A$166,'Données projet'!$B$166,DO22+DN23-DW22)))</f>
        <v>61.200000000000017</v>
      </c>
      <c r="DP23" s="17">
        <f>DO23*VLOOKUP('Données projet'!$B$14,Paramètres!$A$1:$I$89,3,0)*VLOOKUP('Données projet'!$B$14,Paramètres!$A$1:$I$89,5,0)</f>
        <v>29.437200000000008</v>
      </c>
      <c r="DQ23" s="13">
        <f t="shared" si="43"/>
        <v>9.1510096001539249</v>
      </c>
      <c r="DR23" s="20">
        <f t="shared" si="16"/>
        <v>67.207798386934755</v>
      </c>
      <c r="DS23" s="59">
        <f t="shared" si="17"/>
        <v>360.54113172026808</v>
      </c>
      <c r="DT23" s="59">
        <f ca="1">AVERAGE(OFFSET($DS$3,0,0,'Données projet'!$E$14+1,1))-AVERAGE(OFFSET($H$3,0,0,'Données projet'!$E$14+1,1))</f>
        <v>247.11965163963526</v>
      </c>
      <c r="DU23" s="59">
        <f t="shared" si="44"/>
        <v>61.686311966192704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2.8</v>
      </c>
      <c r="N24" s="13">
        <f>IF('Données projet'!$A$36&gt;35,N23+M24-V23,IF(A24&lt;'Données projet'!$A$36,$K$205^A24,IF(A24='Données projet'!$A$36,'Données projet'!$B$36,N23+M24-V23)))</f>
        <v>35.471728656111772</v>
      </c>
      <c r="O24" s="13">
        <f>N24*VLOOKUP('Données projet'!$B$9,Paramètres!$A$1:$I$89,3,0)*VLOOKUP('Données projet'!$B$9,Paramètres!$A$1:$I$89,5,0)</f>
        <v>32.094820088049929</v>
      </c>
      <c r="P24" s="13">
        <f t="shared" si="33"/>
        <v>9.8772940432120837</v>
      </c>
      <c r="Q24" s="20">
        <f t="shared" si="2"/>
        <v>73.101432111948</v>
      </c>
      <c r="R24" s="59">
        <f t="shared" si="0"/>
        <v>366.4347654452813</v>
      </c>
      <c r="S24" s="59">
        <f ca="1">AVERAGE(OFFSET($R$3,0,0,'Données projet'!$E$9+1,1))-AVERAGE(OFFSET($H$3,0,0,'Données projet'!$E$9+1,1))</f>
        <v>265.50419397354284</v>
      </c>
      <c r="T24" s="59">
        <f t="shared" si="34"/>
        <v>156.67965022779907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2.8</v>
      </c>
      <c r="AI24" s="13">
        <f>IF('Données projet'!$A$62&gt;35,AI23+AH24-AQ23,IF(A24&lt;'Données projet'!$A$62,$AF$205^A24,IF(A24='Données projet'!$A$62,'Données projet'!$B$62,AI23+AH24-AQ23)))</f>
        <v>35.471728656111772</v>
      </c>
      <c r="AJ24" s="13">
        <f>AI24*VLOOKUP('Données projet'!$B$10,Paramètres!$A$1:$I$89,3,0)*VLOOKUP('Données projet'!$B$10,Paramètres!$A$1:$I$89,5,0)</f>
        <v>35.968332857297341</v>
      </c>
      <c r="AK24" s="13">
        <f t="shared" si="35"/>
        <v>10.923536132355956</v>
      </c>
      <c r="AL24" s="20">
        <f t="shared" si="4"/>
        <v>81.670005156979485</v>
      </c>
      <c r="AM24" s="59">
        <f t="shared" si="5"/>
        <v>375.00333849031279</v>
      </c>
      <c r="AN24" s="59">
        <f ca="1">AVERAGE(OFFSET($AM$3,0,0,'Données projet'!$E$10+1,1))-AVERAGE(OFFSET($H$3,0,0,'Données projet'!$E$10+1,1))</f>
        <v>296.43642006376018</v>
      </c>
      <c r="AO24" s="59">
        <f t="shared" si="36"/>
        <v>179.56041631665812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10.6</v>
      </c>
      <c r="BD24" s="12">
        <f>IF('Données projet'!$A$88&gt;35,BD23+BC24-BL23,IF(A24&lt;'Données projet'!$A$88,$BA$205^A24,IF(A24='Données projet'!$A$88,'Données projet'!$B$88,BD23+BC24-BL23)))</f>
        <v>70.59999999999998</v>
      </c>
      <c r="BE24" s="13">
        <f>BD24*VLOOKUP('Données projet'!$B$11,Paramètres!$A$1:$I$89,3,0)*VLOOKUP('Données projet'!$B$11,Paramètres!$A$1:$I$89,5,0)</f>
        <v>47.358479999999986</v>
      </c>
      <c r="BF24" s="13">
        <f t="shared" si="37"/>
        <v>13.929435643641453</v>
      </c>
      <c r="BG24" s="20">
        <f t="shared" si="7"/>
        <v>106.74311974600884</v>
      </c>
      <c r="BH24" s="59">
        <f t="shared" si="8"/>
        <v>400.07645307934217</v>
      </c>
      <c r="BI24" s="59">
        <f ca="1">AVERAGE(OFFSET($BH$3,0,0,'Données projet'!$E$11+1,1))-AVERAGE(OFFSET($H$3,0,0,'Données projet'!$E$11+1,1))</f>
        <v>181.32837315090507</v>
      </c>
      <c r="BJ24" s="59">
        <f t="shared" si="38"/>
        <v>175.03267817980338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3.0992505733018074</v>
      </c>
      <c r="BQ24" s="21">
        <f>EXP(-LN(2)/25)*BQ23+(1-EXP(-LN(2)/25))/(LN(2)/25)*Calculateur!BL24*Calculateur!BN24*VLOOKUP('Données projet'!$B$11,Paramètres!$A$1:$I$89,3,0)*0.475*44/12</f>
        <v>4.0065762090586183</v>
      </c>
      <c r="BR24" s="21">
        <f>EXP(-LN(2)/2)*BR23+(1-EXP(-LN(2)/2))/(LN(2)/2)*BL24*BO24*VLOOKUP('Données projet'!$B$11,Paramètres!$A$1:$I$89,3,0)*0.475*44/12</f>
        <v>3.4989603176348778</v>
      </c>
      <c r="BS24" s="22">
        <f t="shared" si="9"/>
        <v>10.604787099995303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9.1999999999999993</v>
      </c>
      <c r="BY24" s="12">
        <f>IF('Données projet'!$A$114&gt;35,BY23+BX24-CG23,IF(A24&lt;'Données projet'!$A$114,$BV$205^A24,IF(A24='Données projet'!$A$114,'Données projet'!$B$114,BY23+BX24-CG23)))</f>
        <v>127.69999999999999</v>
      </c>
      <c r="BZ24" s="13">
        <f>BY24*VLOOKUP('Données projet'!$B$12,Paramètres!$A$1:$I$89,3,0)*VLOOKUP('Données projet'!$B$12,Paramètres!$A$1:$I$89,5,0)</f>
        <v>59.763599999999997</v>
      </c>
      <c r="CA24" s="13">
        <f t="shared" si="39"/>
        <v>17.108485949725164</v>
      </c>
      <c r="CB24" s="20">
        <f t="shared" si="10"/>
        <v>133.88554969577129</v>
      </c>
      <c r="CC24" s="59">
        <f t="shared" si="11"/>
        <v>427.21888302910463</v>
      </c>
      <c r="CD24" s="59">
        <f ca="1">AVERAGE(OFFSET($CC$3,0,0,'Données projet'!$E$12+1,1))-AVERAGE(OFFSET($H$3,0,0,'Données projet'!$E$12+1,1))</f>
        <v>226.0452828290525</v>
      </c>
      <c r="CE24" s="59">
        <f t="shared" si="40"/>
        <v>179.89696397462069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2.6446191188745241</v>
      </c>
      <c r="CL24" s="21">
        <f>EXP(-LN(2)/25)*CL23+(1-EXP(-LN(2)/25))/(LN(2)/25)*Calculateur!CG24*Calculateur!CI24*VLOOKUP('Données projet'!$B$12,Paramètres!$A$1:$I$89,3,0)*0.475*44/12</f>
        <v>2.6134213357733005</v>
      </c>
      <c r="CM24" s="21">
        <f>EXP(-LN(2)/2)*CM23+(1-EXP(-LN(2)/2))/(LN(2)/2)*CG24*CJ24*VLOOKUP('Données projet'!$B$12,Paramètres!$A$1:$I$89,3,0)*0.475*44/12</f>
        <v>8.8800362868613529</v>
      </c>
      <c r="CN24" s="22">
        <f t="shared" si="12"/>
        <v>14.138076741509177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15</v>
      </c>
      <c r="CT24" s="12">
        <f>IF('Données projet'!$A$140&gt;35,CT23+CS24-DB23,IF(A24&lt;'Données projet'!$A$140,$CQ$205^A24,IF(A24='Données projet'!$A$140,'Données projet'!$B$140,CT23+CS24-DB23)))</f>
        <v>112</v>
      </c>
      <c r="CU24" s="17">
        <f>CT24*VLOOKUP('Données projet'!$B$13,Paramètres!$A$1:$I$89,3,0)*VLOOKUP('Données projet'!$B$13,Paramètres!$A$1:$I$89,5,0)</f>
        <v>66.976000000000013</v>
      </c>
      <c r="CV24" s="13">
        <f t="shared" si="41"/>
        <v>18.920572617446965</v>
      </c>
      <c r="CW24" s="20">
        <f t="shared" si="13"/>
        <v>149.60319730872013</v>
      </c>
      <c r="CX24" s="59">
        <f t="shared" si="14"/>
        <v>442.93653064205341</v>
      </c>
      <c r="CY24" s="59">
        <f ca="1">AVERAGE(OFFSET($CX$3,0,0,'Données projet'!$E$13+1,1))-AVERAGE(OFFSET($H$3,0,0,'Données projet'!$E$13+1,1))</f>
        <v>482.74318690313885</v>
      </c>
      <c r="CZ24" s="59">
        <f t="shared" si="42"/>
        <v>205.57161411620217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3.2798288166453808</v>
      </c>
      <c r="DG24" s="21">
        <f>EXP(-LN(2)/25)*DG23+(1-EXP(-LN(2)/25))/(LN(2)/25)*Calculateur!DB24*Calculateur!DD24*VLOOKUP('Données projet'!$B$13,Paramètres!$A$1:$I$89,3,0)*0.475*44/12</f>
        <v>3.9721106668191206</v>
      </c>
      <c r="DH24" s="21">
        <f>EXP(-LN(2)/2)*DH23+(1-EXP(-LN(2)/2))/(LN(2)/2)*DB24*DE24*VLOOKUP('Données projet'!$B$13,Paramètres!$A$1:$I$89,3,0)*0.475*44/12</f>
        <v>4.2370637275917229</v>
      </c>
      <c r="DI24" s="22">
        <f t="shared" si="15"/>
        <v>11.489003211056225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3.06</v>
      </c>
      <c r="DO24" s="12">
        <f>IF('Données projet'!$A$166&gt;35,DO23+DN24-DW23,IF(A24&lt;'Données projet'!$A$166,$DL$205^A24,IF(A24='Données projet'!$A$166,'Données projet'!$B$166,DO23+DN24-DW23)))</f>
        <v>64.260000000000019</v>
      </c>
      <c r="DP24" s="17">
        <f>DO24*VLOOKUP('Données projet'!$B$14,Paramètres!$A$1:$I$89,3,0)*VLOOKUP('Données projet'!$B$14,Paramètres!$A$1:$I$89,5,0)</f>
        <v>30.909060000000011</v>
      </c>
      <c r="DQ24" s="13">
        <f t="shared" si="43"/>
        <v>9.5541460445875401</v>
      </c>
      <c r="DR24" s="20">
        <f t="shared" si="16"/>
        <v>70.473417194323318</v>
      </c>
      <c r="DS24" s="59">
        <f t="shared" si="17"/>
        <v>363.80675052765662</v>
      </c>
      <c r="DT24" s="59">
        <f ca="1">AVERAGE(OFFSET($DS$3,0,0,'Données projet'!$E$14+1,1))-AVERAGE(OFFSET($H$3,0,0,'Données projet'!$E$14+1,1))</f>
        <v>247.11965163963526</v>
      </c>
      <c r="DU24" s="59">
        <f t="shared" si="44"/>
        <v>61.686311966192704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2.8</v>
      </c>
      <c r="N25" s="13">
        <f>IF('Données projet'!$A$36&gt;35,N24+M25-V24,IF(A25&lt;'Données projet'!$A$36,$K$205^A25,IF(A25='Données projet'!$A$36,'Données projet'!$B$36,N24+M25-V24)))</f>
        <v>42.042281446359659</v>
      </c>
      <c r="O25" s="13">
        <f>N25*VLOOKUP('Données projet'!$B$9,Paramètres!$A$1:$I$89,3,0)*VLOOKUP('Données projet'!$B$9,Paramètres!$A$1:$I$89,5,0)</f>
        <v>38.039856252666219</v>
      </c>
      <c r="P25" s="13">
        <f t="shared" si="33"/>
        <v>11.477601124967212</v>
      </c>
      <c r="Q25" s="20">
        <f t="shared" si="2"/>
        <v>86.242904932711554</v>
      </c>
      <c r="R25" s="59">
        <f t="shared" si="0"/>
        <v>379.57623826604487</v>
      </c>
      <c r="S25" s="59">
        <f ca="1">AVERAGE(OFFSET($R$3,0,0,'Données projet'!$E$9+1,1))-AVERAGE(OFFSET($H$3,0,0,'Données projet'!$E$9+1,1))</f>
        <v>265.50419397354284</v>
      </c>
      <c r="T25" s="59">
        <f t="shared" si="34"/>
        <v>156.67965022779907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2.8</v>
      </c>
      <c r="AI25" s="13">
        <f>IF('Données projet'!$A$62&gt;35,AI24+AH25-AQ24,IF(A25&lt;'Données projet'!$A$62,$AF$205^A25,IF(A25='Données projet'!$A$62,'Données projet'!$B$62,AI24+AH25-AQ24)))</f>
        <v>42.042281446359659</v>
      </c>
      <c r="AJ25" s="13">
        <f>AI25*VLOOKUP('Données projet'!$B$10,Paramètres!$A$1:$I$89,3,0)*VLOOKUP('Données projet'!$B$10,Paramètres!$A$1:$I$89,5,0)</f>
        <v>42.630873386608698</v>
      </c>
      <c r="AK25" s="13">
        <f t="shared" si="35"/>
        <v>12.693354075806836</v>
      </c>
      <c r="AL25" s="20">
        <f t="shared" si="4"/>
        <v>96.356362830373712</v>
      </c>
      <c r="AM25" s="59">
        <f t="shared" si="5"/>
        <v>389.68969616370703</v>
      </c>
      <c r="AN25" s="59">
        <f ca="1">AVERAGE(OFFSET($AM$3,0,0,'Données projet'!$E$10+1,1))-AVERAGE(OFFSET($H$3,0,0,'Données projet'!$E$10+1,1))</f>
        <v>296.43642006376018</v>
      </c>
      <c r="AO25" s="59">
        <f t="shared" si="36"/>
        <v>179.56041631665812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10.6</v>
      </c>
      <c r="BD25" s="12">
        <f>IF('Données projet'!$A$88&gt;35,BD24+BC25-BL24,IF(A25&lt;'Données projet'!$A$88,$BA$205^A25,IF(A25='Données projet'!$A$88,'Données projet'!$B$88,BD24+BC25-BL24)))</f>
        <v>81.199999999999974</v>
      </c>
      <c r="BE25" s="13">
        <f>BD25*VLOOKUP('Données projet'!$B$11,Paramètres!$A$1:$I$89,3,0)*VLOOKUP('Données projet'!$B$11,Paramètres!$A$1:$I$89,5,0)</f>
        <v>54.468959999999988</v>
      </c>
      <c r="BF25" s="13">
        <f t="shared" si="37"/>
        <v>15.762075185238176</v>
      </c>
      <c r="BG25" s="20">
        <f t="shared" si="7"/>
        <v>122.31905294762315</v>
      </c>
      <c r="BH25" s="59">
        <f t="shared" si="8"/>
        <v>415.65238628095648</v>
      </c>
      <c r="BI25" s="59">
        <f ca="1">AVERAGE(OFFSET($BH$3,0,0,'Données projet'!$E$11+1,1))-AVERAGE(OFFSET($H$3,0,0,'Données projet'!$E$11+1,1))</f>
        <v>181.32837315090507</v>
      </c>
      <c r="BJ25" s="59">
        <f t="shared" si="38"/>
        <v>175.03267817980338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3.0384761599155516</v>
      </c>
      <c r="BQ25" s="21">
        <f>EXP(-LN(2)/25)*BQ24+(1-EXP(-LN(2)/25))/(LN(2)/25)*Calculateur!BL25*Calculateur!BN25*VLOOKUP('Données projet'!$B$11,Paramètres!$A$1:$I$89,3,0)*0.475*44/12</f>
        <v>3.8970161719252245</v>
      </c>
      <c r="BR25" s="21">
        <f>EXP(-LN(2)/2)*BR24+(1-EXP(-LN(2)/2))/(LN(2)/2)*BL25*BO25*VLOOKUP('Données projet'!$B$11,Paramètres!$A$1:$I$89,3,0)*0.475*44/12</f>
        <v>2.4741385677022585</v>
      </c>
      <c r="BS25" s="22">
        <f t="shared" si="9"/>
        <v>9.4096308995430356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9.1999999999999993</v>
      </c>
      <c r="BY25" s="12">
        <f>IF('Données projet'!$A$114&gt;35,BY24+BX25-CG24,IF(A25&lt;'Données projet'!$A$114,$BV$205^A25,IF(A25='Données projet'!$A$114,'Données projet'!$B$114,BY24+BX25-CG24)))</f>
        <v>136.89999999999998</v>
      </c>
      <c r="BZ25" s="13">
        <f>BY25*VLOOKUP('Données projet'!$B$12,Paramètres!$A$1:$I$89,3,0)*VLOOKUP('Données projet'!$B$12,Paramètres!$A$1:$I$89,5,0)</f>
        <v>64.069199999999995</v>
      </c>
      <c r="CA25" s="13">
        <f t="shared" si="39"/>
        <v>18.193128517714101</v>
      </c>
      <c r="CB25" s="20">
        <f t="shared" si="10"/>
        <v>143.27355550168537</v>
      </c>
      <c r="CC25" s="59">
        <f t="shared" si="11"/>
        <v>436.60688883501871</v>
      </c>
      <c r="CD25" s="59">
        <f ca="1">AVERAGE(OFFSET($CC$3,0,0,'Données projet'!$E$12+1,1))-AVERAGE(OFFSET($H$3,0,0,'Données projet'!$E$12+1,1))</f>
        <v>226.0452828290525</v>
      </c>
      <c r="CE25" s="59">
        <f t="shared" si="40"/>
        <v>179.89696397462069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2.5927597510117808</v>
      </c>
      <c r="CL25" s="21">
        <f>EXP(-LN(2)/25)*CL24+(1-EXP(-LN(2)/25))/(LN(2)/25)*Calculateur!CG25*Calculateur!CI25*VLOOKUP('Données projet'!$B$12,Paramètres!$A$1:$I$89,3,0)*0.475*44/12</f>
        <v>2.5419571919127244</v>
      </c>
      <c r="CM25" s="21">
        <f>EXP(-LN(2)/2)*CM24+(1-EXP(-LN(2)/2))/(LN(2)/2)*CG25*CJ25*VLOOKUP('Données projet'!$B$12,Paramètres!$A$1:$I$89,3,0)*0.475*44/12</f>
        <v>6.2791338756222732</v>
      </c>
      <c r="CN25" s="22">
        <f t="shared" si="12"/>
        <v>11.413850818546779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15</v>
      </c>
      <c r="CT25" s="12">
        <f>IF('Données projet'!$A$140&gt;35,CT24+CS25-DB24,IF(A25&lt;'Données projet'!$A$140,$CQ$205^A25,IF(A25='Données projet'!$A$140,'Données projet'!$B$140,CT24+CS25-DB24)))</f>
        <v>127</v>
      </c>
      <c r="CU25" s="17">
        <f>CT25*VLOOKUP('Données projet'!$B$13,Paramètres!$A$1:$I$89,3,0)*VLOOKUP('Données projet'!$B$13,Paramètres!$A$1:$I$89,5,0)</f>
        <v>75.945999999999998</v>
      </c>
      <c r="CV25" s="13">
        <f t="shared" si="41"/>
        <v>21.142979995226831</v>
      </c>
      <c r="CW25" s="20">
        <f t="shared" si="13"/>
        <v>169.09664015835338</v>
      </c>
      <c r="CX25" s="59">
        <f t="shared" si="14"/>
        <v>462.42997349168672</v>
      </c>
      <c r="CY25" s="59">
        <f ca="1">AVERAGE(OFFSET($CX$3,0,0,'Données projet'!$E$13+1,1))-AVERAGE(OFFSET($H$3,0,0,'Données projet'!$E$13+1,1))</f>
        <v>482.74318690313885</v>
      </c>
      <c r="CZ25" s="59">
        <f t="shared" si="42"/>
        <v>205.57161411620217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3.2155133740490105</v>
      </c>
      <c r="DG25" s="21">
        <f>EXP(-LN(2)/25)*DG24+(1-EXP(-LN(2)/25))/(LN(2)/25)*Calculateur!DB25*Calculateur!DD25*VLOOKUP('Données projet'!$B$13,Paramètres!$A$1:$I$89,3,0)*0.475*44/12</f>
        <v>3.8634930917507302</v>
      </c>
      <c r="DH25" s="21">
        <f>EXP(-LN(2)/2)*DH24+(1-EXP(-LN(2)/2))/(LN(2)/2)*DB25*DE25*VLOOKUP('Données projet'!$B$13,Paramètres!$A$1:$I$89,3,0)*0.475*44/12</f>
        <v>2.9960564940996579</v>
      </c>
      <c r="DI25" s="22">
        <f t="shared" si="15"/>
        <v>10.075062959899398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3.06</v>
      </c>
      <c r="DO25" s="12">
        <f>IF('Données projet'!$A$166&gt;35,DO24+DN25-DW24,IF(A25&lt;'Données projet'!$A$166,$DL$205^A25,IF(A25='Données projet'!$A$166,'Données projet'!$B$166,DO24+DN25-DW24)))</f>
        <v>67.320000000000022</v>
      </c>
      <c r="DP25" s="17">
        <f>DO25*VLOOKUP('Données projet'!$B$14,Paramètres!$A$1:$I$89,3,0)*VLOOKUP('Données projet'!$B$14,Paramètres!$A$1:$I$89,5,0)</f>
        <v>32.38092000000001</v>
      </c>
      <c r="DQ25" s="13">
        <f t="shared" si="43"/>
        <v>9.9550532531618892</v>
      </c>
      <c r="DR25" s="20">
        <f t="shared" si="16"/>
        <v>73.735153415923619</v>
      </c>
      <c r="DS25" s="59">
        <f t="shared" si="17"/>
        <v>367.06848674925692</v>
      </c>
      <c r="DT25" s="59">
        <f ca="1">AVERAGE(OFFSET($DS$3,0,0,'Données projet'!$E$14+1,1))-AVERAGE(OFFSET($H$3,0,0,'Données projet'!$E$14+1,1))</f>
        <v>247.11965163963526</v>
      </c>
      <c r="DU25" s="59">
        <f t="shared" si="44"/>
        <v>61.686311966192704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2.8</v>
      </c>
      <c r="N26" s="13">
        <f>IF('Données projet'!$A$36&gt;35,N25+M26-V25,IF(A26&lt;'Données projet'!$A$36,$K$205^A26,IF(A26='Données projet'!$A$36,'Données projet'!$B$36,N25+M26-V25)))</f>
        <v>49.82992078990118</v>
      </c>
      <c r="O26" s="13">
        <f>N26*VLOOKUP('Données projet'!$B$9,Paramètres!$A$1:$I$89,3,0)*VLOOKUP('Données projet'!$B$9,Paramètres!$A$1:$I$89,5,0)</f>
        <v>45.086112330702591</v>
      </c>
      <c r="P26" s="13">
        <f t="shared" si="33"/>
        <v>13.337187999822708</v>
      </c>
      <c r="Q26" s="20">
        <f t="shared" si="2"/>
        <v>101.75391474233156</v>
      </c>
      <c r="R26" s="59">
        <f t="shared" si="0"/>
        <v>395.08724807566489</v>
      </c>
      <c r="S26" s="59">
        <f ca="1">AVERAGE(OFFSET($R$3,0,0,'Données projet'!$E$9+1,1))-AVERAGE(OFFSET($H$3,0,0,'Données projet'!$E$9+1,1))</f>
        <v>265.50419397354284</v>
      </c>
      <c r="T26" s="59">
        <f t="shared" si="34"/>
        <v>156.67965022779907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2.8</v>
      </c>
      <c r="AI26" s="13">
        <f>IF('Données projet'!$A$62&gt;35,AI25+AH26-AQ25,IF(A26&lt;'Données projet'!$A$62,$AF$205^A26,IF(A26='Données projet'!$A$62,'Données projet'!$B$62,AI25+AH26-AQ25)))</f>
        <v>49.82992078990118</v>
      </c>
      <c r="AJ26" s="13">
        <f>AI26*VLOOKUP('Données projet'!$B$10,Paramètres!$A$1:$I$89,3,0)*VLOOKUP('Données projet'!$B$10,Paramètres!$A$1:$I$89,5,0)</f>
        <v>50.527539680959798</v>
      </c>
      <c r="AK26" s="13">
        <f t="shared" si="35"/>
        <v>14.749915754528818</v>
      </c>
      <c r="AL26" s="20">
        <f t="shared" si="4"/>
        <v>113.69156821680933</v>
      </c>
      <c r="AM26" s="59">
        <f t="shared" si="5"/>
        <v>407.02490155014266</v>
      </c>
      <c r="AN26" s="59">
        <f ca="1">AVERAGE(OFFSET($AM$3,0,0,'Données projet'!$E$10+1,1))-AVERAGE(OFFSET($H$3,0,0,'Données projet'!$E$10+1,1))</f>
        <v>296.43642006376018</v>
      </c>
      <c r="AO26" s="59">
        <f t="shared" si="36"/>
        <v>179.56041631665812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10.6</v>
      </c>
      <c r="BD26" s="12">
        <f>IF('Données projet'!$A$88&gt;35,BD25+BC26-BL25,IF(A26&lt;'Données projet'!$A$88,$BA$205^A26,IF(A26='Données projet'!$A$88,'Données projet'!$B$88,BD25+BC26-BL25)))</f>
        <v>91.799999999999969</v>
      </c>
      <c r="BE26" s="13">
        <f>BD26*VLOOKUP('Données projet'!$B$11,Paramètres!$A$1:$I$89,3,0)*VLOOKUP('Données projet'!$B$11,Paramètres!$A$1:$I$89,5,0)</f>
        <v>61.579439999999977</v>
      </c>
      <c r="BF26" s="13">
        <f t="shared" si="37"/>
        <v>17.566995111207309</v>
      </c>
      <c r="BG26" s="20">
        <f t="shared" si="7"/>
        <v>137.84670781868599</v>
      </c>
      <c r="BH26" s="59">
        <f t="shared" si="8"/>
        <v>431.18004115201927</v>
      </c>
      <c r="BI26" s="59">
        <f ca="1">AVERAGE(OFFSET($BH$3,0,0,'Données projet'!$E$11+1,1))-AVERAGE(OFFSET($H$3,0,0,'Données projet'!$E$11+1,1))</f>
        <v>181.32837315090507</v>
      </c>
      <c r="BJ26" s="59">
        <f t="shared" si="38"/>
        <v>175.03267817980338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2.9788934957070681</v>
      </c>
      <c r="BQ26" s="21">
        <f>EXP(-LN(2)/25)*BQ25+(1-EXP(-LN(2)/25))/(LN(2)/25)*Calculateur!BL26*Calculateur!BN26*VLOOKUP('Données projet'!$B$11,Paramètres!$A$1:$I$89,3,0)*0.475*44/12</f>
        <v>3.7904520597687554</v>
      </c>
      <c r="BR26" s="21">
        <f>EXP(-LN(2)/2)*BR25+(1-EXP(-LN(2)/2))/(LN(2)/2)*BL26*BO26*VLOOKUP('Données projet'!$B$11,Paramètres!$A$1:$I$89,3,0)*0.475*44/12</f>
        <v>1.7494801588174391</v>
      </c>
      <c r="BS26" s="22">
        <f t="shared" si="9"/>
        <v>8.5188257142932624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9.1999999999999993</v>
      </c>
      <c r="BY26" s="12">
        <f>IF('Données projet'!$A$114&gt;35,BY25+BX26-CG25,IF(A26&lt;'Données projet'!$A$114,$BV$205^A26,IF(A26='Données projet'!$A$114,'Données projet'!$B$114,BY25+BX26-CG25)))</f>
        <v>146.09999999999997</v>
      </c>
      <c r="BZ26" s="13">
        <f>BY26*VLOOKUP('Données projet'!$B$12,Paramètres!$A$1:$I$89,3,0)*VLOOKUP('Données projet'!$B$12,Paramètres!$A$1:$I$89,5,0)</f>
        <v>68.374799999999979</v>
      </c>
      <c r="CA26" s="13">
        <f t="shared" si="39"/>
        <v>19.269313009600907</v>
      </c>
      <c r="CB26" s="20">
        <f t="shared" si="10"/>
        <v>152.64683015838821</v>
      </c>
      <c r="CC26" s="59">
        <f t="shared" si="11"/>
        <v>445.98016349172156</v>
      </c>
      <c r="CD26" s="59">
        <f ca="1">AVERAGE(OFFSET($CC$3,0,0,'Données projet'!$E$12+1,1))-AVERAGE(OFFSET($H$3,0,0,'Données projet'!$E$12+1,1))</f>
        <v>226.0452828290525</v>
      </c>
      <c r="CE26" s="59">
        <f t="shared" si="40"/>
        <v>179.89696397462069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2.541917313721735</v>
      </c>
      <c r="CL26" s="21">
        <f>EXP(-LN(2)/25)*CL25+(1-EXP(-LN(2)/25))/(LN(2)/25)*Calculateur!CG26*Calculateur!CI26*VLOOKUP('Données projet'!$B$12,Paramètres!$A$1:$I$89,3,0)*0.475*44/12</f>
        <v>2.4724472388241518</v>
      </c>
      <c r="CM26" s="21">
        <f>EXP(-LN(2)/2)*CM25+(1-EXP(-LN(2)/2))/(LN(2)/2)*CG26*CJ26*VLOOKUP('Données projet'!$B$12,Paramètres!$A$1:$I$89,3,0)*0.475*44/12</f>
        <v>4.4400181434306774</v>
      </c>
      <c r="CN26" s="22">
        <f t="shared" si="12"/>
        <v>9.4543826959765642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15</v>
      </c>
      <c r="CT26" s="12">
        <f>IF('Données projet'!$A$140&gt;35,CT25+CS26-DB25,IF(A26&lt;'Données projet'!$A$140,$CQ$205^A26,IF(A26='Données projet'!$A$140,'Données projet'!$B$140,CT25+CS26-DB25)))</f>
        <v>142</v>
      </c>
      <c r="CU26" s="17">
        <f>CT26*VLOOKUP('Données projet'!$B$13,Paramètres!$A$1:$I$89,3,0)*VLOOKUP('Données projet'!$B$13,Paramètres!$A$1:$I$89,5,0)</f>
        <v>84.916000000000011</v>
      </c>
      <c r="CV26" s="13">
        <f t="shared" si="41"/>
        <v>23.33496813320572</v>
      </c>
      <c r="CW26" s="20">
        <f t="shared" si="13"/>
        <v>188.53710283199996</v>
      </c>
      <c r="CX26" s="59">
        <f t="shared" si="14"/>
        <v>481.87043616533327</v>
      </c>
      <c r="CY26" s="59">
        <f ca="1">AVERAGE(OFFSET($CX$3,0,0,'Données projet'!$E$13+1,1))-AVERAGE(OFFSET($H$3,0,0,'Données projet'!$E$13+1,1))</f>
        <v>482.74318690313885</v>
      </c>
      <c r="CZ26" s="59">
        <f t="shared" si="42"/>
        <v>205.57161411620217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3.1524591180534083</v>
      </c>
      <c r="DG26" s="21">
        <f>EXP(-LN(2)/25)*DG25+(1-EXP(-LN(2)/25))/(LN(2)/25)*Calculateur!DB26*Calculateur!DD26*VLOOKUP('Données projet'!$B$13,Paramètres!$A$1:$I$89,3,0)*0.475*44/12</f>
        <v>3.7578456699845351</v>
      </c>
      <c r="DH26" s="21">
        <f>EXP(-LN(2)/2)*DH25+(1-EXP(-LN(2)/2))/(LN(2)/2)*DB26*DE26*VLOOKUP('Données projet'!$B$13,Paramètres!$A$1:$I$89,3,0)*0.475*44/12</f>
        <v>2.1185318637958614</v>
      </c>
      <c r="DI26" s="22">
        <f t="shared" si="15"/>
        <v>9.0288366518338048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3.06</v>
      </c>
      <c r="DO26" s="12">
        <f>IF('Données projet'!$A$166&gt;35,DO25+DN26-DW25,IF(A26&lt;'Données projet'!$A$166,$DL$205^A26,IF(A26='Données projet'!$A$166,'Données projet'!$B$166,DO25+DN26-DW25)))</f>
        <v>70.380000000000024</v>
      </c>
      <c r="DP26" s="17">
        <f>DO26*VLOOKUP('Données projet'!$B$14,Paramètres!$A$1:$I$89,3,0)*VLOOKUP('Données projet'!$B$14,Paramètres!$A$1:$I$89,5,0)</f>
        <v>33.85278000000001</v>
      </c>
      <c r="DQ26" s="13">
        <f t="shared" si="43"/>
        <v>10.353844130174561</v>
      </c>
      <c r="DR26" s="20">
        <f t="shared" si="16"/>
        <v>76.993203693387372</v>
      </c>
      <c r="DS26" s="59">
        <f t="shared" si="17"/>
        <v>370.3265370267207</v>
      </c>
      <c r="DT26" s="59">
        <f ca="1">AVERAGE(OFFSET($DS$3,0,0,'Données projet'!$E$14+1,1))-AVERAGE(OFFSET($H$3,0,0,'Données projet'!$E$14+1,1))</f>
        <v>247.11965163963526</v>
      </c>
      <c r="DU26" s="59">
        <f t="shared" si="44"/>
        <v>61.686311966192704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2.8</v>
      </c>
      <c r="N27" s="13">
        <f>IF('Données projet'!$A$36&gt;35,N26+M27-V26,IF(A27&lt;'Données projet'!$A$36,$K$205^A27,IF(A27='Données projet'!$A$36,'Données projet'!$B$36,N26+M27-V26)))</f>
        <v>59.060091900479499</v>
      </c>
      <c r="O27" s="13">
        <f>N27*VLOOKUP('Données projet'!$B$9,Paramètres!$A$1:$I$89,3,0)*VLOOKUP('Données projet'!$B$9,Paramètres!$A$1:$I$89,5,0)</f>
        <v>53.437571151553847</v>
      </c>
      <c r="P27" s="13">
        <f t="shared" si="33"/>
        <v>15.498062862253629</v>
      </c>
      <c r="Q27" s="20">
        <f t="shared" si="2"/>
        <v>120.06289590738133</v>
      </c>
      <c r="R27" s="59">
        <f t="shared" si="0"/>
        <v>413.39622924071466</v>
      </c>
      <c r="S27" s="59">
        <f ca="1">AVERAGE(OFFSET($R$3,0,0,'Données projet'!$E$9+1,1))-AVERAGE(OFFSET($H$3,0,0,'Données projet'!$E$9+1,1))</f>
        <v>265.50419397354284</v>
      </c>
      <c r="T27" s="59">
        <f t="shared" si="34"/>
        <v>156.67965022779907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2.8</v>
      </c>
      <c r="AI27" s="13">
        <f>IF('Données projet'!$A$62&gt;35,AI26+AH27-AQ26,IF(A27&lt;'Données projet'!$A$62,$AF$205^A27,IF(A27='Données projet'!$A$62,'Données projet'!$B$62,AI26+AH27-AQ26)))</f>
        <v>59.060091900479499</v>
      </c>
      <c r="AJ27" s="13">
        <f>AI27*VLOOKUP('Données projet'!$B$10,Paramètres!$A$1:$I$89,3,0)*VLOOKUP('Données projet'!$B$10,Paramètres!$A$1:$I$89,5,0)</f>
        <v>59.886933187086214</v>
      </c>
      <c r="AK27" s="13">
        <f t="shared" si="35"/>
        <v>17.139679037265701</v>
      </c>
      <c r="AL27" s="20">
        <f t="shared" si="4"/>
        <v>134.15468295741289</v>
      </c>
      <c r="AM27" s="59">
        <f t="shared" si="5"/>
        <v>427.4880162907462</v>
      </c>
      <c r="AN27" s="59">
        <f ca="1">AVERAGE(OFFSET($AM$3,0,0,'Données projet'!$E$10+1,1))-AVERAGE(OFFSET($H$3,0,0,'Données projet'!$E$10+1,1))</f>
        <v>296.43642006376018</v>
      </c>
      <c r="AO27" s="59">
        <f t="shared" si="36"/>
        <v>179.56041631665812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10.6</v>
      </c>
      <c r="BD27" s="12">
        <f>IF('Données projet'!$A$88&gt;35,BD26+BC27-BL26,IF(A27&lt;'Données projet'!$A$88,$BA$205^A27,IF(A27='Données projet'!$A$88,'Données projet'!$B$88,BD26+BC27-BL26)))</f>
        <v>102.39999999999996</v>
      </c>
      <c r="BE27" s="13">
        <f>BD27*VLOOKUP('Données projet'!$B$11,Paramètres!$A$1:$I$89,3,0)*VLOOKUP('Données projet'!$B$11,Paramètres!$A$1:$I$89,5,0)</f>
        <v>68.689919999999972</v>
      </c>
      <c r="BF27" s="13">
        <f t="shared" si="37"/>
        <v>19.34776166993591</v>
      </c>
      <c r="BG27" s="20">
        <f t="shared" si="7"/>
        <v>153.33229557513832</v>
      </c>
      <c r="BH27" s="59">
        <f t="shared" si="8"/>
        <v>446.6656289084716</v>
      </c>
      <c r="BI27" s="59">
        <f ca="1">AVERAGE(OFFSET($BH$3,0,0,'Données projet'!$E$11+1,1))-AVERAGE(OFFSET($H$3,0,0,'Données projet'!$E$11+1,1))</f>
        <v>181.32837315090507</v>
      </c>
      <c r="BJ27" s="59">
        <f t="shared" si="38"/>
        <v>175.03267817980338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2.9204792112018763</v>
      </c>
      <c r="BQ27" s="21">
        <f>EXP(-LN(2)/25)*BQ26+(1-EXP(-LN(2)/25))/(LN(2)/25)*Calculateur!BL27*Calculateur!BN27*VLOOKUP('Données projet'!$B$11,Paramètres!$A$1:$I$89,3,0)*0.475*44/12</f>
        <v>3.686801948863168</v>
      </c>
      <c r="BR27" s="21">
        <f>EXP(-LN(2)/2)*BR26+(1-EXP(-LN(2)/2))/(LN(2)/2)*BL27*BO27*VLOOKUP('Données projet'!$B$11,Paramètres!$A$1:$I$89,3,0)*0.475*44/12</f>
        <v>1.2370692838511295</v>
      </c>
      <c r="BS27" s="22">
        <f t="shared" si="9"/>
        <v>7.8443504439161735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9.1999999999999993</v>
      </c>
      <c r="BY27" s="12">
        <f>IF('Données projet'!$A$114&gt;35,BY26+BX27-CG26,IF(A27&lt;'Données projet'!$A$114,$BV$205^A27,IF(A27='Données projet'!$A$114,'Données projet'!$B$114,BY26+BX27-CG26)))</f>
        <v>155.29999999999995</v>
      </c>
      <c r="BZ27" s="13">
        <f>BY27*VLOOKUP('Données projet'!$B$12,Paramètres!$A$1:$I$89,3,0)*VLOOKUP('Données projet'!$B$12,Paramètres!$A$1:$I$89,5,0)</f>
        <v>72.680399999999977</v>
      </c>
      <c r="CA27" s="13">
        <f t="shared" si="39"/>
        <v>20.337632665681216</v>
      </c>
      <c r="CB27" s="20">
        <f t="shared" si="10"/>
        <v>162.00640689272805</v>
      </c>
      <c r="CC27" s="59">
        <f t="shared" si="11"/>
        <v>455.33974022606139</v>
      </c>
      <c r="CD27" s="59">
        <f ca="1">AVERAGE(OFFSET($CC$3,0,0,'Données projet'!$E$12+1,1))-AVERAGE(OFFSET($H$3,0,0,'Données projet'!$E$12+1,1))</f>
        <v>226.0452828290525</v>
      </c>
      <c r="CE27" s="59">
        <f t="shared" si="40"/>
        <v>179.89696397462069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2.492071865616122</v>
      </c>
      <c r="CL27" s="21">
        <f>EXP(-LN(2)/25)*CL26+(1-EXP(-LN(2)/25))/(LN(2)/25)*Calculateur!CG27*Calculateur!CI27*VLOOKUP('Données projet'!$B$12,Paramètres!$A$1:$I$89,3,0)*0.475*44/12</f>
        <v>2.4048380390581561</v>
      </c>
      <c r="CM27" s="21">
        <f>EXP(-LN(2)/2)*CM26+(1-EXP(-LN(2)/2))/(LN(2)/2)*CG27*CJ27*VLOOKUP('Données projet'!$B$12,Paramètres!$A$1:$I$89,3,0)*0.475*44/12</f>
        <v>3.139566937811137</v>
      </c>
      <c r="CN27" s="22">
        <f t="shared" si="12"/>
        <v>8.0364768424854152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>
        <f>VLOOKUP(A27,'Données projet'!$A$139:$I$159,2,0)</f>
        <v>157</v>
      </c>
      <c r="CR27" s="12">
        <f>VLOOKUP(A27,'Données projet'!$A$139:$I$159,9,0)</f>
        <v>15</v>
      </c>
      <c r="CS27" s="12">
        <f t="array" ref="CS27">INDEX(CR:CR,MIN(IF(ISNUMBER(CR27:CR223),ROW(CR27:CR223),"")))</f>
        <v>15</v>
      </c>
      <c r="CT27" s="12">
        <f>IF('Données projet'!$A$140&gt;35,CT26+CS27-DB26,IF(A27&lt;'Données projet'!$A$140,$CQ$205^A27,IF(A27='Données projet'!$A$140,'Données projet'!$B$140,CT26+CS27-DB26)))</f>
        <v>157</v>
      </c>
      <c r="CU27" s="17">
        <f>CT27*VLOOKUP('Données projet'!$B$13,Paramètres!$A$1:$I$89,3,0)*VLOOKUP('Données projet'!$B$13,Paramètres!$A$1:$I$89,5,0)</f>
        <v>93.885999999999996</v>
      </c>
      <c r="CV27" s="13">
        <f t="shared" si="41"/>
        <v>25.500116461916402</v>
      </c>
      <c r="CW27" s="20">
        <f t="shared" si="13"/>
        <v>207.9308195045044</v>
      </c>
      <c r="CX27" s="59">
        <f t="shared" si="14"/>
        <v>501.26415283783774</v>
      </c>
      <c r="CY27" s="59">
        <f ca="1">AVERAGE(OFFSET($CX$3,0,0,'Données projet'!$E$13+1,1))-AVERAGE(OFFSET($H$3,0,0,'Données projet'!$E$13+1,1))</f>
        <v>482.74318690313885</v>
      </c>
      <c r="CZ27" s="59">
        <f t="shared" si="42"/>
        <v>205.57161411620217</v>
      </c>
      <c r="DA27" s="15">
        <f>IF(ISNA(VLOOKUP(A27,'Données projet'!$A$139:$I$159,3,0)),0,VLOOKUP(A27,'Données projet'!$A$139:$I$159,3,0))</f>
        <v>4</v>
      </c>
      <c r="DB27" s="15">
        <f>IF(ISNA(VLOOKUP(A27,'Données projet'!$A$139:$I$159,4,0)),0,VLOOKUP(A27,'Données projet'!$A$139:$I$159,4,0))</f>
        <v>31</v>
      </c>
      <c r="DC27" s="16">
        <f>IF(ISNA(VLOOKUP(A27,'Données projet'!$A$139:$I$159,5,0)),0%,VLOOKUP(A27,'Données projet'!$A$139:$I$159,5,0)*VLOOKUP('Données projet'!$B$13,Paramètres!$A$1:$I$89,7,0))</f>
        <v>0.18000000000000002</v>
      </c>
      <c r="DD27" s="16">
        <f>IF(ISNA(VLOOKUP(A27,'Données projet'!$A$139:$I$159,6,0)),0%,VLOOKUP(A27,'Données projet'!$A$139:$I$159,6,0)*VLOOKUP('Données projet'!$B$13,Paramètres!$A$1:$I$89,7,0))</f>
        <v>0.13500000000000001</v>
      </c>
      <c r="DE27" s="16">
        <f>IF(ISNA(VLOOKUP(A27,'Données projet'!$A$139:$I$159,7,0)),0%,VLOOKUP(A27,'Données projet'!$A$139:$I$159,7,0))</f>
        <v>0.3</v>
      </c>
      <c r="DF27" s="21">
        <f>EXP(-LN(2)/35)*DF26+(1-EXP(-LN(2)/35))/(LN(2)/35)*DB27*DC27*VLOOKUP('Données projet'!$B$13,Paramètres!$A$1:$I$89,3,0)*0.475*44/12</f>
        <v>7.517174655047457</v>
      </c>
      <c r="DG27" s="21">
        <f>EXP(-LN(2)/25)*DG26+(1-EXP(-LN(2)/25))/(LN(2)/25)*Calculateur!DB27*Calculateur!DD27*VLOOKUP('Données projet'!$B$13,Paramètres!$A$1:$I$89,3,0)*0.475*44/12</f>
        <v>6.9619154743456049</v>
      </c>
      <c r="DH27" s="21">
        <f>EXP(-LN(2)/2)*DH26+(1-EXP(-LN(2)/2))/(LN(2)/2)*DB27*DE27*VLOOKUP('Données projet'!$B$13,Paramètres!$A$1:$I$89,3,0)*0.475*44/12</f>
        <v>7.7948249465135167</v>
      </c>
      <c r="DI27" s="22">
        <f t="shared" si="15"/>
        <v>22.273915075906579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3.06</v>
      </c>
      <c r="DO27" s="12">
        <f>IF('Données projet'!$A$166&gt;35,DO26+DN27-DW26,IF(A27&lt;'Données projet'!$A$166,$DL$205^A27,IF(A27='Données projet'!$A$166,'Données projet'!$B$166,DO26+DN27-DW26)))</f>
        <v>73.440000000000026</v>
      </c>
      <c r="DP27" s="17">
        <f>DO27*VLOOKUP('Données projet'!$B$14,Paramètres!$A$1:$I$89,3,0)*VLOOKUP('Données projet'!$B$14,Paramètres!$A$1:$I$89,5,0)</f>
        <v>35.324640000000016</v>
      </c>
      <c r="DQ27" s="13">
        <f t="shared" si="43"/>
        <v>10.750621206963087</v>
      </c>
      <c r="DR27" s="20">
        <f t="shared" si="16"/>
        <v>80.247746602127407</v>
      </c>
      <c r="DS27" s="59">
        <f t="shared" si="17"/>
        <v>373.58107993546071</v>
      </c>
      <c r="DT27" s="59">
        <f ca="1">AVERAGE(OFFSET($DS$3,0,0,'Données projet'!$E$14+1,1))-AVERAGE(OFFSET($H$3,0,0,'Données projet'!$E$14+1,1))</f>
        <v>247.11965163963526</v>
      </c>
      <c r="DU27" s="59">
        <f t="shared" si="44"/>
        <v>61.686311966192704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70</v>
      </c>
      <c r="L28" s="12">
        <f>VLOOKUP(A28,'Données projet'!$A$35:$I$55,9,0)</f>
        <v>2.8</v>
      </c>
      <c r="M28" s="12">
        <f t="array" ref="M28">INDEX(L:L,MIN(IF(ISNUMBER(L28:L224),ROW(L28:L224),"")))</f>
        <v>2.8</v>
      </c>
      <c r="N28" s="13">
        <f>IF('Données projet'!$A$36&gt;35,N27+M28-V27,IF(A28&lt;'Données projet'!$A$36,$K$205^A28,IF(A28='Données projet'!$A$36,'Données projet'!$B$36,N27+M28-V27)))</f>
        <v>70</v>
      </c>
      <c r="O28" s="13">
        <f>N28*VLOOKUP('Données projet'!$B$9,Paramètres!$A$1:$I$89,3,0)*VLOOKUP('Données projet'!$B$9,Paramètres!$A$1:$I$89,5,0)</f>
        <v>63.335999999999991</v>
      </c>
      <c r="P28" s="13">
        <f t="shared" si="33"/>
        <v>18.009040022946227</v>
      </c>
      <c r="Q28" s="20">
        <f t="shared" si="2"/>
        <v>141.67594470663133</v>
      </c>
      <c r="R28" s="59">
        <f t="shared" si="0"/>
        <v>435.00927803996467</v>
      </c>
      <c r="S28" s="59">
        <f ca="1">AVERAGE(OFFSET($R$3,0,0,'Données projet'!$E$9+1,1))-AVERAGE(OFFSET($H$3,0,0,'Données projet'!$E$9+1,1))</f>
        <v>265.50419397354284</v>
      </c>
      <c r="T28" s="59">
        <f t="shared" si="34"/>
        <v>156.67965022779907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8</v>
      </c>
      <c r="W28" s="16">
        <f>IF(ISNA(VLOOKUP(A28,'Données projet'!$A$35:$I$55,5,0)),0%,VLOOKUP(A28,'Données projet'!$A$35:$I$55,5,0)*VLOOKUP('Données projet'!$B$9,Paramètres!$A$1:$I$89,7,0))</f>
        <v>8.6000000000000007E-2</v>
      </c>
      <c r="X28" s="16">
        <f>IF(ISNA(VLOOKUP(A28,'Données projet'!$A$35:$I$55,6,0)),0%,VLOOKUP(A28,'Données projet'!$A$35:$I$55,6,0)*VLOOKUP('Données projet'!$B$9,Paramètres!$A$1:$I$89,7,0))</f>
        <v>8.6000000000000007E-2</v>
      </c>
      <c r="Y28" s="16">
        <f>IF(ISNA(VLOOKUP(A28,'Données projet'!$A$35:$I$55,7,0)),0%,VLOOKUP(A28,'Données projet'!$A$35:$I$55,7,0))</f>
        <v>0.6</v>
      </c>
      <c r="Z28" s="21">
        <f>EXP(-LN(2)/35)*Z27+(1-EXP(-LN(2)/35))/(LN(2)/35)*V28*W28*VLOOKUP('Données projet'!$B$9,Paramètres!$A$1:$I$89,3,0)*0.475*44/12</f>
        <v>0.68815796438817234</v>
      </c>
      <c r="AA28" s="21">
        <f>EXP(-LN(2)/25)*AA27+(1-EXP(-LN(2)/25))/(LN(2)/25)*Calculateur!V28*Calculateur!X28*VLOOKUP('Données projet'!$B$9,Paramètres!$A$1:$I$89,3,0)*0.475*44/12</f>
        <v>0.68544842427363495</v>
      </c>
      <c r="AB28" s="21">
        <f>EXP(-LN(2)/2)*AB27+(1-EXP(-LN(2)/2))/(LN(2)/2)*V28*Y28*VLOOKUP('Données projet'!$B$9,Paramètres!$A$1:$I$89,3,0)*0.475*44/12</f>
        <v>4.0977751312077837</v>
      </c>
      <c r="AC28" s="22">
        <f t="shared" si="3"/>
        <v>5.471381519869591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70</v>
      </c>
      <c r="AG28" s="12">
        <f>VLOOKUP(A28,'Données projet'!$A$61:$I$81,9,0)</f>
        <v>2.8</v>
      </c>
      <c r="AH28" s="12">
        <f t="array" ref="AH28">INDEX(AG:AG,MIN(IF(ISNUMBER(AG28:AG224),ROW(AG28:AG224),"")))</f>
        <v>2.8</v>
      </c>
      <c r="AI28" s="13">
        <f>IF('Données projet'!$A$62&gt;35,AI27+AH28-AQ27,IF(A28&lt;'Données projet'!$A$62,$AF$205^A28,IF(A28='Données projet'!$A$62,'Données projet'!$B$62,AI27+AH28-AQ27)))</f>
        <v>70</v>
      </c>
      <c r="AJ28" s="13">
        <f>AI28*VLOOKUP('Données projet'!$B$10,Paramètres!$A$1:$I$89,3,0)*VLOOKUP('Données projet'!$B$10,Paramètres!$A$1:$I$89,5,0)</f>
        <v>70.98</v>
      </c>
      <c r="AK28" s="13">
        <f t="shared" si="35"/>
        <v>19.916628839746853</v>
      </c>
      <c r="AL28" s="20">
        <f t="shared" si="4"/>
        <v>158.31162856255909</v>
      </c>
      <c r="AM28" s="59">
        <f t="shared" si="5"/>
        <v>451.64496189589238</v>
      </c>
      <c r="AN28" s="59">
        <f ca="1">AVERAGE(OFFSET($AM$3,0,0,'Données projet'!$E$10+1,1))-AVERAGE(OFFSET($H$3,0,0,'Données projet'!$E$10+1,1))</f>
        <v>296.43642006376018</v>
      </c>
      <c r="AO28" s="59">
        <f t="shared" si="36"/>
        <v>179.56041631665812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8</v>
      </c>
      <c r="AR28" s="16">
        <f>IF(ISNA(VLOOKUP(A28,'Données projet'!$A$61:$I$81,5,0)),0%,VLOOKUP(A28,'Données projet'!$A$61:$I$81,5,0)*VLOOKUP('Données projet'!$B$10,Paramètres!$A$1:$I$89,7,0))</f>
        <v>8.6000000000000007E-2</v>
      </c>
      <c r="AS28" s="16">
        <f>IF(ISNA(VLOOKUP(A28,'Données projet'!$A$61:$I$81,6,0)),0%,VLOOKUP(A28,'Données projet'!$A$61:$I$81,6,0)*VLOOKUP('Données projet'!$B$10,Paramètres!$A$1:$I$89,7,0))</f>
        <v>8.6000000000000007E-2</v>
      </c>
      <c r="AT28" s="16">
        <f>IF(ISNA(VLOOKUP(A28,'Données projet'!$A$61:$I$81,7,0)),0%,VLOOKUP(A28,'Données projet'!$A$61:$I$81,7,0))</f>
        <v>0.6</v>
      </c>
      <c r="AU28" s="21">
        <f>EXP(-LN(2)/35)*AU27+(1-EXP(-LN(2)/35))/(LN(2)/35)*AQ28*AR28*VLOOKUP('Données projet'!$B$10,Paramètres!$A$1:$I$89,3,0)*0.475*44/12</f>
        <v>0.77121151181433112</v>
      </c>
      <c r="AV28" s="21">
        <f>EXP(-LN(2)/25)*AV27+(1-EXP(-LN(2)/25))/(LN(2)/25)*Calculateur!AQ28*Calculateur!AS28*VLOOKUP('Données projet'!$B$10,Paramètres!$A$1:$I$89,3,0)*0.475*44/12</f>
        <v>0.76817495823769422</v>
      </c>
      <c r="AW28" s="21">
        <f>EXP(-LN(2)/2)*AW27+(1-EXP(-LN(2)/2))/(LN(2)/2)*AQ28*AT28*VLOOKUP('Données projet'!$B$10,Paramètres!$A$1:$I$89,3,0)*0.475*44/12</f>
        <v>4.5923341987673458</v>
      </c>
      <c r="AX28" s="21">
        <f t="shared" si="6"/>
        <v>6.1317206688193711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113</v>
      </c>
      <c r="BB28" s="12">
        <f>VLOOKUP(A28,'Données projet'!$A$87:$I$107,9,0)</f>
        <v>10.6</v>
      </c>
      <c r="BC28" s="12">
        <f t="array" ref="BC28">INDEX(BB:BB,MIN(IF(ISNUMBER(BB28:BB224),ROW(BB28:BB224),"")))</f>
        <v>10.6</v>
      </c>
      <c r="BD28" s="12">
        <f>IF('Données projet'!$A$88&gt;35,BD27+BC28-BL27,IF(A28&lt;'Données projet'!$A$88,$BA$205^A28,IF(A28='Données projet'!$A$88,'Données projet'!$B$88,BD27+BC28-BL27)))</f>
        <v>112.99999999999996</v>
      </c>
      <c r="BE28" s="13">
        <f>BD28*VLOOKUP('Données projet'!$B$11,Paramètres!$A$1:$I$89,3,0)*VLOOKUP('Données projet'!$B$11,Paramètres!$A$1:$I$89,5,0)</f>
        <v>75.800399999999968</v>
      </c>
      <c r="BF28" s="13">
        <f t="shared" si="37"/>
        <v>21.107159889298988</v>
      </c>
      <c r="BG28" s="20">
        <f t="shared" si="7"/>
        <v>168.78066680719567</v>
      </c>
      <c r="BH28" s="59">
        <f t="shared" si="8"/>
        <v>462.11400014052901</v>
      </c>
      <c r="BI28" s="59">
        <f ca="1">AVERAGE(OFFSET($BH$3,0,0,'Données projet'!$E$11+1,1))-AVERAGE(OFFSET($H$3,0,0,'Données projet'!$E$11+1,1))</f>
        <v>181.32837315090507</v>
      </c>
      <c r="BJ28" s="59">
        <f t="shared" si="38"/>
        <v>175.03267817980338</v>
      </c>
      <c r="BK28" s="15">
        <f>IF(ISNA(VLOOKUP(A28,'Données projet'!$A$87:$I$107,3,0)),0,VLOOKUP(A28,'Données projet'!$A$87:$I$107,3,0))</f>
        <v>4</v>
      </c>
      <c r="BL28" s="15">
        <f>IF(ISNA(VLOOKUP(A28,'Données projet'!$A$87:$I$107,4,0)),0,VLOOKUP(A28,'Données projet'!$A$87:$I$107,4,0))</f>
        <v>27</v>
      </c>
      <c r="BM28" s="16">
        <f>IF(ISNA(VLOOKUP(A28,'Données projet'!$A$87:$I$107,5,0)),0%,VLOOKUP(A28,'Données projet'!$A$87:$I$107,5,0)*VLOOKUP('Données projet'!$B$11,Paramètres!$A$1:$I$89,7,0))</f>
        <v>0.159</v>
      </c>
      <c r="BN28" s="16">
        <f>IF(ISNA(VLOOKUP(A28,'Données projet'!$A$87:$I$107,6,0)),0%,VLOOKUP(A28,'Données projet'!$A$87:$I$107,6,0)*VLOOKUP('Données projet'!$B$11,Paramètres!$A$1:$I$89,7,0))</f>
        <v>0.21200000000000002</v>
      </c>
      <c r="BO28" s="16">
        <f>IF(ISNA(VLOOKUP(A28,'Données projet'!$A$87:$I$107,7,0)),0%,VLOOKUP(A28,'Données projet'!$A$87:$I$107,7,0))</f>
        <v>0.3</v>
      </c>
      <c r="BP28" s="21">
        <f>EXP(-LN(2)/35)*BP27+(1-EXP(-LN(2)/35))/(LN(2)/35)*BL28*BM28*VLOOKUP('Données projet'!$B$11,Paramètres!$A$1:$I$89,3,0)*0.475*44/12</f>
        <v>6.0466825300125233</v>
      </c>
      <c r="BQ28" s="21">
        <f>EXP(-LN(2)/25)*BQ27+(1-EXP(-LN(2)/25))/(LN(2)/25)*Calculateur!BL28*Calculateur!BN28*VLOOKUP('Données projet'!$B$11,Paramètres!$A$1:$I$89,3,0)*0.475*44/12</f>
        <v>7.8139029450684809</v>
      </c>
      <c r="BR28" s="21">
        <f>EXP(-LN(2)/2)*BR27+(1-EXP(-LN(2)/2))/(LN(2)/2)*BL28*BO28*VLOOKUP('Données projet'!$B$11,Paramètres!$A$1:$I$89,3,0)*0.475*44/12</f>
        <v>6.001374699378804</v>
      </c>
      <c r="BS28" s="22">
        <f t="shared" si="9"/>
        <v>19.86196017445981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9.1999999999999993</v>
      </c>
      <c r="BY28" s="12">
        <f>IF('Données projet'!$A$114&gt;35,BY27+BX28-CG27,IF(A28&lt;'Données projet'!$A$114,$BV$205^A28,IF(A28='Données projet'!$A$114,'Données projet'!$B$114,BY27+BX28-CG27)))</f>
        <v>164.49999999999994</v>
      </c>
      <c r="BZ28" s="13">
        <f>BY28*VLOOKUP('Données projet'!$B$12,Paramètres!$A$1:$I$89,3,0)*VLOOKUP('Données projet'!$B$12,Paramètres!$A$1:$I$89,5,0)</f>
        <v>76.985999999999976</v>
      </c>
      <c r="CA28" s="13">
        <f t="shared" si="39"/>
        <v>21.398606468170591</v>
      </c>
      <c r="CB28" s="20">
        <f t="shared" si="10"/>
        <v>171.35318959873041</v>
      </c>
      <c r="CC28" s="59">
        <f t="shared" si="11"/>
        <v>464.68652293206372</v>
      </c>
      <c r="CD28" s="59">
        <f ca="1">AVERAGE(OFFSET($CC$3,0,0,'Données projet'!$E$12+1,1))-AVERAGE(OFFSET($H$3,0,0,'Données projet'!$E$12+1,1))</f>
        <v>226.0452828290525</v>
      </c>
      <c r="CE28" s="59">
        <f t="shared" si="40"/>
        <v>179.89696397462069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2.4432038563451388</v>
      </c>
      <c r="CL28" s="21">
        <f>EXP(-LN(2)/25)*CL27+(1-EXP(-LN(2)/25))/(LN(2)/25)*Calculateur!CG28*Calculateur!CI28*VLOOKUP('Données projet'!$B$12,Paramètres!$A$1:$I$89,3,0)*0.475*44/12</f>
        <v>2.3390776164151745</v>
      </c>
      <c r="CM28" s="21">
        <f>EXP(-LN(2)/2)*CM27+(1-EXP(-LN(2)/2))/(LN(2)/2)*CG28*CJ28*VLOOKUP('Données projet'!$B$12,Paramètres!$A$1:$I$89,3,0)*0.475*44/12</f>
        <v>2.2200090717153387</v>
      </c>
      <c r="CN28" s="22">
        <f t="shared" si="12"/>
        <v>7.0022905444756525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16</v>
      </c>
      <c r="CT28" s="12">
        <f>IF('Données projet'!$A$140&gt;35,CT27+CS28-DB27,IF(A28&lt;'Données projet'!$A$140,$CQ$205^A28,IF(A28='Données projet'!$A$140,'Données projet'!$B$140,CT27+CS28-DB27)))</f>
        <v>142</v>
      </c>
      <c r="CU28" s="17">
        <f>CT28*VLOOKUP('Données projet'!$B$13,Paramètres!$A$1:$I$89,3,0)*VLOOKUP('Données projet'!$B$13,Paramètres!$A$1:$I$89,5,0)</f>
        <v>84.916000000000011</v>
      </c>
      <c r="CV28" s="13">
        <f t="shared" si="41"/>
        <v>23.33496813320572</v>
      </c>
      <c r="CW28" s="20">
        <f t="shared" si="13"/>
        <v>188.53710283199996</v>
      </c>
      <c r="CX28" s="59">
        <f t="shared" si="14"/>
        <v>481.87043616533327</v>
      </c>
      <c r="CY28" s="59">
        <f ca="1">AVERAGE(OFFSET($CX$3,0,0,'Données projet'!$E$13+1,1))-AVERAGE(OFFSET($H$3,0,0,'Données projet'!$E$13+1,1))</f>
        <v>482.74318690313885</v>
      </c>
      <c r="CZ28" s="59">
        <f t="shared" si="42"/>
        <v>205.57161411620217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7.3697674450857829</v>
      </c>
      <c r="DG28" s="21">
        <f>EXP(-LN(2)/25)*DG27+(1-EXP(-LN(2)/25))/(LN(2)/25)*Calculateur!DB28*Calculateur!DD28*VLOOKUP('Données projet'!$B$13,Paramètres!$A$1:$I$89,3,0)*0.475*44/12</f>
        <v>6.7715415295884016</v>
      </c>
      <c r="DH28" s="21">
        <f>EXP(-LN(2)/2)*DH27+(1-EXP(-LN(2)/2))/(LN(2)/2)*DB28*DE28*VLOOKUP('Données projet'!$B$13,Paramètres!$A$1:$I$89,3,0)*0.475*44/12</f>
        <v>5.511773577841776</v>
      </c>
      <c r="DI28" s="22">
        <f t="shared" si="15"/>
        <v>19.653082552515961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3.06</v>
      </c>
      <c r="DO28" s="12">
        <f>IF('Données projet'!$A$166&gt;35,DO27+DN28-DW27,IF(A28&lt;'Données projet'!$A$166,$DL$205^A28,IF(A28='Données projet'!$A$166,'Données projet'!$B$166,DO27+DN28-DW27)))</f>
        <v>76.500000000000028</v>
      </c>
      <c r="DP28" s="17">
        <f>DO28*VLOOKUP('Données projet'!$B$14,Paramètres!$A$1:$I$89,3,0)*VLOOKUP('Données projet'!$B$14,Paramètres!$A$1:$I$89,5,0)</f>
        <v>36.796500000000016</v>
      </c>
      <c r="DQ28" s="13">
        <f t="shared" si="43"/>
        <v>11.145477987186364</v>
      </c>
      <c r="DR28" s="20">
        <f t="shared" si="16"/>
        <v>83.4989449943496</v>
      </c>
      <c r="DS28" s="59">
        <f t="shared" si="17"/>
        <v>376.8322783276829</v>
      </c>
      <c r="DT28" s="59">
        <f ca="1">AVERAGE(OFFSET($DS$3,0,0,'Données projet'!$E$14+1,1))-AVERAGE(OFFSET($H$3,0,0,'Données projet'!$E$14+1,1))</f>
        <v>247.11965163963526</v>
      </c>
      <c r="DU28" s="59">
        <f t="shared" si="44"/>
        <v>61.686311966192704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7</v>
      </c>
      <c r="N29" s="13">
        <f>IF('Données projet'!$A$36&gt;35,N28+M29-V28,IF(A29&lt;'Données projet'!$A$36,$K$205^A29,IF(A29='Données projet'!$A$36,'Données projet'!$B$36,N28+M29-V28)))</f>
        <v>69</v>
      </c>
      <c r="O29" s="13">
        <f>N29*VLOOKUP('Données projet'!$B$9,Paramètres!$A$1:$I$89,3,0)*VLOOKUP('Données projet'!$B$9,Paramètres!$A$1:$I$89,5,0)</f>
        <v>62.431199999999997</v>
      </c>
      <c r="P29" s="13">
        <f t="shared" si="33"/>
        <v>17.781524466058684</v>
      </c>
      <c r="Q29" s="20">
        <f t="shared" si="2"/>
        <v>139.70382844505221</v>
      </c>
      <c r="R29" s="59">
        <f t="shared" si="0"/>
        <v>433.03716177838555</v>
      </c>
      <c r="S29" s="59">
        <f ca="1">AVERAGE(OFFSET($R$3,0,0,'Données projet'!$E$9+1,1))-AVERAGE(OFFSET($H$3,0,0,'Données projet'!$E$9+1,1))</f>
        <v>265.50419397354284</v>
      </c>
      <c r="T29" s="59">
        <f t="shared" si="34"/>
        <v>156.67965022779907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0.67466360644143319</v>
      </c>
      <c r="AA29" s="21">
        <f>EXP(-LN(2)/25)*AA28+(1-EXP(-LN(2)/25))/(LN(2)/25)*Calculateur!V29*Calculateur!X29*VLOOKUP('Données projet'!$B$9,Paramètres!$A$1:$I$89,3,0)*0.475*44/12</f>
        <v>0.6667048010657064</v>
      </c>
      <c r="AB29" s="21">
        <f>EXP(-LN(2)/2)*AB28+(1-EXP(-LN(2)/2))/(LN(2)/2)*V29*Y29*VLOOKUP('Données projet'!$B$9,Paramètres!$A$1:$I$89,3,0)*0.475*44/12</f>
        <v>2.8975645830546184</v>
      </c>
      <c r="AC29" s="22">
        <f t="shared" si="3"/>
        <v>4.2389329905617581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7</v>
      </c>
      <c r="AI29" s="13">
        <f>IF('Données projet'!$A$62&gt;35,AI28+AH29-AQ28,IF(A29&lt;'Données projet'!$A$62,$AF$205^A29,IF(A29='Données projet'!$A$62,'Données projet'!$B$62,AI28+AH29-AQ28)))</f>
        <v>69</v>
      </c>
      <c r="AJ29" s="13">
        <f>AI29*VLOOKUP('Données projet'!$B$10,Paramètres!$A$1:$I$89,3,0)*VLOOKUP('Données projet'!$B$10,Paramètres!$A$1:$I$89,5,0)</f>
        <v>69.966000000000008</v>
      </c>
      <c r="AK29" s="13">
        <f t="shared" si="35"/>
        <v>19.665013934342461</v>
      </c>
      <c r="AL29" s="20">
        <f t="shared" si="4"/>
        <v>156.10734926897979</v>
      </c>
      <c r="AM29" s="59">
        <f t="shared" si="5"/>
        <v>449.44068260231313</v>
      </c>
      <c r="AN29" s="59">
        <f ca="1">AVERAGE(OFFSET($AM$3,0,0,'Données projet'!$E$10+1,1))-AVERAGE(OFFSET($H$3,0,0,'Données projet'!$E$10+1,1))</f>
        <v>296.43642006376018</v>
      </c>
      <c r="AO29" s="59">
        <f t="shared" si="36"/>
        <v>179.56041631665812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0.7560885244602269</v>
      </c>
      <c r="AV29" s="21">
        <f>EXP(-LN(2)/25)*AV28+(1-EXP(-LN(2)/25))/(LN(2)/25)*Calculateur!AQ29*Calculateur!AS29*VLOOKUP('Données projet'!$B$10,Paramètres!$A$1:$I$89,3,0)*0.475*44/12</f>
        <v>0.74716917360811907</v>
      </c>
      <c r="AW29" s="21">
        <f>EXP(-LN(2)/2)*AW28+(1-EXP(-LN(2)/2))/(LN(2)/2)*AQ29*AT29*VLOOKUP('Données projet'!$B$10,Paramètres!$A$1:$I$89,3,0)*0.475*44/12</f>
        <v>3.2472706534232807</v>
      </c>
      <c r="AX29" s="21">
        <f t="shared" si="6"/>
        <v>4.7505283514916261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11.5</v>
      </c>
      <c r="BD29" s="12">
        <f>IF('Données projet'!$A$88&gt;35,BD28+BC29-BL28,IF(A29&lt;'Données projet'!$A$88,$BA$205^A29,IF(A29='Données projet'!$A$88,'Données projet'!$B$88,BD28+BC29-BL28)))</f>
        <v>97.499999999999957</v>
      </c>
      <c r="BE29" s="13">
        <f>BD29*VLOOKUP('Données projet'!$B$11,Paramètres!$A$1:$I$89,3,0)*VLOOKUP('Données projet'!$B$11,Paramètres!$A$1:$I$89,5,0)</f>
        <v>65.402999999999977</v>
      </c>
      <c r="BF29" s="13">
        <f t="shared" si="37"/>
        <v>18.527386684584453</v>
      </c>
      <c r="BG29" s="20">
        <f t="shared" si="7"/>
        <v>146.17875680898456</v>
      </c>
      <c r="BH29" s="59">
        <f t="shared" si="8"/>
        <v>439.5120901423179</v>
      </c>
      <c r="BI29" s="59">
        <f ca="1">AVERAGE(OFFSET($BH$3,0,0,'Données projet'!$E$11+1,1))-AVERAGE(OFFSET($H$3,0,0,'Données projet'!$E$11+1,1))</f>
        <v>181.32837315090507</v>
      </c>
      <c r="BJ29" s="59">
        <f t="shared" si="38"/>
        <v>175.03267817980338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5.9281107737111505</v>
      </c>
      <c r="BQ29" s="21">
        <f>EXP(-LN(2)/25)*BQ28+(1-EXP(-LN(2)/25))/(LN(2)/25)*Calculateur!BL29*Calculateur!BN29*VLOOKUP('Données projet'!$B$11,Paramètres!$A$1:$I$89,3,0)*0.475*44/12</f>
        <v>7.6002313581202863</v>
      </c>
      <c r="BR29" s="21">
        <f>EXP(-LN(2)/2)*BR28+(1-EXP(-LN(2)/2))/(LN(2)/2)*BL29*BO29*VLOOKUP('Données projet'!$B$11,Paramètres!$A$1:$I$89,3,0)*0.475*44/12</f>
        <v>4.2436127463721309</v>
      </c>
      <c r="BS29" s="22">
        <f t="shared" si="9"/>
        <v>17.771954878203566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9.1999999999999993</v>
      </c>
      <c r="BY29" s="12">
        <f>IF('Données projet'!$A$114&gt;35,BY28+BX29-CG28,IF(A29&lt;'Données projet'!$A$114,$BV$205^A29,IF(A29='Données projet'!$A$114,'Données projet'!$B$114,BY28+BX29-CG28)))</f>
        <v>173.69999999999993</v>
      </c>
      <c r="BZ29" s="13">
        <f>BY29*VLOOKUP('Données projet'!$B$12,Paramètres!$A$1:$I$89,3,0)*VLOOKUP('Données projet'!$B$12,Paramètres!$A$1:$I$89,5,0)</f>
        <v>81.291599999999974</v>
      </c>
      <c r="CA29" s="13">
        <f t="shared" si="39"/>
        <v>22.452692070336486</v>
      </c>
      <c r="CB29" s="20">
        <f t="shared" si="10"/>
        <v>180.68797535583599</v>
      </c>
      <c r="CC29" s="59">
        <f t="shared" si="11"/>
        <v>474.0213086891693</v>
      </c>
      <c r="CD29" s="59">
        <f ca="1">AVERAGE(OFFSET($CC$3,0,0,'Données projet'!$E$12+1,1))-AVERAGE(OFFSET($H$3,0,0,'Données projet'!$E$12+1,1))</f>
        <v>226.0452828290525</v>
      </c>
      <c r="CE29" s="59">
        <f t="shared" si="40"/>
        <v>179.89696397462069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2.3952941189294172</v>
      </c>
      <c r="CL29" s="21">
        <f>EXP(-LN(2)/25)*CL28+(1-EXP(-LN(2)/25))/(LN(2)/25)*Calculateur!CG29*Calculateur!CI29*VLOOKUP('Données projet'!$B$12,Paramètres!$A$1:$I$89,3,0)*0.475*44/12</f>
        <v>2.275115415987556</v>
      </c>
      <c r="CM29" s="21">
        <f>EXP(-LN(2)/2)*CM28+(1-EXP(-LN(2)/2))/(LN(2)/2)*CG29*CJ29*VLOOKUP('Données projet'!$B$12,Paramètres!$A$1:$I$89,3,0)*0.475*44/12</f>
        <v>1.5697834689055685</v>
      </c>
      <c r="CN29" s="22">
        <f t="shared" si="12"/>
        <v>6.2401930038225419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16</v>
      </c>
      <c r="CT29" s="12">
        <f>IF('Données projet'!$A$140&gt;35,CT28+CS29-DB28,IF(A29&lt;'Données projet'!$A$140,$CQ$205^A29,IF(A29='Données projet'!$A$140,'Données projet'!$B$140,CT28+CS29-DB28)))</f>
        <v>158</v>
      </c>
      <c r="CU29" s="17">
        <f>CT29*VLOOKUP('Données projet'!$B$13,Paramètres!$A$1:$I$89,3,0)*VLOOKUP('Données projet'!$B$13,Paramètres!$A$1:$I$89,5,0)</f>
        <v>94.484000000000009</v>
      </c>
      <c r="CV29" s="13">
        <f t="shared" si="41"/>
        <v>25.643578691511802</v>
      </c>
      <c r="CW29" s="20">
        <f t="shared" si="13"/>
        <v>209.22219955438308</v>
      </c>
      <c r="CX29" s="59">
        <f t="shared" si="14"/>
        <v>502.55553288771637</v>
      </c>
      <c r="CY29" s="59">
        <f ca="1">AVERAGE(OFFSET($CX$3,0,0,'Données projet'!$E$13+1,1))-AVERAGE(OFFSET($H$3,0,0,'Données projet'!$E$13+1,1))</f>
        <v>482.74318690313885</v>
      </c>
      <c r="CZ29" s="59">
        <f t="shared" si="42"/>
        <v>205.57161411620217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7.2252508006019367</v>
      </c>
      <c r="DG29" s="21">
        <f>EXP(-LN(2)/25)*DG28+(1-EXP(-LN(2)/25))/(LN(2)/25)*Calculateur!DB29*Calculateur!DD29*VLOOKUP('Données projet'!$B$13,Paramètres!$A$1:$I$89,3,0)*0.475*44/12</f>
        <v>6.5863733703619145</v>
      </c>
      <c r="DH29" s="21">
        <f>EXP(-LN(2)/2)*DH28+(1-EXP(-LN(2)/2))/(LN(2)/2)*DB29*DE29*VLOOKUP('Données projet'!$B$13,Paramètres!$A$1:$I$89,3,0)*0.475*44/12</f>
        <v>3.8974124732567592</v>
      </c>
      <c r="DI29" s="22">
        <f t="shared" si="15"/>
        <v>17.70903664422061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3.06</v>
      </c>
      <c r="DO29" s="12">
        <f>IF('Données projet'!$A$166&gt;35,DO28+DN29-DW28,IF(A29&lt;'Données projet'!$A$166,$DL$205^A29,IF(A29='Données projet'!$A$166,'Données projet'!$B$166,DO28+DN29-DW28)))</f>
        <v>79.560000000000031</v>
      </c>
      <c r="DP29" s="17">
        <f>DO29*VLOOKUP('Données projet'!$B$14,Paramètres!$A$1:$I$89,3,0)*VLOOKUP('Données projet'!$B$14,Paramètres!$A$1:$I$89,5,0)</f>
        <v>38.268360000000015</v>
      </c>
      <c r="DQ29" s="13">
        <f t="shared" si="43"/>
        <v>11.538500070802147</v>
      </c>
      <c r="DR29" s="20">
        <f t="shared" si="16"/>
        <v>86.746947956647091</v>
      </c>
      <c r="DS29" s="59">
        <f t="shared" si="17"/>
        <v>380.08028128998041</v>
      </c>
      <c r="DT29" s="59">
        <f ca="1">AVERAGE(OFFSET($DS$3,0,0,'Données projet'!$E$14+1,1))-AVERAGE(OFFSET($H$3,0,0,'Données projet'!$E$14+1,1))</f>
        <v>247.11965163963526</v>
      </c>
      <c r="DU29" s="59">
        <f t="shared" si="44"/>
        <v>61.686311966192704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7</v>
      </c>
      <c r="N30" s="13">
        <f>IF('Données projet'!$A$36&gt;35,N29+M30-V29,IF(A30&lt;'Données projet'!$A$36,$K$205^A30,IF(A30='Données projet'!$A$36,'Données projet'!$B$36,N29+M30-V29)))</f>
        <v>76</v>
      </c>
      <c r="O30" s="13">
        <f>N30*VLOOKUP('Données projet'!$B$9,Paramètres!$A$1:$I$89,3,0)*VLOOKUP('Données projet'!$B$9,Paramètres!$A$1:$I$89,5,0)</f>
        <v>68.764799999999994</v>
      </c>
      <c r="P30" s="13">
        <f t="shared" si="33"/>
        <v>19.366396769521369</v>
      </c>
      <c r="Q30" s="20">
        <f t="shared" si="2"/>
        <v>153.49516770691636</v>
      </c>
      <c r="R30" s="59">
        <f t="shared" si="0"/>
        <v>446.82850104024965</v>
      </c>
      <c r="S30" s="59">
        <f ca="1">AVERAGE(OFFSET($R$3,0,0,'Données projet'!$E$9+1,1))-AVERAGE(OFFSET($H$3,0,0,'Données projet'!$E$9+1,1))</f>
        <v>265.50419397354284</v>
      </c>
      <c r="T30" s="59">
        <f t="shared" si="34"/>
        <v>156.67965022779907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0.66143386462328391</v>
      </c>
      <c r="AA30" s="21">
        <f>EXP(-LN(2)/25)*AA29+(1-EXP(-LN(2)/25))/(LN(2)/25)*Calculateur!V30*Calculateur!X30*VLOOKUP('Données projet'!$B$9,Paramètres!$A$1:$I$89,3,0)*0.475*44/12</f>
        <v>0.6484737232200829</v>
      </c>
      <c r="AB30" s="21">
        <f>EXP(-LN(2)/2)*AB29+(1-EXP(-LN(2)/2))/(LN(2)/2)*V30*Y30*VLOOKUP('Données projet'!$B$9,Paramètres!$A$1:$I$89,3,0)*0.475*44/12</f>
        <v>2.0488875656038918</v>
      </c>
      <c r="AC30" s="22">
        <f t="shared" si="3"/>
        <v>3.3587951534472587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7</v>
      </c>
      <c r="AI30" s="13">
        <f>IF('Données projet'!$A$62&gt;35,AI29+AH30-AQ29,IF(A30&lt;'Données projet'!$A$62,$AF$205^A30,IF(A30='Données projet'!$A$62,'Données projet'!$B$62,AI29+AH30-AQ29)))</f>
        <v>76</v>
      </c>
      <c r="AJ30" s="13">
        <f>AI30*VLOOKUP('Données projet'!$B$10,Paramètres!$A$1:$I$89,3,0)*VLOOKUP('Données projet'!$B$10,Paramètres!$A$1:$I$89,5,0)</f>
        <v>77.064000000000007</v>
      </c>
      <c r="AK30" s="13">
        <f t="shared" si="35"/>
        <v>21.417762186678065</v>
      </c>
      <c r="AL30" s="20">
        <f t="shared" si="4"/>
        <v>171.52240247513097</v>
      </c>
      <c r="AM30" s="59">
        <f t="shared" si="5"/>
        <v>464.85573580846426</v>
      </c>
      <c r="AN30" s="59">
        <f ca="1">AVERAGE(OFFSET($AM$3,0,0,'Données projet'!$E$10+1,1))-AVERAGE(OFFSET($H$3,0,0,'Données projet'!$E$10+1,1))</f>
        <v>296.43642006376018</v>
      </c>
      <c r="AO30" s="59">
        <f t="shared" si="36"/>
        <v>179.56041631665812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0.74126208966402518</v>
      </c>
      <c r="AV30" s="21">
        <f>EXP(-LN(2)/25)*AV29+(1-EXP(-LN(2)/25))/(LN(2)/25)*Calculateur!AQ30*Calculateur!AS30*VLOOKUP('Données projet'!$B$10,Paramètres!$A$1:$I$89,3,0)*0.475*44/12</f>
        <v>0.72673779326388588</v>
      </c>
      <c r="AW30" s="21">
        <f>EXP(-LN(2)/2)*AW29+(1-EXP(-LN(2)/2))/(LN(2)/2)*AQ30*AT30*VLOOKUP('Données projet'!$B$10,Paramètres!$A$1:$I$89,3,0)*0.475*44/12</f>
        <v>2.2961670993836729</v>
      </c>
      <c r="AX30" s="21">
        <f t="shared" si="6"/>
        <v>3.764166982311584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11.5</v>
      </c>
      <c r="BD30" s="12">
        <f>IF('Données projet'!$A$88&gt;35,BD29+BC30-BL29,IF(A30&lt;'Données projet'!$A$88,$BA$205^A30,IF(A30='Données projet'!$A$88,'Données projet'!$B$88,BD29+BC30-BL29)))</f>
        <v>108.99999999999996</v>
      </c>
      <c r="BE30" s="13">
        <f>BD30*VLOOKUP('Données projet'!$B$11,Paramètres!$A$1:$I$89,3,0)*VLOOKUP('Données projet'!$B$11,Paramètres!$A$1:$I$89,5,0)</f>
        <v>73.117199999999983</v>
      </c>
      <c r="BF30" s="13">
        <f t="shared" si="37"/>
        <v>20.445594395400459</v>
      </c>
      <c r="BG30" s="20">
        <f t="shared" si="7"/>
        <v>162.95520023865575</v>
      </c>
      <c r="BH30" s="59">
        <f t="shared" si="8"/>
        <v>456.28853357198909</v>
      </c>
      <c r="BI30" s="59">
        <f ca="1">AVERAGE(OFFSET($BH$3,0,0,'Données projet'!$E$11+1,1))-AVERAGE(OFFSET($H$3,0,0,'Données projet'!$E$11+1,1))</f>
        <v>181.32837315090507</v>
      </c>
      <c r="BJ30" s="59">
        <f t="shared" si="38"/>
        <v>175.03267817980338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5.8118641372292172</v>
      </c>
      <c r="BQ30" s="21">
        <f>EXP(-LN(2)/25)*BQ29+(1-EXP(-LN(2)/25))/(LN(2)/25)*Calculateur!BL30*Calculateur!BN30*VLOOKUP('Données projet'!$B$11,Paramètres!$A$1:$I$89,3,0)*0.475*44/12</f>
        <v>7.3924026319536909</v>
      </c>
      <c r="BR30" s="21">
        <f>EXP(-LN(2)/2)*BR29+(1-EXP(-LN(2)/2))/(LN(2)/2)*BL30*BO30*VLOOKUP('Données projet'!$B$11,Paramètres!$A$1:$I$89,3,0)*0.475*44/12</f>
        <v>3.0006873496894024</v>
      </c>
      <c r="BS30" s="22">
        <f t="shared" si="9"/>
        <v>16.204954118872312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9.1999999999999993</v>
      </c>
      <c r="BY30" s="12">
        <f>IF('Données projet'!$A$114&gt;35,BY29+BX30-CG29,IF(A30&lt;'Données projet'!$A$114,$BV$205^A30,IF(A30='Données projet'!$A$114,'Données projet'!$B$114,BY29+BX30-CG29)))</f>
        <v>182.89999999999992</v>
      </c>
      <c r="BZ30" s="13">
        <f>BY30*VLOOKUP('Données projet'!$B$12,Paramètres!$A$1:$I$89,3,0)*VLOOKUP('Données projet'!$B$12,Paramètres!$A$1:$I$89,5,0)</f>
        <v>85.597199999999958</v>
      </c>
      <c r="CA30" s="13">
        <f t="shared" si="39"/>
        <v>23.500295908287228</v>
      </c>
      <c r="CB30" s="20">
        <f t="shared" si="10"/>
        <v>190.01147204026685</v>
      </c>
      <c r="CC30" s="59">
        <f t="shared" si="11"/>
        <v>483.34480537360014</v>
      </c>
      <c r="CD30" s="59">
        <f ca="1">AVERAGE(OFFSET($CC$3,0,0,'Données projet'!$E$12+1,1))-AVERAGE(OFFSET($H$3,0,0,'Données projet'!$E$12+1,1))</f>
        <v>226.0452828290525</v>
      </c>
      <c r="CE30" s="59">
        <f t="shared" si="40"/>
        <v>179.89696397462069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2.3483238622423634</v>
      </c>
      <c r="CL30" s="21">
        <f>EXP(-LN(2)/25)*CL29+(1-EXP(-LN(2)/25))/(LN(2)/25)*Calculateur!CG30*Calculateur!CI30*VLOOKUP('Données projet'!$B$12,Paramètres!$A$1:$I$89,3,0)*0.475*44/12</f>
        <v>2.2129022652942565</v>
      </c>
      <c r="CM30" s="21">
        <f>EXP(-LN(2)/2)*CM29+(1-EXP(-LN(2)/2))/(LN(2)/2)*CG30*CJ30*VLOOKUP('Données projet'!$B$12,Paramètres!$A$1:$I$89,3,0)*0.475*44/12</f>
        <v>1.1100045358576693</v>
      </c>
      <c r="CN30" s="22">
        <f t="shared" si="12"/>
        <v>5.6712306633942893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16</v>
      </c>
      <c r="CT30" s="12">
        <f>IF('Données projet'!$A$140&gt;35,CT29+CS30-DB29,IF(A30&lt;'Données projet'!$A$140,$CQ$205^A30,IF(A30='Données projet'!$A$140,'Données projet'!$B$140,CT29+CS30-DB29)))</f>
        <v>174</v>
      </c>
      <c r="CU30" s="17">
        <f>CT30*VLOOKUP('Données projet'!$B$13,Paramètres!$A$1:$I$89,3,0)*VLOOKUP('Données projet'!$B$13,Paramètres!$A$1:$I$89,5,0)</f>
        <v>104.05200000000001</v>
      </c>
      <c r="CV30" s="13">
        <f t="shared" si="41"/>
        <v>27.925087771564417</v>
      </c>
      <c r="CW30" s="20">
        <f t="shared" si="13"/>
        <v>229.86009453547467</v>
      </c>
      <c r="CX30" s="59">
        <f t="shared" si="14"/>
        <v>523.19342786880793</v>
      </c>
      <c r="CY30" s="59">
        <f ca="1">AVERAGE(OFFSET($CX$3,0,0,'Données projet'!$E$13+1,1))-AVERAGE(OFFSET($H$3,0,0,'Données projet'!$E$13+1,1))</f>
        <v>482.74318690313885</v>
      </c>
      <c r="CZ30" s="59">
        <f t="shared" si="42"/>
        <v>205.57161411620217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7.0835680393699691</v>
      </c>
      <c r="DG30" s="21">
        <f>EXP(-LN(2)/25)*DG29+(1-EXP(-LN(2)/25))/(LN(2)/25)*Calculateur!DB30*Calculateur!DD30*VLOOKUP('Données projet'!$B$13,Paramètres!$A$1:$I$89,3,0)*0.475*44/12</f>
        <v>6.4062686441870458</v>
      </c>
      <c r="DH30" s="21">
        <f>EXP(-LN(2)/2)*DH29+(1-EXP(-LN(2)/2))/(LN(2)/2)*DB30*DE30*VLOOKUP('Données projet'!$B$13,Paramètres!$A$1:$I$89,3,0)*0.475*44/12</f>
        <v>2.7558867889208885</v>
      </c>
      <c r="DI30" s="22">
        <f t="shared" si="15"/>
        <v>16.245723472477906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3.06</v>
      </c>
      <c r="DO30" s="12">
        <f>IF('Données projet'!$A$166&gt;35,DO29+DN30-DW29,IF(A30&lt;'Données projet'!$A$166,$DL$205^A30,IF(A30='Données projet'!$A$166,'Données projet'!$B$166,DO29+DN30-DW29)))</f>
        <v>82.620000000000033</v>
      </c>
      <c r="DP30" s="17">
        <f>DO30*VLOOKUP('Données projet'!$B$14,Paramètres!$A$1:$I$89,3,0)*VLOOKUP('Données projet'!$B$14,Paramètres!$A$1:$I$89,5,0)</f>
        <v>39.740220000000015</v>
      </c>
      <c r="DQ30" s="13">
        <f t="shared" si="43"/>
        <v>11.929766100261116</v>
      </c>
      <c r="DR30" s="20">
        <f t="shared" si="16"/>
        <v>89.991892457954805</v>
      </c>
      <c r="DS30" s="59">
        <f t="shared" si="17"/>
        <v>383.32522579128812</v>
      </c>
      <c r="DT30" s="59">
        <f ca="1">AVERAGE(OFFSET($DS$3,0,0,'Données projet'!$E$14+1,1))-AVERAGE(OFFSET($H$3,0,0,'Données projet'!$E$14+1,1))</f>
        <v>247.11965163963526</v>
      </c>
      <c r="DU30" s="59">
        <f t="shared" si="44"/>
        <v>61.686311966192704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7</v>
      </c>
      <c r="N31" s="13">
        <f>IF('Données projet'!$A$36&gt;35,N30+M31-V30,IF(A31&lt;'Données projet'!$A$36,$K$205^A31,IF(A31='Données projet'!$A$36,'Données projet'!$B$36,N30+M31-V30)))</f>
        <v>83</v>
      </c>
      <c r="O31" s="13">
        <f>N31*VLOOKUP('Données projet'!$B$9,Paramètres!$A$1:$I$89,3,0)*VLOOKUP('Données projet'!$B$9,Paramètres!$A$1:$I$89,5,0)</f>
        <v>75.098399999999998</v>
      </c>
      <c r="P31" s="13">
        <f t="shared" si="33"/>
        <v>20.934343091450742</v>
      </c>
      <c r="Q31" s="20">
        <f t="shared" si="2"/>
        <v>167.25702755094335</v>
      </c>
      <c r="R31" s="59">
        <f t="shared" si="0"/>
        <v>460.59036088427666</v>
      </c>
      <c r="S31" s="59">
        <f ca="1">AVERAGE(OFFSET($R$3,0,0,'Données projet'!$E$9+1,1))-AVERAGE(OFFSET($H$3,0,0,'Données projet'!$E$9+1,1))</f>
        <v>265.50419397354284</v>
      </c>
      <c r="T31" s="59">
        <f t="shared" si="34"/>
        <v>156.67965022779907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0.64846354997284283</v>
      </c>
      <c r="AA31" s="21">
        <f>EXP(-LN(2)/25)*AA30+(1-EXP(-LN(2)/25))/(LN(2)/25)*Calculateur!V31*Calculateur!X31*VLOOKUP('Données projet'!$B$9,Paramètres!$A$1:$I$89,3,0)*0.475*44/12</f>
        <v>0.63074117515687877</v>
      </c>
      <c r="AB31" s="21">
        <f>EXP(-LN(2)/2)*AB30+(1-EXP(-LN(2)/2))/(LN(2)/2)*V31*Y31*VLOOKUP('Données projet'!$B$9,Paramètres!$A$1:$I$89,3,0)*0.475*44/12</f>
        <v>1.4487822915273092</v>
      </c>
      <c r="AC31" s="22">
        <f t="shared" si="3"/>
        <v>2.727987016657031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7</v>
      </c>
      <c r="AI31" s="13">
        <f>IF('Données projet'!$A$62&gt;35,AI30+AH31-AQ30,IF(A31&lt;'Données projet'!$A$62,$AF$205^A31,IF(A31='Données projet'!$A$62,'Données projet'!$B$62,AI30+AH31-AQ30)))</f>
        <v>83</v>
      </c>
      <c r="AJ31" s="13">
        <f>AI31*VLOOKUP('Données projet'!$B$10,Paramètres!$A$1:$I$89,3,0)*VLOOKUP('Données projet'!$B$10,Paramètres!$A$1:$I$89,5,0)</f>
        <v>84.162000000000006</v>
      </c>
      <c r="AK31" s="13">
        <f t="shared" si="35"/>
        <v>23.151791590506594</v>
      </c>
      <c r="AL31" s="20">
        <f t="shared" si="4"/>
        <v>186.90485368679899</v>
      </c>
      <c r="AM31" s="59">
        <f t="shared" si="5"/>
        <v>480.23818702013227</v>
      </c>
      <c r="AN31" s="59">
        <f ca="1">AVERAGE(OFFSET($AM$3,0,0,'Données projet'!$E$10+1,1))-AVERAGE(OFFSET($H$3,0,0,'Données projet'!$E$10+1,1))</f>
        <v>296.43642006376018</v>
      </c>
      <c r="AO31" s="59">
        <f t="shared" si="36"/>
        <v>179.56041631665812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0.7267263922109447</v>
      </c>
      <c r="AV31" s="21">
        <f>EXP(-LN(2)/25)*AV30+(1-EXP(-LN(2)/25))/(LN(2)/25)*Calculateur!AQ31*Calculateur!AS31*VLOOKUP('Données projet'!$B$10,Paramètres!$A$1:$I$89,3,0)*0.475*44/12</f>
        <v>0.7068651100896054</v>
      </c>
      <c r="AW31" s="21">
        <f>EXP(-LN(2)/2)*AW30+(1-EXP(-LN(2)/2))/(LN(2)/2)*AQ31*AT31*VLOOKUP('Données projet'!$B$10,Paramètres!$A$1:$I$89,3,0)*0.475*44/12</f>
        <v>1.6236353267116403</v>
      </c>
      <c r="AX31" s="21">
        <f t="shared" si="6"/>
        <v>3.0572268290121904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11.5</v>
      </c>
      <c r="BD31" s="12">
        <f>IF('Données projet'!$A$88&gt;35,BD30+BC31-BL30,IF(A31&lt;'Données projet'!$A$88,$BA$205^A31,IF(A31='Données projet'!$A$88,'Données projet'!$B$88,BD30+BC31-BL30)))</f>
        <v>120.49999999999996</v>
      </c>
      <c r="BE31" s="13">
        <f>BD31*VLOOKUP('Données projet'!$B$11,Paramètres!$A$1:$I$89,3,0)*VLOOKUP('Données projet'!$B$11,Paramètres!$A$1:$I$89,5,0)</f>
        <v>80.831399999999974</v>
      </c>
      <c r="BF31" s="13">
        <f t="shared" si="37"/>
        <v>22.340343270205771</v>
      </c>
      <c r="BG31" s="20">
        <f t="shared" si="7"/>
        <v>179.69078619560835</v>
      </c>
      <c r="BH31" s="59">
        <f t="shared" si="8"/>
        <v>473.0241195289417</v>
      </c>
      <c r="BI31" s="59">
        <f ca="1">AVERAGE(OFFSET($BH$3,0,0,'Données projet'!$E$11+1,1))-AVERAGE(OFFSET($H$3,0,0,'Données projet'!$E$11+1,1))</f>
        <v>181.32837315090507</v>
      </c>
      <c r="BJ31" s="59">
        <f t="shared" si="38"/>
        <v>175.03267817980338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5.6978970263852471</v>
      </c>
      <c r="BQ31" s="21">
        <f>EXP(-LN(2)/25)*BQ30+(1-EXP(-LN(2)/25))/(LN(2)/25)*Calculateur!BL31*Calculateur!BN31*VLOOKUP('Données projet'!$B$11,Paramètres!$A$1:$I$89,3,0)*0.475*44/12</f>
        <v>7.1902569932333584</v>
      </c>
      <c r="BR31" s="21">
        <f>EXP(-LN(2)/2)*BR30+(1-EXP(-LN(2)/2))/(LN(2)/2)*BL31*BO31*VLOOKUP('Données projet'!$B$11,Paramètres!$A$1:$I$89,3,0)*0.475*44/12</f>
        <v>2.1218063731860655</v>
      </c>
      <c r="BS31" s="22">
        <f t="shared" si="9"/>
        <v>15.009960392804672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9.1999999999999993</v>
      </c>
      <c r="BY31" s="12">
        <f>IF('Données projet'!$A$114&gt;35,BY30+BX31-CG30,IF(A31&lt;'Données projet'!$A$114,$BV$205^A31,IF(A31='Données projet'!$A$114,'Données projet'!$B$114,BY30+BX31-CG30)))</f>
        <v>192.09999999999991</v>
      </c>
      <c r="BZ31" s="13">
        <f>BY31*VLOOKUP('Données projet'!$B$12,Paramètres!$A$1:$I$89,3,0)*VLOOKUP('Données projet'!$B$12,Paramètres!$A$1:$I$89,5,0)</f>
        <v>89.902799999999957</v>
      </c>
      <c r="CA31" s="13">
        <f t="shared" si="39"/>
        <v>24.541781220398729</v>
      </c>
      <c r="CB31" s="20">
        <f t="shared" si="10"/>
        <v>199.32431229219435</v>
      </c>
      <c r="CC31" s="59">
        <f t="shared" si="11"/>
        <v>492.65764562552766</v>
      </c>
      <c r="CD31" s="59">
        <f ca="1">AVERAGE(OFFSET($CC$3,0,0,'Données projet'!$E$12+1,1))-AVERAGE(OFFSET($H$3,0,0,'Données projet'!$E$12+1,1))</f>
        <v>226.0452828290525</v>
      </c>
      <c r="CE31" s="59">
        <f t="shared" si="40"/>
        <v>179.89696397462069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2.3022746636399152</v>
      </c>
      <c r="CL31" s="21">
        <f>EXP(-LN(2)/25)*CL30+(1-EXP(-LN(2)/25))/(LN(2)/25)*Calculateur!CG31*Calculateur!CI31*VLOOKUP('Données projet'!$B$12,Paramètres!$A$1:$I$89,3,0)*0.475*44/12</f>
        <v>2.1523903364783123</v>
      </c>
      <c r="CM31" s="21">
        <f>EXP(-LN(2)/2)*CM30+(1-EXP(-LN(2)/2))/(LN(2)/2)*CG31*CJ31*VLOOKUP('Données projet'!$B$12,Paramètres!$A$1:$I$89,3,0)*0.475*44/12</f>
        <v>0.78489173445278426</v>
      </c>
      <c r="CN31" s="22">
        <f t="shared" si="12"/>
        <v>5.2395567345710115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>
        <f>VLOOKUP(A31,'Données projet'!$A$139:$I$159,2,0)</f>
        <v>190</v>
      </c>
      <c r="CR31" s="12">
        <f>VLOOKUP(A31,'Données projet'!$A$139:$I$159,9,0)</f>
        <v>16</v>
      </c>
      <c r="CS31" s="12">
        <f t="array" ref="CS31">INDEX(CR:CR,MIN(IF(ISNUMBER(CR31:CR227),ROW(CR31:CR227),"")))</f>
        <v>16</v>
      </c>
      <c r="CT31" s="12">
        <f>IF('Données projet'!$A$140&gt;35,CT30+CS31-DB30,IF(A31&lt;'Données projet'!$A$140,$CQ$205^A31,IF(A31='Données projet'!$A$140,'Données projet'!$B$140,CT30+CS31-DB30)))</f>
        <v>190</v>
      </c>
      <c r="CU31" s="17">
        <f>CT31*VLOOKUP('Données projet'!$B$13,Paramètres!$A$1:$I$89,3,0)*VLOOKUP('Données projet'!$B$13,Paramètres!$A$1:$I$89,5,0)</f>
        <v>113.62</v>
      </c>
      <c r="CV31" s="13">
        <f t="shared" si="41"/>
        <v>30.182270904187739</v>
      </c>
      <c r="CW31" s="20">
        <f t="shared" si="13"/>
        <v>250.45562182479364</v>
      </c>
      <c r="CX31" s="59">
        <f t="shared" si="14"/>
        <v>543.78895515812701</v>
      </c>
      <c r="CY31" s="59">
        <f ca="1">AVERAGE(OFFSET($CX$3,0,0,'Données projet'!$E$13+1,1))-AVERAGE(OFFSET($H$3,0,0,'Données projet'!$E$13+1,1))</f>
        <v>482.74318690313885</v>
      </c>
      <c r="CZ31" s="59">
        <f t="shared" si="42"/>
        <v>205.57161411620217</v>
      </c>
      <c r="DA31" s="15">
        <f>IF(ISNA(VLOOKUP(A31,'Données projet'!$A$139:$I$159,3,0)),0,VLOOKUP(A31,'Données projet'!$A$139:$I$159,3,0))</f>
        <v>5</v>
      </c>
      <c r="DB31" s="15">
        <f>IF(ISNA(VLOOKUP(A31,'Données projet'!$A$139:$I$159,4,0)),0,VLOOKUP(A31,'Données projet'!$A$139:$I$159,4,0))</f>
        <v>35</v>
      </c>
      <c r="DC31" s="16">
        <f>IF(ISNA(VLOOKUP(A31,'Données projet'!$A$139:$I$159,5,0)),0%,VLOOKUP(A31,'Données projet'!$A$139:$I$159,5,0)*VLOOKUP('Données projet'!$B$13,Paramètres!$A$1:$I$89,7,0))</f>
        <v>0.18000000000000002</v>
      </c>
      <c r="DD31" s="16">
        <f>IF(ISNA(VLOOKUP(A31,'Données projet'!$A$139:$I$159,6,0)),0%,VLOOKUP(A31,'Données projet'!$A$139:$I$159,6,0)*VLOOKUP('Données projet'!$B$13,Paramètres!$A$1:$I$89,7,0))</f>
        <v>0.13500000000000001</v>
      </c>
      <c r="DE31" s="16">
        <f>IF(ISNA(VLOOKUP(A31,'Données projet'!$A$139:$I$159,7,0)),0%,VLOOKUP(A31,'Données projet'!$A$139:$I$159,7,0))</f>
        <v>0.3</v>
      </c>
      <c r="DF31" s="21">
        <f>EXP(-LN(2)/35)*DF30+(1-EXP(-LN(2)/35))/(LN(2)/35)*DB31*DC31*VLOOKUP('Données projet'!$B$13,Paramètres!$A$1:$I$89,3,0)*0.475*44/12</f>
        <v>11.942362520090734</v>
      </c>
      <c r="DG31" s="21">
        <f>EXP(-LN(2)/25)*DG30+(1-EXP(-LN(2)/25))/(LN(2)/25)*Calculateur!DB31*Calculateur!DD31*VLOOKUP('Données projet'!$B$13,Paramètres!$A$1:$I$89,3,0)*0.475*44/12</f>
        <v>9.9646047045696271</v>
      </c>
      <c r="DH31" s="21">
        <f>EXP(-LN(2)/2)*DH30+(1-EXP(-LN(2)/2))/(LN(2)/2)*DB31*DE31*VLOOKUP('Données projet'!$B$13,Paramètres!$A$1:$I$89,3,0)*0.475*44/12</f>
        <v>9.0579928327970602</v>
      </c>
      <c r="DI31" s="22">
        <f t="shared" si="15"/>
        <v>30.964960057457425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3.06</v>
      </c>
      <c r="DO31" s="12">
        <f>IF('Données projet'!$A$166&gt;35,DO30+DN31-DW30,IF(A31&lt;'Données projet'!$A$166,$DL$205^A31,IF(A31='Données projet'!$A$166,'Données projet'!$B$166,DO30+DN31-DW30)))</f>
        <v>85.680000000000035</v>
      </c>
      <c r="DP31" s="17">
        <f>DO31*VLOOKUP('Données projet'!$B$14,Paramètres!$A$1:$I$89,3,0)*VLOOKUP('Données projet'!$B$14,Paramètres!$A$1:$I$89,5,0)</f>
        <v>41.212080000000022</v>
      </c>
      <c r="DQ31" s="13">
        <f t="shared" si="43"/>
        <v>12.319348562583512</v>
      </c>
      <c r="DR31" s="20">
        <f t="shared" si="16"/>
        <v>93.233904746499661</v>
      </c>
      <c r="DS31" s="59">
        <f t="shared" si="17"/>
        <v>386.56723807983298</v>
      </c>
      <c r="DT31" s="59">
        <f ca="1">AVERAGE(OFFSET($DS$3,0,0,'Données projet'!$E$14+1,1))-AVERAGE(OFFSET($H$3,0,0,'Données projet'!$E$14+1,1))</f>
        <v>247.11965163963526</v>
      </c>
      <c r="DU31" s="59">
        <f t="shared" si="44"/>
        <v>61.686311966192704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7</v>
      </c>
      <c r="N32" s="13">
        <f>IF('Données projet'!$A$36&gt;35,N31+M32-V31,IF(A32&lt;'Données projet'!$A$36,$K$205^A32,IF(A32='Données projet'!$A$36,'Données projet'!$B$36,N31+M32-V31)))</f>
        <v>90</v>
      </c>
      <c r="O32" s="13">
        <f>N32*VLOOKUP('Données projet'!$B$9,Paramètres!$A$1:$I$89,3,0)*VLOOKUP('Données projet'!$B$9,Paramètres!$A$1:$I$89,5,0)</f>
        <v>81.432000000000002</v>
      </c>
      <c r="P32" s="13">
        <f t="shared" si="33"/>
        <v>22.486953220240881</v>
      </c>
      <c r="Q32" s="20">
        <f t="shared" si="2"/>
        <v>180.99217685858619</v>
      </c>
      <c r="R32" s="59">
        <f t="shared" si="0"/>
        <v>474.32551019191953</v>
      </c>
      <c r="S32" s="59">
        <f ca="1">AVERAGE(OFFSET($R$3,0,0,'Données projet'!$E$9+1,1))-AVERAGE(OFFSET($H$3,0,0,'Données projet'!$E$9+1,1))</f>
        <v>265.50419397354284</v>
      </c>
      <c r="T32" s="59">
        <f t="shared" si="34"/>
        <v>156.67965022779907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0.6357475752815861</v>
      </c>
      <c r="AA32" s="21">
        <f>EXP(-LN(2)/25)*AA31+(1-EXP(-LN(2)/25))/(LN(2)/25)*Calculateur!V32*Calculateur!X32*VLOOKUP('Données projet'!$B$9,Paramètres!$A$1:$I$89,3,0)*0.475*44/12</f>
        <v>0.61349352455297712</v>
      </c>
      <c r="AB32" s="21">
        <f>EXP(-LN(2)/2)*AB31+(1-EXP(-LN(2)/2))/(LN(2)/2)*V32*Y32*VLOOKUP('Données projet'!$B$9,Paramètres!$A$1:$I$89,3,0)*0.475*44/12</f>
        <v>1.0244437828019459</v>
      </c>
      <c r="AC32" s="22">
        <f t="shared" si="3"/>
        <v>2.273684882636509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7</v>
      </c>
      <c r="AI32" s="13">
        <f>IF('Données projet'!$A$62&gt;35,AI31+AH32-AQ31,IF(A32&lt;'Données projet'!$A$62,$AF$205^A32,IF(A32='Données projet'!$A$62,'Données projet'!$B$62,AI31+AH32-AQ31)))</f>
        <v>90</v>
      </c>
      <c r="AJ32" s="13">
        <f>AI32*VLOOKUP('Données projet'!$B$10,Paramètres!$A$1:$I$89,3,0)*VLOOKUP('Données projet'!$B$10,Paramètres!$A$1:$I$89,5,0)</f>
        <v>91.26</v>
      </c>
      <c r="AK32" s="13">
        <f t="shared" si="35"/>
        <v>24.868860330902777</v>
      </c>
      <c r="AL32" s="20">
        <f t="shared" si="4"/>
        <v>202.25776507632233</v>
      </c>
      <c r="AM32" s="59">
        <f t="shared" si="5"/>
        <v>495.59109840965561</v>
      </c>
      <c r="AN32" s="59">
        <f ca="1">AVERAGE(OFFSET($AM$3,0,0,'Données projet'!$E$10+1,1))-AVERAGE(OFFSET($H$3,0,0,'Données projet'!$E$10+1,1))</f>
        <v>296.43642006376018</v>
      </c>
      <c r="AO32" s="59">
        <f t="shared" si="36"/>
        <v>179.56041631665812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0.71247573091901906</v>
      </c>
      <c r="AV32" s="21">
        <f>EXP(-LN(2)/25)*AV31+(1-EXP(-LN(2)/25))/(LN(2)/25)*Calculateur!AQ32*Calculateur!AS32*VLOOKUP('Données projet'!$B$10,Paramètres!$A$1:$I$89,3,0)*0.475*44/12</f>
        <v>0.68753584648178456</v>
      </c>
      <c r="AW32" s="21">
        <f>EXP(-LN(2)/2)*AW31+(1-EXP(-LN(2)/2))/(LN(2)/2)*AQ32*AT32*VLOOKUP('Données projet'!$B$10,Paramètres!$A$1:$I$89,3,0)*0.475*44/12</f>
        <v>1.1480835496918365</v>
      </c>
      <c r="AX32" s="21">
        <f t="shared" si="6"/>
        <v>2.5480951270926404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11.5</v>
      </c>
      <c r="BD32" s="12">
        <f>IF('Données projet'!$A$88&gt;35,BD31+BC32-BL31,IF(A32&lt;'Données projet'!$A$88,$BA$205^A32,IF(A32='Données projet'!$A$88,'Données projet'!$B$88,BD31+BC32-BL31)))</f>
        <v>131.99999999999994</v>
      </c>
      <c r="BE32" s="13">
        <f>BD32*VLOOKUP('Données projet'!$B$11,Paramètres!$A$1:$I$89,3,0)*VLOOKUP('Données projet'!$B$11,Paramètres!$A$1:$I$89,5,0)</f>
        <v>88.545599999999965</v>
      </c>
      <c r="BF32" s="13">
        <f t="shared" si="37"/>
        <v>24.214126834865596</v>
      </c>
      <c r="BG32" s="20">
        <f t="shared" si="7"/>
        <v>196.38985757072419</v>
      </c>
      <c r="BH32" s="59">
        <f t="shared" si="8"/>
        <v>489.7231909040575</v>
      </c>
      <c r="BI32" s="59">
        <f ca="1">AVERAGE(OFFSET($BH$3,0,0,'Données projet'!$E$11+1,1))-AVERAGE(OFFSET($H$3,0,0,'Données projet'!$E$11+1,1))</f>
        <v>181.32837315090507</v>
      </c>
      <c r="BJ32" s="59">
        <f t="shared" si="38"/>
        <v>175.03267817980338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5.5861647410718538</v>
      </c>
      <c r="BQ32" s="21">
        <f>EXP(-LN(2)/25)*BQ31+(1-EXP(-LN(2)/25))/(LN(2)/25)*Calculateur!BL32*Calculateur!BN32*VLOOKUP('Données projet'!$B$11,Paramètres!$A$1:$I$89,3,0)*0.475*44/12</f>
        <v>6.9936390376342104</v>
      </c>
      <c r="BR32" s="21">
        <f>EXP(-LN(2)/2)*BR31+(1-EXP(-LN(2)/2))/(LN(2)/2)*BL32*BO32*VLOOKUP('Données projet'!$B$11,Paramètres!$A$1:$I$89,3,0)*0.475*44/12</f>
        <v>1.5003436748447012</v>
      </c>
      <c r="BS32" s="22">
        <f t="shared" si="9"/>
        <v>14.080147453550767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9.1999999999999993</v>
      </c>
      <c r="BY32" s="12">
        <f>IF('Données projet'!$A$114&gt;35,BY31+BX32-CG31,IF(A32&lt;'Données projet'!$A$114,$BV$205^A32,IF(A32='Données projet'!$A$114,'Données projet'!$B$114,BY31+BX32-CG31)))</f>
        <v>201.2999999999999</v>
      </c>
      <c r="BZ32" s="13">
        <f>BY32*VLOOKUP('Données projet'!$B$12,Paramètres!$A$1:$I$89,3,0)*VLOOKUP('Données projet'!$B$12,Paramètres!$A$1:$I$89,5,0)</f>
        <v>94.208399999999955</v>
      </c>
      <c r="CA32" s="13">
        <f t="shared" si="39"/>
        <v>25.577474486943441</v>
      </c>
      <c r="CB32" s="20">
        <f t="shared" si="10"/>
        <v>208.62706473142643</v>
      </c>
      <c r="CC32" s="59">
        <f t="shared" si="11"/>
        <v>501.96039806475972</v>
      </c>
      <c r="CD32" s="59">
        <f ca="1">AVERAGE(OFFSET($CC$3,0,0,'Données projet'!$E$12+1,1))-AVERAGE(OFFSET($H$3,0,0,'Données projet'!$E$12+1,1))</f>
        <v>226.0452828290525</v>
      </c>
      <c r="CE32" s="59">
        <f t="shared" si="40"/>
        <v>179.89696397462069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2.2571284617348231</v>
      </c>
      <c r="CL32" s="21">
        <f>EXP(-LN(2)/25)*CL31+(1-EXP(-LN(2)/25))/(LN(2)/25)*Calculateur!CG32*Calculateur!CI32*VLOOKUP('Données projet'!$B$12,Paramètres!$A$1:$I$89,3,0)*0.475*44/12</f>
        <v>2.0935331095380243</v>
      </c>
      <c r="CM32" s="21">
        <f>EXP(-LN(2)/2)*CM31+(1-EXP(-LN(2)/2))/(LN(2)/2)*CG32*CJ32*VLOOKUP('Données projet'!$B$12,Paramètres!$A$1:$I$89,3,0)*0.475*44/12</f>
        <v>0.55500226792883467</v>
      </c>
      <c r="CN32" s="22">
        <f t="shared" si="12"/>
        <v>4.905663839201682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14.833333333333334</v>
      </c>
      <c r="CT32" s="12">
        <f>IF('Données projet'!$A$140&gt;35,CT31+CS32-DB31,IF(A32&lt;'Données projet'!$A$140,$CQ$205^A32,IF(A32='Données projet'!$A$140,'Données projet'!$B$140,CT31+CS32-DB31)))</f>
        <v>169.83333333333334</v>
      </c>
      <c r="CU32" s="17">
        <f>CT32*VLOOKUP('Données projet'!$B$13,Paramètres!$A$1:$I$89,3,0)*VLOOKUP('Données projet'!$B$13,Paramètres!$A$1:$I$89,5,0)</f>
        <v>101.56033333333333</v>
      </c>
      <c r="CV32" s="13">
        <f t="shared" si="41"/>
        <v>27.333389821325063</v>
      </c>
      <c r="CW32" s="20">
        <f t="shared" si="13"/>
        <v>224.48990116103005</v>
      </c>
      <c r="CX32" s="59">
        <f t="shared" si="14"/>
        <v>517.82323449436331</v>
      </c>
      <c r="CY32" s="59">
        <f ca="1">AVERAGE(OFFSET($CX$3,0,0,'Données projet'!$E$13+1,1))-AVERAGE(OFFSET($H$3,0,0,'Données projet'!$E$13+1,1))</f>
        <v>482.74318690313885</v>
      </c>
      <c r="CZ32" s="59">
        <f t="shared" si="42"/>
        <v>205.57161411620217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11.708180075193646</v>
      </c>
      <c r="DG32" s="21">
        <f>EXP(-LN(2)/25)*DG31+(1-EXP(-LN(2)/25))/(LN(2)/25)*Calculateur!DB32*Calculateur!DD32*VLOOKUP('Données projet'!$B$13,Paramètres!$A$1:$I$89,3,0)*0.475*44/12</f>
        <v>9.6921220649073838</v>
      </c>
      <c r="DH32" s="21">
        <f>EXP(-LN(2)/2)*DH31+(1-EXP(-LN(2)/2))/(LN(2)/2)*DB32*DE32*VLOOKUP('Données projet'!$B$13,Paramètres!$A$1:$I$89,3,0)*0.475*44/12</f>
        <v>6.4049681560099474</v>
      </c>
      <c r="DI32" s="22">
        <f t="shared" si="15"/>
        <v>27.805270296110976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3.06</v>
      </c>
      <c r="DO32" s="12">
        <f>IF('Données projet'!$A$166&gt;35,DO31+DN32-DW31,IF(A32&lt;'Données projet'!$A$166,$DL$205^A32,IF(A32='Données projet'!$A$166,'Données projet'!$B$166,DO31+DN32-DW31)))</f>
        <v>88.740000000000038</v>
      </c>
      <c r="DP32" s="17">
        <f>DO32*VLOOKUP('Données projet'!$B$14,Paramètres!$A$1:$I$89,3,0)*VLOOKUP('Données projet'!$B$14,Paramètres!$A$1:$I$89,5,0)</f>
        <v>42.683940000000014</v>
      </c>
      <c r="DQ32" s="13">
        <f t="shared" si="43"/>
        <v>12.707314473633494</v>
      </c>
      <c r="DR32" s="20">
        <f t="shared" si="16"/>
        <v>96.473101541578345</v>
      </c>
      <c r="DS32" s="59">
        <f t="shared" si="17"/>
        <v>389.80643487491164</v>
      </c>
      <c r="DT32" s="59">
        <f ca="1">AVERAGE(OFFSET($DS$3,0,0,'Données projet'!$E$14+1,1))-AVERAGE(OFFSET($H$3,0,0,'Données projet'!$E$14+1,1))</f>
        <v>247.11965163963526</v>
      </c>
      <c r="DU32" s="59">
        <f t="shared" si="44"/>
        <v>61.686311966192704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97</v>
      </c>
      <c r="L33" s="12">
        <f>VLOOKUP(A33,'Données projet'!$A$35:$I$55,9,0)</f>
        <v>7</v>
      </c>
      <c r="M33" s="12">
        <f t="array" ref="M33">INDEX(L:L,MIN(IF(ISNUMBER(L33:L229),ROW(L33:L229),"")))</f>
        <v>7</v>
      </c>
      <c r="N33" s="13">
        <f>IF('Données projet'!$A$36&gt;35,N32+M33-V32,IF(A33&lt;'Données projet'!$A$36,$K$205^A33,IF(A33='Données projet'!$A$36,'Données projet'!$B$36,N32+M33-V32)))</f>
        <v>97</v>
      </c>
      <c r="O33" s="13">
        <f>N33*VLOOKUP('Données projet'!$B$9,Paramètres!$A$1:$I$89,3,0)*VLOOKUP('Données projet'!$B$9,Paramètres!$A$1:$I$89,5,0)</f>
        <v>87.765600000000006</v>
      </c>
      <c r="P33" s="13">
        <f t="shared" si="33"/>
        <v>24.025555589247954</v>
      </c>
      <c r="Q33" s="20">
        <f t="shared" si="2"/>
        <v>194.7029293179402</v>
      </c>
      <c r="R33" s="59">
        <f t="shared" si="0"/>
        <v>488.03626265127355</v>
      </c>
      <c r="S33" s="59">
        <f ca="1">AVERAGE(OFFSET($R$3,0,0,'Données projet'!$E$9+1,1))-AVERAGE(OFFSET($H$3,0,0,'Données projet'!$E$9+1,1))</f>
        <v>265.50419397354284</v>
      </c>
      <c r="T33" s="59">
        <f t="shared" si="34"/>
        <v>156.67965022779907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21</v>
      </c>
      <c r="W33" s="16">
        <f>IF(ISNA(VLOOKUP(A33,'Données projet'!$A$35:$I$55,5,0)),0%,VLOOKUP(A33,'Données projet'!$A$35:$I$55,5,0)*VLOOKUP('Données projet'!$B$9,Paramètres!$A$1:$I$89,7,0))</f>
        <v>0.129</v>
      </c>
      <c r="X33" s="16">
        <f>IF(ISNA(VLOOKUP(A33,'Données projet'!$A$35:$I$55,6,0)),0%,VLOOKUP(A33,'Données projet'!$A$35:$I$55,6,0)*VLOOKUP('Données projet'!$B$9,Paramètres!$A$1:$I$89,7,0))</f>
        <v>0.17200000000000001</v>
      </c>
      <c r="Y33" s="16">
        <f>IF(ISNA(VLOOKUP(A33,'Données projet'!$A$35:$I$55,7,0)),0%,VLOOKUP(A33,'Données projet'!$A$35:$I$55,7,0))</f>
        <v>0.3</v>
      </c>
      <c r="Z33" s="21">
        <f>EXP(-LN(2)/35)*Z32+(1-EXP(-LN(2)/35))/(LN(2)/35)*V33*W33*VLOOKUP('Données projet'!$B$9,Paramètres!$A$1:$I$89,3,0)*0.475*44/12</f>
        <v>3.3329029378764745</v>
      </c>
      <c r="AA33" s="21">
        <f>EXP(-LN(2)/25)*AA32+(1-EXP(-LN(2)/25))/(LN(2)/25)*Calculateur!V33*Calculateur!X33*VLOOKUP('Données projet'!$B$9,Paramètres!$A$1:$I$89,3,0)*0.475*44/12</f>
        <v>4.1953217392984365</v>
      </c>
      <c r="AB33" s="21">
        <f>EXP(-LN(2)/2)*AB32+(1-EXP(-LN(2)/2))/(LN(2)/2)*V33*Y33*VLOOKUP('Données projet'!$B$9,Paramètres!$A$1:$I$89,3,0)*0.475*44/12</f>
        <v>6.1027210054738719</v>
      </c>
      <c r="AC33" s="22">
        <f t="shared" si="3"/>
        <v>13.630945682648782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97</v>
      </c>
      <c r="AG33" s="12">
        <f>VLOOKUP(A33,'Données projet'!$A$61:$I$81,9,0)</f>
        <v>7</v>
      </c>
      <c r="AH33" s="12">
        <f t="array" ref="AH33">INDEX(AG:AG,MIN(IF(ISNUMBER(AG33:AG229),ROW(AG33:AG229),"")))</f>
        <v>7</v>
      </c>
      <c r="AI33" s="13">
        <f>IF('Données projet'!$A$62&gt;35,AI32+AH33-AQ32,IF(A33&lt;'Données projet'!$A$62,$AF$205^A33,IF(A33='Données projet'!$A$62,'Données projet'!$B$62,AI32+AH33-AQ32)))</f>
        <v>97</v>
      </c>
      <c r="AJ33" s="13">
        <f>AI33*VLOOKUP('Données projet'!$B$10,Paramètres!$A$1:$I$89,3,0)*VLOOKUP('Données projet'!$B$10,Paramètres!$A$1:$I$89,5,0)</f>
        <v>98.358000000000004</v>
      </c>
      <c r="AK33" s="13">
        <f t="shared" si="35"/>
        <v>26.570437554143126</v>
      </c>
      <c r="AL33" s="20">
        <f t="shared" si="4"/>
        <v>217.58369540679928</v>
      </c>
      <c r="AM33" s="59">
        <f t="shared" si="5"/>
        <v>510.91702874013259</v>
      </c>
      <c r="AN33" s="59">
        <f ca="1">AVERAGE(OFFSET($AM$3,0,0,'Données projet'!$E$10+1,1))-AVERAGE(OFFSET($H$3,0,0,'Données projet'!$E$10+1,1))</f>
        <v>296.43642006376018</v>
      </c>
      <c r="AO33" s="59">
        <f t="shared" si="36"/>
        <v>179.56041631665812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21</v>
      </c>
      <c r="AR33" s="16">
        <f>IF(ISNA(VLOOKUP(A33,'Données projet'!$A$61:$I$81,5,0)),0%,VLOOKUP(A33,'Données projet'!$A$61:$I$81,5,0)*VLOOKUP('Données projet'!$B$10,Paramètres!$A$1:$I$89,7,0))</f>
        <v>0.129</v>
      </c>
      <c r="AS33" s="16">
        <f>IF(ISNA(VLOOKUP(A33,'Données projet'!$A$61:$I$81,6,0)),0%,VLOOKUP(A33,'Données projet'!$A$61:$I$81,6,0)*VLOOKUP('Données projet'!$B$10,Paramètres!$A$1:$I$89,7,0))</f>
        <v>0.17200000000000001</v>
      </c>
      <c r="AT33" s="16">
        <f>IF(ISNA(VLOOKUP(A33,'Données projet'!$A$61:$I$81,7,0)),0%,VLOOKUP(A33,'Données projet'!$A$61:$I$81,7,0))</f>
        <v>0.3</v>
      </c>
      <c r="AU33" s="21">
        <f>EXP(-LN(2)/35)*AU32+(1-EXP(-LN(2)/35))/(LN(2)/35)*AQ33*AR33*VLOOKUP('Données projet'!$B$10,Paramètres!$A$1:$I$89,3,0)*0.475*44/12</f>
        <v>3.7351498441719113</v>
      </c>
      <c r="AV33" s="21">
        <f>EXP(-LN(2)/25)*AV32+(1-EXP(-LN(2)/25))/(LN(2)/25)*Calculateur!AQ33*Calculateur!AS33*VLOOKUP('Données projet'!$B$10,Paramètres!$A$1:$I$89,3,0)*0.475*44/12</f>
        <v>4.7016536733516965</v>
      </c>
      <c r="AW33" s="21">
        <f>EXP(-LN(2)/2)*AW32+(1-EXP(-LN(2)/2))/(LN(2)/2)*AQ33*AT33*VLOOKUP('Données projet'!$B$10,Paramètres!$A$1:$I$89,3,0)*0.475*44/12</f>
        <v>6.8392562992379622</v>
      </c>
      <c r="AX33" s="21">
        <f t="shared" si="6"/>
        <v>15.27605981676157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11.5</v>
      </c>
      <c r="BD33" s="12">
        <f>IF('Données projet'!$A$88&gt;35,BD32+BC33-BL32,IF(A33&lt;'Données projet'!$A$88,$BA$205^A33,IF(A33='Données projet'!$A$88,'Données projet'!$B$88,BD32+BC33-BL32)))</f>
        <v>143.49999999999994</v>
      </c>
      <c r="BE33" s="13">
        <f>BD33*VLOOKUP('Données projet'!$B$11,Paramètres!$A$1:$I$89,3,0)*VLOOKUP('Données projet'!$B$11,Paramètres!$A$1:$I$89,5,0)</f>
        <v>96.25979999999997</v>
      </c>
      <c r="BF33" s="13">
        <f t="shared" si="37"/>
        <v>26.068979293748086</v>
      </c>
      <c r="BG33" s="20">
        <f t="shared" si="7"/>
        <v>213.05595726994454</v>
      </c>
      <c r="BH33" s="59">
        <f t="shared" si="8"/>
        <v>506.38929060327786</v>
      </c>
      <c r="BI33" s="59">
        <f ca="1">AVERAGE(OFFSET($BH$3,0,0,'Données projet'!$E$11+1,1))-AVERAGE(OFFSET($H$3,0,0,'Données projet'!$E$11+1,1))</f>
        <v>181.32837315090507</v>
      </c>
      <c r="BJ33" s="59">
        <f t="shared" si="38"/>
        <v>175.03267817980338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5.4766234577234911</v>
      </c>
      <c r="BQ33" s="21">
        <f>EXP(-LN(2)/25)*BQ32+(1-EXP(-LN(2)/25))/(LN(2)/25)*Calculateur!BL33*Calculateur!BN33*VLOOKUP('Données projet'!$B$11,Paramètres!$A$1:$I$89,3,0)*0.475*44/12</f>
        <v>6.8023976103706101</v>
      </c>
      <c r="BR33" s="21">
        <f>EXP(-LN(2)/2)*BR32+(1-EXP(-LN(2)/2))/(LN(2)/2)*BL33*BO33*VLOOKUP('Données projet'!$B$11,Paramètres!$A$1:$I$89,3,0)*0.475*44/12</f>
        <v>1.0609031865930327</v>
      </c>
      <c r="BS33" s="22">
        <f t="shared" si="9"/>
        <v>13.339924254687133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210.5</v>
      </c>
      <c r="BW33" s="12">
        <f>VLOOKUP(A33,'Données projet'!$A$113:$I$133,9,0)</f>
        <v>9.1999999999999993</v>
      </c>
      <c r="BX33" s="12">
        <f t="array" ref="BX33">INDEX(BW:BW,MIN(IF(ISNUMBER(BW33:BW229),ROW(BW33:BW229),"")))</f>
        <v>9.1999999999999993</v>
      </c>
      <c r="BY33" s="12">
        <f>IF('Données projet'!$A$114&gt;35,BY32+BX33-CG32,IF(A33&lt;'Données projet'!$A$114,$BV$205^A33,IF(A33='Données projet'!$A$114,'Données projet'!$B$114,BY32+BX33-CG32)))</f>
        <v>210.49999999999989</v>
      </c>
      <c r="BZ33" s="13">
        <f>BY33*VLOOKUP('Données projet'!$B$12,Paramètres!$A$1:$I$89,3,0)*VLOOKUP('Données projet'!$B$12,Paramètres!$A$1:$I$89,5,0)</f>
        <v>98.513999999999953</v>
      </c>
      <c r="CA33" s="13">
        <f t="shared" si="39"/>
        <v>26.607670659193456</v>
      </c>
      <c r="CB33" s="20">
        <f t="shared" si="10"/>
        <v>217.92024306476185</v>
      </c>
      <c r="CC33" s="59">
        <f t="shared" si="11"/>
        <v>511.25357639809516</v>
      </c>
      <c r="CD33" s="59">
        <f ca="1">AVERAGE(OFFSET($CC$3,0,0,'Données projet'!$E$12+1,1))-AVERAGE(OFFSET($H$3,0,0,'Données projet'!$E$12+1,1))</f>
        <v>226.0452828290525</v>
      </c>
      <c r="CE33" s="59">
        <f t="shared" si="40"/>
        <v>179.89696397462069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67</v>
      </c>
      <c r="CH33" s="16">
        <f>IF(ISNA(VLOOKUP(A33,'Données projet'!$A$113:$I$133,5,0)),0%,VLOOKUP(A33,'Données projet'!$A$113:$I$133,5,0)*VLOOKUP('Données projet'!$B$12,Paramètres!$A$1:$I$89,7,0))</f>
        <v>0.16500000000000001</v>
      </c>
      <c r="CI33" s="16">
        <f>IF(ISNA(VLOOKUP(A33,'Données projet'!$A$113:$I$133,6,0)),0%,VLOOKUP(A33,'Données projet'!$A$113:$I$133,6,0)*VLOOKUP('Données projet'!$B$12,Paramètres!$A$1:$I$89,7,0))</f>
        <v>0.22000000000000003</v>
      </c>
      <c r="CJ33" s="16">
        <f>IF(ISNA(VLOOKUP(A33,'Données projet'!$A$113:$I$133,7,0)),0%,VLOOKUP(A33,'Données projet'!$A$113:$I$133,7,0))</f>
        <v>0.3</v>
      </c>
      <c r="CK33" s="21">
        <f>EXP(-LN(2)/35)*CK32+(1-EXP(-LN(2)/35))/(LN(2)/35)*CG33*CH33*VLOOKUP('Données projet'!$B$12,Paramètres!$A$1:$I$89,3,0)*0.475*44/12</f>
        <v>9.0761671349983928</v>
      </c>
      <c r="CL33" s="21">
        <f>EXP(-LN(2)/25)*CL32+(1-EXP(-LN(2)/25))/(LN(2)/25)*Calculateur!CG33*Calculateur!CI33*VLOOKUP('Données projet'!$B$12,Paramètres!$A$1:$I$89,3,0)*0.475*44/12</f>
        <v>11.151320216689932</v>
      </c>
      <c r="CM33" s="21">
        <f>EXP(-LN(2)/2)*CM32+(1-EXP(-LN(2)/2))/(LN(2)/2)*CG33*CJ33*VLOOKUP('Données projet'!$B$12,Paramètres!$A$1:$I$89,3,0)*0.475*44/12</f>
        <v>11.043128643598349</v>
      </c>
      <c r="CN33" s="22">
        <f t="shared" si="12"/>
        <v>31.270615995286676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14.833333333333334</v>
      </c>
      <c r="CT33" s="12">
        <f>IF('Données projet'!$A$140&gt;35,CT32+CS33-DB32,IF(A33&lt;'Données projet'!$A$140,$CQ$205^A33,IF(A33='Données projet'!$A$140,'Données projet'!$B$140,CT32+CS33-DB32)))</f>
        <v>184.66666666666669</v>
      </c>
      <c r="CU33" s="17">
        <f>CT33*VLOOKUP('Données projet'!$B$13,Paramètres!$A$1:$I$89,3,0)*VLOOKUP('Données projet'!$B$13,Paramètres!$A$1:$I$89,5,0)</f>
        <v>110.43066666666668</v>
      </c>
      <c r="CV33" s="13">
        <f t="shared" si="41"/>
        <v>29.43242991113809</v>
      </c>
      <c r="CW33" s="20">
        <f t="shared" si="13"/>
        <v>243.5948932063433</v>
      </c>
      <c r="CX33" s="59">
        <f t="shared" si="14"/>
        <v>536.92822653967664</v>
      </c>
      <c r="CY33" s="59">
        <f ca="1">AVERAGE(OFFSET($CX$3,0,0,'Données projet'!$E$13+1,1))-AVERAGE(OFFSET($H$3,0,0,'Données projet'!$E$13+1,1))</f>
        <v>482.74318690313885</v>
      </c>
      <c r="CZ33" s="59">
        <f t="shared" si="42"/>
        <v>205.57161411620217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11.4785898052038</v>
      </c>
      <c r="DG33" s="21">
        <f>EXP(-LN(2)/25)*DG32+(1-EXP(-LN(2)/25))/(LN(2)/25)*Calculateur!DB33*Calculateur!DD33*VLOOKUP('Données projet'!$B$13,Paramètres!$A$1:$I$89,3,0)*0.475*44/12</f>
        <v>9.427090477355943</v>
      </c>
      <c r="DH33" s="21">
        <f>EXP(-LN(2)/2)*DH32+(1-EXP(-LN(2)/2))/(LN(2)/2)*DB33*DE33*VLOOKUP('Données projet'!$B$13,Paramètres!$A$1:$I$89,3,0)*0.475*44/12</f>
        <v>4.528996416398531</v>
      </c>
      <c r="DI33" s="22">
        <f t="shared" si="15"/>
        <v>25.434676698958274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3.06</v>
      </c>
      <c r="DO33" s="12">
        <f>IF('Données projet'!$A$166&gt;35,DO32+DN33-DW32,IF(A33&lt;'Données projet'!$A$166,$DL$205^A33,IF(A33='Données projet'!$A$166,'Données projet'!$B$166,DO32+DN33-DW32)))</f>
        <v>91.80000000000004</v>
      </c>
      <c r="DP33" s="17">
        <f>DO33*VLOOKUP('Données projet'!$B$14,Paramètres!$A$1:$I$89,3,0)*VLOOKUP('Données projet'!$B$14,Paramètres!$A$1:$I$89,5,0)</f>
        <v>44.155800000000021</v>
      </c>
      <c r="DQ33" s="13">
        <f t="shared" si="43"/>
        <v>13.093725965359122</v>
      </c>
      <c r="DR33" s="20">
        <f t="shared" si="16"/>
        <v>99.709591056333849</v>
      </c>
      <c r="DS33" s="59">
        <f t="shared" si="17"/>
        <v>393.04292438966718</v>
      </c>
      <c r="DT33" s="59">
        <f ca="1">AVERAGE(OFFSET($DS$3,0,0,'Données projet'!$E$14+1,1))-AVERAGE(OFFSET($H$3,0,0,'Données projet'!$E$14+1,1))</f>
        <v>247.11965163963526</v>
      </c>
      <c r="DU33" s="59">
        <f t="shared" si="44"/>
        <v>61.686311966192704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</v>
      </c>
      <c r="N34" s="13">
        <f>IF('Données projet'!$A$36&gt;35,N33+M34-V33,IF(A34&lt;'Données projet'!$A$36,$K$205^A34,IF(A34='Données projet'!$A$36,'Données projet'!$B$36,N33+M34-V33)))</f>
        <v>84</v>
      </c>
      <c r="O34" s="13">
        <f>N34*VLOOKUP('Données projet'!$B$9,Paramètres!$A$1:$I$89,3,0)*VLOOKUP('Données projet'!$B$9,Paramètres!$A$1:$I$89,5,0)</f>
        <v>76.003200000000007</v>
      </c>
      <c r="P34" s="13">
        <f t="shared" si="33"/>
        <v>21.157049992000456</v>
      </c>
      <c r="Q34" s="20">
        <f t="shared" si="2"/>
        <v>169.22076873606747</v>
      </c>
      <c r="R34" s="59">
        <f t="shared" si="0"/>
        <v>462.55410206940076</v>
      </c>
      <c r="S34" s="59">
        <f ca="1">AVERAGE(OFFSET($R$3,0,0,'Données projet'!$E$9+1,1))-AVERAGE(OFFSET($H$3,0,0,'Données projet'!$E$9+1,1))</f>
        <v>265.50419397354284</v>
      </c>
      <c r="T34" s="59">
        <f t="shared" si="34"/>
        <v>156.67965022779907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3.2675467441347799</v>
      </c>
      <c r="AA34" s="21">
        <f>EXP(-LN(2)/25)*AA33+(1-EXP(-LN(2)/25))/(LN(2)/25)*Calculateur!V34*Calculateur!X34*VLOOKUP('Données projet'!$B$9,Paramètres!$A$1:$I$89,3,0)*0.475*44/12</f>
        <v>4.0806004457149392</v>
      </c>
      <c r="AB34" s="21">
        <f>EXP(-LN(2)/2)*AB33+(1-EXP(-LN(2)/2))/(LN(2)/2)*V34*Y34*VLOOKUP('Données projet'!$B$9,Paramètres!$A$1:$I$89,3,0)*0.475*44/12</f>
        <v>4.3152754066601604</v>
      </c>
      <c r="AC34" s="22">
        <f t="shared" si="3"/>
        <v>11.663422596509879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</v>
      </c>
      <c r="AI34" s="13">
        <f>IF('Données projet'!$A$62&gt;35,AI33+AH34-AQ33,IF(A34&lt;'Données projet'!$A$62,$AF$205^A34,IF(A34='Données projet'!$A$62,'Données projet'!$B$62,AI33+AH34-AQ33)))</f>
        <v>84</v>
      </c>
      <c r="AJ34" s="13">
        <f>AI34*VLOOKUP('Données projet'!$B$10,Paramètres!$A$1:$I$89,3,0)*VLOOKUP('Données projet'!$B$10,Paramètres!$A$1:$I$89,5,0)</f>
        <v>85.176000000000002</v>
      </c>
      <c r="AK34" s="13">
        <f t="shared" si="35"/>
        <v>23.398088487656441</v>
      </c>
      <c r="AL34" s="20">
        <f t="shared" si="4"/>
        <v>189.09987078266829</v>
      </c>
      <c r="AM34" s="59">
        <f t="shared" si="5"/>
        <v>482.4332041160016</v>
      </c>
      <c r="AN34" s="59">
        <f ca="1">AVERAGE(OFFSET($AM$3,0,0,'Données projet'!$E$10+1,1))-AVERAGE(OFFSET($H$3,0,0,'Données projet'!$E$10+1,1))</f>
        <v>296.43642006376018</v>
      </c>
      <c r="AO34" s="59">
        <f t="shared" si="36"/>
        <v>179.56041631665812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3.6619058339441497</v>
      </c>
      <c r="AV34" s="21">
        <f>EXP(-LN(2)/25)*AV33+(1-EXP(-LN(2)/25))/(LN(2)/25)*Calculateur!AQ34*Calculateur!AS34*VLOOKUP('Données projet'!$B$10,Paramètres!$A$1:$I$89,3,0)*0.475*44/12</f>
        <v>4.5730867064046734</v>
      </c>
      <c r="AW34" s="21">
        <f>EXP(-LN(2)/2)*AW33+(1-EXP(-LN(2)/2))/(LN(2)/2)*AQ34*AT34*VLOOKUP('Données projet'!$B$10,Paramètres!$A$1:$I$89,3,0)*0.475*44/12</f>
        <v>4.8360845074639744</v>
      </c>
      <c r="AX34" s="21">
        <f t="shared" si="6"/>
        <v>13.071077047812798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>
        <f>VLOOKUP(A34,'Données projet'!$A$87:$I$107,2,0)</f>
        <v>155</v>
      </c>
      <c r="BB34" s="12">
        <f>VLOOKUP(A34,'Données projet'!$A$87:$I$107,9,0)</f>
        <v>11.5</v>
      </c>
      <c r="BC34" s="12">
        <f t="array" ref="BC34">INDEX(BB:BB,MIN(IF(ISNUMBER(BB34:BB230),ROW(BB34:BB230),"")))</f>
        <v>11.5</v>
      </c>
      <c r="BD34" s="12">
        <f>IF('Données projet'!$A$88&gt;35,BD33+BC34-BL33,IF(A34&lt;'Données projet'!$A$88,$BA$205^A34,IF(A34='Données projet'!$A$88,'Données projet'!$B$88,BD33+BC34-BL33)))</f>
        <v>154.99999999999994</v>
      </c>
      <c r="BE34" s="13">
        <f>BD34*VLOOKUP('Données projet'!$B$11,Paramètres!$A$1:$I$89,3,0)*VLOOKUP('Données projet'!$B$11,Paramètres!$A$1:$I$89,5,0)</f>
        <v>103.97399999999996</v>
      </c>
      <c r="BF34" s="13">
        <f t="shared" si="37"/>
        <v>27.906590257048865</v>
      </c>
      <c r="BG34" s="20">
        <f t="shared" si="7"/>
        <v>229.69202803102669</v>
      </c>
      <c r="BH34" s="59">
        <f t="shared" si="8"/>
        <v>523.02536136436004</v>
      </c>
      <c r="BI34" s="59">
        <f ca="1">AVERAGE(OFFSET($BH$3,0,0,'Données projet'!$E$11+1,1))-AVERAGE(OFFSET($H$3,0,0,'Données projet'!$E$11+1,1))</f>
        <v>181.32837315090507</v>
      </c>
      <c r="BJ34" s="59">
        <f t="shared" si="38"/>
        <v>175.03267817980338</v>
      </c>
      <c r="BK34" s="15">
        <f>IF(ISNA(VLOOKUP(A34,'Données projet'!$A$87:$I$107,3,0)),0,VLOOKUP(A34,'Données projet'!$A$87:$I$107,3,0))</f>
        <v>5</v>
      </c>
      <c r="BL34" s="15">
        <f>IF(ISNA(VLOOKUP(A34,'Données projet'!$A$87:$I$107,4,0)),0,VLOOKUP(A34,'Données projet'!$A$87:$I$107,4,0))</f>
        <v>36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5.3692302121280049</v>
      </c>
      <c r="BQ34" s="21">
        <f>EXP(-LN(2)/25)*BQ33+(1-EXP(-LN(2)/25))/(LN(2)/25)*Calculateur!BL34*Calculateur!BN34*VLOOKUP('Données projet'!$B$11,Paramètres!$A$1:$I$89,3,0)*0.475*44/12</f>
        <v>6.6163856899924829</v>
      </c>
      <c r="BR34" s="21">
        <f>EXP(-LN(2)/2)*BR33+(1-EXP(-LN(2)/2))/(LN(2)/2)*BL34*BO34*VLOOKUP('Données projet'!$B$11,Paramètres!$A$1:$I$89,3,0)*0.475*44/12</f>
        <v>0.75017183742235061</v>
      </c>
      <c r="BS34" s="22">
        <f t="shared" si="9"/>
        <v>12.735787739542838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</v>
      </c>
      <c r="BY34" s="12">
        <f>IF('Données projet'!$A$114&gt;35,BY33+BX34-CG33,IF(A34&lt;'Données projet'!$A$114,$BV$205^A34,IF(A34='Données projet'!$A$114,'Données projet'!$B$114,BY33+BX34-CG33)))</f>
        <v>153.49999999999989</v>
      </c>
      <c r="BZ34" s="13">
        <f>BY34*VLOOKUP('Données projet'!$B$12,Paramètres!$A$1:$I$89,3,0)*VLOOKUP('Données projet'!$B$12,Paramètres!$A$1:$I$89,5,0)</f>
        <v>71.837999999999951</v>
      </c>
      <c r="CA34" s="13">
        <f t="shared" si="39"/>
        <v>20.129206956785634</v>
      </c>
      <c r="CB34" s="20">
        <f t="shared" si="10"/>
        <v>160.17621878306821</v>
      </c>
      <c r="CC34" s="59">
        <f t="shared" si="11"/>
        <v>453.50955211640155</v>
      </c>
      <c r="CD34" s="59">
        <f ca="1">AVERAGE(OFFSET($CC$3,0,0,'Données projet'!$E$12+1,1))-AVERAGE(OFFSET($H$3,0,0,'Données projet'!$E$12+1,1))</f>
        <v>226.0452828290525</v>
      </c>
      <c r="CE34" s="59">
        <f t="shared" si="40"/>
        <v>179.89696397462069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8.8981890333964007</v>
      </c>
      <c r="CL34" s="21">
        <f>EXP(-LN(2)/25)*CL33+(1-EXP(-LN(2)/25))/(LN(2)/25)*Calculateur!CG34*Calculateur!CI34*VLOOKUP('Données projet'!$B$12,Paramètres!$A$1:$I$89,3,0)*0.475*44/12</f>
        <v>10.846386778942103</v>
      </c>
      <c r="CM34" s="21">
        <f>EXP(-LN(2)/2)*CM33+(1-EXP(-LN(2)/2))/(LN(2)/2)*CG34*CJ34*VLOOKUP('Données projet'!$B$12,Paramètres!$A$1:$I$89,3,0)*0.475*44/12</f>
        <v>7.8086711494037937</v>
      </c>
      <c r="CN34" s="22">
        <f t="shared" si="12"/>
        <v>27.553246961742296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14.833333333333334</v>
      </c>
      <c r="CT34" s="12">
        <f>IF('Données projet'!$A$140&gt;35,CT33+CS34-DB33,IF(A34&lt;'Données projet'!$A$140,$CQ$205^A34,IF(A34='Données projet'!$A$140,'Données projet'!$B$140,CT33+CS34-DB33)))</f>
        <v>199.50000000000003</v>
      </c>
      <c r="CU34" s="17">
        <f>CT34*VLOOKUP('Données projet'!$B$13,Paramètres!$A$1:$I$89,3,0)*VLOOKUP('Données projet'!$B$13,Paramètres!$A$1:$I$89,5,0)</f>
        <v>119.30100000000002</v>
      </c>
      <c r="CV34" s="13">
        <f t="shared" si="41"/>
        <v>31.51191363312137</v>
      </c>
      <c r="CW34" s="20">
        <f t="shared" si="13"/>
        <v>262.66582457768635</v>
      </c>
      <c r="CX34" s="59">
        <f t="shared" si="14"/>
        <v>555.99915791101967</v>
      </c>
      <c r="CY34" s="59">
        <f ca="1">AVERAGE(OFFSET($CX$3,0,0,'Données projet'!$E$13+1,1))-AVERAGE(OFFSET($H$3,0,0,'Données projet'!$E$13+1,1))</f>
        <v>482.74318690313885</v>
      </c>
      <c r="CZ34" s="59">
        <f t="shared" si="42"/>
        <v>205.57161411620217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11.253501660372219</v>
      </c>
      <c r="DG34" s="21">
        <f>EXP(-LN(2)/25)*DG33+(1-EXP(-LN(2)/25))/(LN(2)/25)*Calculateur!DB34*Calculateur!DD34*VLOOKUP('Données projet'!$B$13,Paramètres!$A$1:$I$89,3,0)*0.475*44/12</f>
        <v>9.1693061925035018</v>
      </c>
      <c r="DH34" s="21">
        <f>EXP(-LN(2)/2)*DH33+(1-EXP(-LN(2)/2))/(LN(2)/2)*DB34*DE34*VLOOKUP('Données projet'!$B$13,Paramètres!$A$1:$I$89,3,0)*0.475*44/12</f>
        <v>3.2024840780049741</v>
      </c>
      <c r="DI34" s="22">
        <f t="shared" si="15"/>
        <v>23.625291930880696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3.06</v>
      </c>
      <c r="DO34" s="12">
        <f>IF('Données projet'!$A$166&gt;35,DO33+DN34-DW33,IF(A34&lt;'Données projet'!$A$166,$DL$205^A34,IF(A34='Données projet'!$A$166,'Données projet'!$B$166,DO33+DN34-DW33)))</f>
        <v>94.860000000000042</v>
      </c>
      <c r="DP34" s="17">
        <f>DO34*VLOOKUP('Données projet'!$B$14,Paramètres!$A$1:$I$89,3,0)*VLOOKUP('Données projet'!$B$14,Paramètres!$A$1:$I$89,5,0)</f>
        <v>45.62766000000002</v>
      </c>
      <c r="DQ34" s="13">
        <f t="shared" si="43"/>
        <v>13.478640792534213</v>
      </c>
      <c r="DR34" s="20">
        <f t="shared" si="16"/>
        <v>102.94347388033047</v>
      </c>
      <c r="DS34" s="59">
        <f t="shared" si="17"/>
        <v>396.2768072136638</v>
      </c>
      <c r="DT34" s="59">
        <f ca="1">AVERAGE(OFFSET($DS$3,0,0,'Données projet'!$E$14+1,1))-AVERAGE(OFFSET($H$3,0,0,'Données projet'!$E$14+1,1))</f>
        <v>247.11965163963526</v>
      </c>
      <c r="DU34" s="59">
        <f t="shared" si="44"/>
        <v>61.686311966192704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</v>
      </c>
      <c r="N35" s="13">
        <f>IF('Données projet'!$A$36&gt;35,N34+M35-V34,IF(A35&lt;'Données projet'!$A$36,$K$205^A35,IF(A35='Données projet'!$A$36,'Données projet'!$B$36,N34+M35-V34)))</f>
        <v>92</v>
      </c>
      <c r="O35" s="13">
        <f>N35*VLOOKUP('Données projet'!$B$9,Paramètres!$A$1:$I$89,3,0)*VLOOKUP('Données projet'!$B$9,Paramètres!$A$1:$I$89,5,0)</f>
        <v>83.241600000000005</v>
      </c>
      <c r="P35" s="13">
        <f t="shared" si="33"/>
        <v>22.927930643846508</v>
      </c>
      <c r="Q35" s="20">
        <f t="shared" ref="Q35:Q66" si="53">(O35+P35)*0.475*44/12</f>
        <v>184.91193253803269</v>
      </c>
      <c r="R35" s="59">
        <f t="shared" si="0"/>
        <v>478.24526587136597</v>
      </c>
      <c r="S35" s="59">
        <f ca="1">AVERAGE(OFFSET($R$3,0,0,'Données projet'!$E$9+1,1))-AVERAGE(OFFSET($H$3,0,0,'Données projet'!$E$9+1,1))</f>
        <v>265.50419397354284</v>
      </c>
      <c r="T35" s="59">
        <f t="shared" si="34"/>
        <v>156.67965022779907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3.2034721454890178</v>
      </c>
      <c r="AA35" s="21">
        <f>EXP(-LN(2)/25)*AA34+(1-EXP(-LN(2)/25))/(LN(2)/25)*Calculateur!V35*Calculateur!X35*VLOOKUP('Données projet'!$B$9,Paramètres!$A$1:$I$89,3,0)*0.475*44/12</f>
        <v>3.9690162119374133</v>
      </c>
      <c r="AB35" s="21">
        <f>EXP(-LN(2)/2)*AB34+(1-EXP(-LN(2)/2))/(LN(2)/2)*V35*Y35*VLOOKUP('Données projet'!$B$9,Paramètres!$A$1:$I$89,3,0)*0.475*44/12</f>
        <v>3.0513605027369359</v>
      </c>
      <c r="AC35" s="22">
        <f t="shared" si="3"/>
        <v>10.223848860163367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</v>
      </c>
      <c r="AI35" s="13">
        <f>IF('Données projet'!$A$62&gt;35,AI34+AH35-AQ34,IF(A35&lt;'Données projet'!$A$62,$AF$205^A35,IF(A35='Données projet'!$A$62,'Données projet'!$B$62,AI34+AH35-AQ34)))</f>
        <v>92</v>
      </c>
      <c r="AJ35" s="13">
        <f>AI35*VLOOKUP('Données projet'!$B$10,Paramètres!$A$1:$I$89,3,0)*VLOOKUP('Données projet'!$B$10,Paramètres!$A$1:$I$89,5,0)</f>
        <v>93.288000000000011</v>
      </c>
      <c r="AK35" s="13">
        <f t="shared" si="35"/>
        <v>25.356547829040977</v>
      </c>
      <c r="AL35" s="20">
        <f t="shared" si="4"/>
        <v>206.63925413557971</v>
      </c>
      <c r="AM35" s="59">
        <f t="shared" si="5"/>
        <v>499.97258746891305</v>
      </c>
      <c r="AN35" s="59">
        <f ca="1">AVERAGE(OFFSET($AM$3,0,0,'Données projet'!$E$10+1,1))-AVERAGE(OFFSET($H$3,0,0,'Données projet'!$E$10+1,1))</f>
        <v>296.43642006376018</v>
      </c>
      <c r="AO35" s="59">
        <f t="shared" si="36"/>
        <v>179.56041631665812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3.5900980940825198</v>
      </c>
      <c r="AV35" s="21">
        <f>EXP(-LN(2)/25)*AV34+(1-EXP(-LN(2)/25))/(LN(2)/25)*Calculateur!AQ35*Calculateur!AS35*VLOOKUP('Données projet'!$B$10,Paramètres!$A$1:$I$89,3,0)*0.475*44/12</f>
        <v>4.4480354099298598</v>
      </c>
      <c r="AW35" s="21">
        <f>EXP(-LN(2)/2)*AW34+(1-EXP(-LN(2)/2))/(LN(2)/2)*AQ35*AT35*VLOOKUP('Données projet'!$B$10,Paramètres!$A$1:$I$89,3,0)*0.475*44/12</f>
        <v>3.4196281496189811</v>
      </c>
      <c r="AX35" s="21">
        <f t="shared" si="6"/>
        <v>11.45776165363136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11.5</v>
      </c>
      <c r="BD35" s="12">
        <f>IF('Données projet'!$A$88&gt;35,BD34+BC35-BL34,IF(A35&lt;'Données projet'!$A$88,$BA$205^A35,IF(A35='Données projet'!$A$88,'Données projet'!$B$88,BD34+BC35-BL34)))</f>
        <v>130.49999999999994</v>
      </c>
      <c r="BE35" s="13">
        <f>BD35*VLOOKUP('Données projet'!$B$11,Paramètres!$A$1:$I$89,3,0)*VLOOKUP('Données projet'!$B$11,Paramètres!$A$1:$I$89,5,0)</f>
        <v>87.539399999999958</v>
      </c>
      <c r="BF35" s="13">
        <f t="shared" si="37"/>
        <v>23.970833505938423</v>
      </c>
      <c r="BG35" s="20">
        <f t="shared" si="7"/>
        <v>194.21365668950932</v>
      </c>
      <c r="BH35" s="59">
        <f t="shared" si="8"/>
        <v>487.54699002284264</v>
      </c>
      <c r="BI35" s="59">
        <f ca="1">AVERAGE(OFFSET($BH$3,0,0,'Données projet'!$E$11+1,1))-AVERAGE(OFFSET($H$3,0,0,'Données projet'!$E$11+1,1))</f>
        <v>181.32837315090507</v>
      </c>
      <c r="BJ35" s="59">
        <f t="shared" si="38"/>
        <v>175.03267817980338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5.2639428825752335</v>
      </c>
      <c r="BQ35" s="21">
        <f>EXP(-LN(2)/25)*BQ34+(1-EXP(-LN(2)/25))/(LN(2)/25)*Calculateur!BL35*Calculateur!BN35*VLOOKUP('Données projet'!$B$11,Paramètres!$A$1:$I$89,3,0)*0.475*44/12</f>
        <v>6.4354602753590369</v>
      </c>
      <c r="BR35" s="21">
        <f>EXP(-LN(2)/2)*BR34+(1-EXP(-LN(2)/2))/(LN(2)/2)*BL35*BO35*VLOOKUP('Données projet'!$B$11,Paramètres!$A$1:$I$89,3,0)*0.475*44/12</f>
        <v>0.53045159329651637</v>
      </c>
      <c r="BS35" s="22">
        <f t="shared" si="9"/>
        <v>12.229854751230787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</v>
      </c>
      <c r="BY35" s="12">
        <f>IF('Données projet'!$A$114&gt;35,BY34+BX35-CG34,IF(A35&lt;'Données projet'!$A$114,$BV$205^A35,IF(A35='Données projet'!$A$114,'Données projet'!$B$114,BY34+BX35-CG34)))</f>
        <v>163.49999999999989</v>
      </c>
      <c r="BZ35" s="13">
        <f>BY35*VLOOKUP('Données projet'!$B$12,Paramètres!$A$1:$I$89,3,0)*VLOOKUP('Données projet'!$B$12,Paramètres!$A$1:$I$89,5,0)</f>
        <v>76.517999999999944</v>
      </c>
      <c r="CA35" s="13">
        <f t="shared" si="39"/>
        <v>21.283624623620089</v>
      </c>
      <c r="CB35" s="20">
        <f t="shared" si="10"/>
        <v>170.33782955280489</v>
      </c>
      <c r="CC35" s="59">
        <f t="shared" si="11"/>
        <v>463.67116288613818</v>
      </c>
      <c r="CD35" s="59">
        <f ca="1">AVERAGE(OFFSET($CC$3,0,0,'Données projet'!$E$12+1,1))-AVERAGE(OFFSET($H$3,0,0,'Données projet'!$E$12+1,1))</f>
        <v>226.0452828290525</v>
      </c>
      <c r="CE35" s="59">
        <f t="shared" si="40"/>
        <v>179.89696397462069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8.7237009738109013</v>
      </c>
      <c r="CL35" s="21">
        <f>EXP(-LN(2)/25)*CL34+(1-EXP(-LN(2)/25))/(LN(2)/25)*Calculateur!CG35*Calculateur!CI35*VLOOKUP('Données projet'!$B$12,Paramètres!$A$1:$I$89,3,0)*0.475*44/12</f>
        <v>10.54979176208524</v>
      </c>
      <c r="CM35" s="21">
        <f>EXP(-LN(2)/2)*CM34+(1-EXP(-LN(2)/2))/(LN(2)/2)*CG35*CJ35*VLOOKUP('Données projet'!$B$12,Paramètres!$A$1:$I$89,3,0)*0.475*44/12</f>
        <v>5.5215643217991754</v>
      </c>
      <c r="CN35" s="22">
        <f t="shared" si="12"/>
        <v>24.795057057695317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14.833333333333334</v>
      </c>
      <c r="CT35" s="12">
        <f>IF('Données projet'!$A$140&gt;35,CT34+CS35-DB34,IF(A35&lt;'Données projet'!$A$140,$CQ$205^A35,IF(A35='Données projet'!$A$140,'Données projet'!$B$140,CT34+CS35-DB34)))</f>
        <v>214.33333333333337</v>
      </c>
      <c r="CU35" s="17">
        <f>CT35*VLOOKUP('Données projet'!$B$13,Paramètres!$A$1:$I$89,3,0)*VLOOKUP('Données projet'!$B$13,Paramètres!$A$1:$I$89,5,0)</f>
        <v>128.17133333333337</v>
      </c>
      <c r="CV35" s="13">
        <f t="shared" si="41"/>
        <v>33.5734603980111</v>
      </c>
      <c r="CW35" s="20">
        <f t="shared" si="13"/>
        <v>281.70551574875822</v>
      </c>
      <c r="CX35" s="59">
        <f t="shared" si="14"/>
        <v>575.03884908209147</v>
      </c>
      <c r="CY35" s="59">
        <f ca="1">AVERAGE(OFFSET($CX$3,0,0,'Données projet'!$E$13+1,1))-AVERAGE(OFFSET($H$3,0,0,'Données projet'!$E$13+1,1))</f>
        <v>482.74318690313885</v>
      </c>
      <c r="CZ35" s="59">
        <f t="shared" si="42"/>
        <v>205.57161411620217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11.032827356770573</v>
      </c>
      <c r="DG35" s="21">
        <f>EXP(-LN(2)/25)*DG34+(1-EXP(-LN(2)/25))/(LN(2)/25)*Calculateur!DB35*Calculateur!DD35*VLOOKUP('Données projet'!$B$13,Paramètres!$A$1:$I$89,3,0)*0.475*44/12</f>
        <v>8.9185710324766383</v>
      </c>
      <c r="DH35" s="21">
        <f>EXP(-LN(2)/2)*DH34+(1-EXP(-LN(2)/2))/(LN(2)/2)*DB35*DE35*VLOOKUP('Données projet'!$B$13,Paramètres!$A$1:$I$89,3,0)*0.475*44/12</f>
        <v>2.2644982081992659</v>
      </c>
      <c r="DI35" s="22">
        <f t="shared" si="15"/>
        <v>22.215896597446477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3.06</v>
      </c>
      <c r="DO35" s="12">
        <f>IF('Données projet'!$A$166&gt;35,DO34+DN35-DW34,IF(A35&lt;'Données projet'!$A$166,$DL$205^A35,IF(A35='Données projet'!$A$166,'Données projet'!$B$166,DO34+DN35-DW34)))</f>
        <v>97.920000000000044</v>
      </c>
      <c r="DP35" s="17">
        <f>DO35*VLOOKUP('Données projet'!$B$14,Paramètres!$A$1:$I$89,3,0)*VLOOKUP('Données projet'!$B$14,Paramètres!$A$1:$I$89,5,0)</f>
        <v>47.099520000000027</v>
      </c>
      <c r="DQ35" s="13">
        <f t="shared" si="43"/>
        <v>13.862112772277397</v>
      </c>
      <c r="DR35" s="20">
        <f t="shared" si="16"/>
        <v>106.17484374504984</v>
      </c>
      <c r="DS35" s="59">
        <f t="shared" si="17"/>
        <v>399.50817707838314</v>
      </c>
      <c r="DT35" s="59">
        <f ca="1">AVERAGE(OFFSET($DS$3,0,0,'Données projet'!$E$14+1,1))-AVERAGE(OFFSET($H$3,0,0,'Données projet'!$E$14+1,1))</f>
        <v>247.11965163963526</v>
      </c>
      <c r="DU35" s="59">
        <f t="shared" si="44"/>
        <v>61.686311966192704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</v>
      </c>
      <c r="N36" s="13">
        <f>IF('Données projet'!$A$36&gt;35,N35+M36-V35,IF(A36&lt;'Données projet'!$A$36,$K$205^A36,IF(A36='Données projet'!$A$36,'Données projet'!$B$36,N35+M36-V35)))</f>
        <v>100</v>
      </c>
      <c r="O36" s="13">
        <f>N36*VLOOKUP('Données projet'!$B$9,Paramètres!$A$1:$I$89,3,0)*VLOOKUP('Données projet'!$B$9,Paramètres!$A$1:$I$89,5,0)</f>
        <v>90.47999999999999</v>
      </c>
      <c r="P36" s="13">
        <f t="shared" si="33"/>
        <v>24.680953573367994</v>
      </c>
      <c r="Q36" s="20">
        <f t="shared" si="53"/>
        <v>200.57199414028256</v>
      </c>
      <c r="R36" s="59">
        <f t="shared" si="0"/>
        <v>493.9053274736159</v>
      </c>
      <c r="S36" s="59">
        <f ca="1">AVERAGE(OFFSET($R$3,0,0,'Données projet'!$E$9+1,1))-AVERAGE(OFFSET($H$3,0,0,'Données projet'!$E$9+1,1))</f>
        <v>265.50419397354284</v>
      </c>
      <c r="T36" s="59">
        <f t="shared" si="34"/>
        <v>156.67965022779907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3.140654010641053</v>
      </c>
      <c r="AA36" s="21">
        <f>EXP(-LN(2)/25)*AA35+(1-EXP(-LN(2)/25))/(LN(2)/25)*Calculateur!V36*Calculateur!X36*VLOOKUP('Données projet'!$B$9,Paramètres!$A$1:$I$89,3,0)*0.475*44/12</f>
        <v>3.8604832549004935</v>
      </c>
      <c r="AB36" s="21">
        <f>EXP(-LN(2)/2)*AB35+(1-EXP(-LN(2)/2))/(LN(2)/2)*V36*Y36*VLOOKUP('Données projet'!$B$9,Paramètres!$A$1:$I$89,3,0)*0.475*44/12</f>
        <v>2.1576377033300802</v>
      </c>
      <c r="AC36" s="22">
        <f t="shared" si="3"/>
        <v>9.1587749688716258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</v>
      </c>
      <c r="AI36" s="13">
        <f>IF('Données projet'!$A$62&gt;35,AI35+AH36-AQ35,IF(A36&lt;'Données projet'!$A$62,$AF$205^A36,IF(A36='Données projet'!$A$62,'Données projet'!$B$62,AI35+AH36-AQ35)))</f>
        <v>100</v>
      </c>
      <c r="AJ36" s="13">
        <f>AI36*VLOOKUP('Données projet'!$B$10,Paramètres!$A$1:$I$89,3,0)*VLOOKUP('Données projet'!$B$10,Paramètres!$A$1:$I$89,5,0)</f>
        <v>101.4</v>
      </c>
      <c r="AK36" s="13">
        <f t="shared" si="35"/>
        <v>27.295257887453797</v>
      </c>
      <c r="AL36" s="20">
        <f t="shared" si="4"/>
        <v>224.14424082064872</v>
      </c>
      <c r="AM36" s="59">
        <f t="shared" si="5"/>
        <v>517.477574153982</v>
      </c>
      <c r="AN36" s="59">
        <f ca="1">AVERAGE(OFFSET($AM$3,0,0,'Données projet'!$E$10+1,1))-AVERAGE(OFFSET($H$3,0,0,'Données projet'!$E$10+1,1))</f>
        <v>296.43642006376018</v>
      </c>
      <c r="AO36" s="59">
        <f t="shared" si="36"/>
        <v>179.56041631665812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3.5196984602011798</v>
      </c>
      <c r="AV36" s="21">
        <f>EXP(-LN(2)/25)*AV35+(1-EXP(-LN(2)/25))/(LN(2)/25)*Calculateur!AQ36*Calculateur!AS36*VLOOKUP('Données projet'!$B$10,Paramètres!$A$1:$I$89,3,0)*0.475*44/12</f>
        <v>4.3264036477333114</v>
      </c>
      <c r="AW36" s="21">
        <f>EXP(-LN(2)/2)*AW35+(1-EXP(-LN(2)/2))/(LN(2)/2)*AQ36*AT36*VLOOKUP('Données projet'!$B$10,Paramètres!$A$1:$I$89,3,0)*0.475*44/12</f>
        <v>2.4180422537319872</v>
      </c>
      <c r="AX36" s="21">
        <f t="shared" si="6"/>
        <v>10.264144361666478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11.5</v>
      </c>
      <c r="BD36" s="12">
        <f>IF('Données projet'!$A$88&gt;35,BD35+BC36-BL35,IF(A36&lt;'Données projet'!$A$88,$BA$205^A36,IF(A36='Données projet'!$A$88,'Données projet'!$B$88,BD35+BC36-BL35)))</f>
        <v>141.99999999999994</v>
      </c>
      <c r="BE36" s="13">
        <f>BD36*VLOOKUP('Données projet'!$B$11,Paramètres!$A$1:$I$89,3,0)*VLOOKUP('Données projet'!$B$11,Paramètres!$A$1:$I$89,5,0)</f>
        <v>95.253599999999963</v>
      </c>
      <c r="BF36" s="13">
        <f t="shared" si="37"/>
        <v>25.828052970353951</v>
      </c>
      <c r="BG36" s="20">
        <f t="shared" si="7"/>
        <v>210.88387892336638</v>
      </c>
      <c r="BH36" s="59">
        <f t="shared" si="8"/>
        <v>504.21721225669967</v>
      </c>
      <c r="BI36" s="59">
        <f ca="1">AVERAGE(OFFSET($BH$3,0,0,'Données projet'!$E$11+1,1))-AVERAGE(OFFSET($H$3,0,0,'Données projet'!$E$11+1,1))</f>
        <v>181.32837315090507</v>
      </c>
      <c r="BJ36" s="59">
        <f t="shared" si="38"/>
        <v>175.03267817980338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5.1607201733360624</v>
      </c>
      <c r="BQ36" s="21">
        <f>EXP(-LN(2)/25)*BQ35+(1-EXP(-LN(2)/25))/(LN(2)/25)*Calculateur!BL36*Calculateur!BN36*VLOOKUP('Données projet'!$B$11,Paramètres!$A$1:$I$89,3,0)*0.475*44/12</f>
        <v>6.2594822757031965</v>
      </c>
      <c r="BR36" s="21">
        <f>EXP(-LN(2)/2)*BR35+(1-EXP(-LN(2)/2))/(LN(2)/2)*BL36*BO36*VLOOKUP('Données projet'!$B$11,Paramètres!$A$1:$I$89,3,0)*0.475*44/12</f>
        <v>0.3750859187111753</v>
      </c>
      <c r="BS36" s="22">
        <f t="shared" si="9"/>
        <v>11.795288367750434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</v>
      </c>
      <c r="BY36" s="12">
        <f>IF('Données projet'!$A$114&gt;35,BY35+BX36-CG35,IF(A36&lt;'Données projet'!$A$114,$BV$205^A36,IF(A36='Données projet'!$A$114,'Données projet'!$B$114,BY35+BX36-CG35)))</f>
        <v>173.49999999999989</v>
      </c>
      <c r="BZ36" s="13">
        <f>BY36*VLOOKUP('Données projet'!$B$12,Paramètres!$A$1:$I$89,3,0)*VLOOKUP('Données projet'!$B$12,Paramètres!$A$1:$I$89,5,0)</f>
        <v>81.197999999999951</v>
      </c>
      <c r="CA36" s="13">
        <f t="shared" si="39"/>
        <v>22.429847477648512</v>
      </c>
      <c r="CB36" s="20">
        <f t="shared" si="10"/>
        <v>180.48516769023772</v>
      </c>
      <c r="CC36" s="59">
        <f t="shared" si="11"/>
        <v>473.818501023571</v>
      </c>
      <c r="CD36" s="59">
        <f ca="1">AVERAGE(OFFSET($CC$3,0,0,'Données projet'!$E$12+1,1))-AVERAGE(OFFSET($H$3,0,0,'Données projet'!$E$12+1,1))</f>
        <v>226.0452828290525</v>
      </c>
      <c r="CE36" s="59">
        <f t="shared" si="40"/>
        <v>179.89696397462069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8.5526345186466646</v>
      </c>
      <c r="CL36" s="21">
        <f>EXP(-LN(2)/25)*CL35+(1-EXP(-LN(2)/25))/(LN(2)/25)*Calculateur!CG36*Calculateur!CI36*VLOOKUP('Données projet'!$B$12,Paramètres!$A$1:$I$89,3,0)*0.475*44/12</f>
        <v>10.261307151561583</v>
      </c>
      <c r="CM36" s="21">
        <f>EXP(-LN(2)/2)*CM35+(1-EXP(-LN(2)/2))/(LN(2)/2)*CG36*CJ36*VLOOKUP('Données projet'!$B$12,Paramètres!$A$1:$I$89,3,0)*0.475*44/12</f>
        <v>3.9043355747018973</v>
      </c>
      <c r="CN36" s="22">
        <f t="shared" si="12"/>
        <v>22.718277244910144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14.833333333333334</v>
      </c>
      <c r="CT36" s="12">
        <f>IF('Données projet'!$A$140&gt;35,CT35+CS36-DB35,IF(A36&lt;'Données projet'!$A$140,$CQ$205^A36,IF(A36='Données projet'!$A$140,'Données projet'!$B$140,CT35+CS36-DB35)))</f>
        <v>229.16666666666671</v>
      </c>
      <c r="CU36" s="17">
        <f>CT36*VLOOKUP('Données projet'!$B$13,Paramètres!$A$1:$I$89,3,0)*VLOOKUP('Données projet'!$B$13,Paramètres!$A$1:$I$89,5,0)</f>
        <v>137.04166666666671</v>
      </c>
      <c r="CV36" s="13">
        <f t="shared" si="41"/>
        <v>35.618452776877568</v>
      </c>
      <c r="CW36" s="20">
        <f t="shared" si="13"/>
        <v>300.7163746975063</v>
      </c>
      <c r="CX36" s="59">
        <f t="shared" si="14"/>
        <v>594.04970803083961</v>
      </c>
      <c r="CY36" s="59">
        <f ca="1">AVERAGE(OFFSET($CX$3,0,0,'Données projet'!$E$13+1,1))-AVERAGE(OFFSET($H$3,0,0,'Données projet'!$E$13+1,1))</f>
        <v>482.74318690313885</v>
      </c>
      <c r="CZ36" s="59">
        <f t="shared" si="42"/>
        <v>205.57161411620217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10.816480341664521</v>
      </c>
      <c r="DG36" s="21">
        <f>EXP(-LN(2)/25)*DG35+(1-EXP(-LN(2)/25))/(LN(2)/25)*Calculateur!DB36*Calculateur!DD36*VLOOKUP('Données projet'!$B$13,Paramètres!$A$1:$I$89,3,0)*0.475*44/12</f>
        <v>8.6746922385862977</v>
      </c>
      <c r="DH36" s="21">
        <f>EXP(-LN(2)/2)*DH35+(1-EXP(-LN(2)/2))/(LN(2)/2)*DB36*DE36*VLOOKUP('Données projet'!$B$13,Paramètres!$A$1:$I$89,3,0)*0.475*44/12</f>
        <v>1.6012420390024873</v>
      </c>
      <c r="DI36" s="22">
        <f t="shared" si="15"/>
        <v>21.092414619253304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3.06</v>
      </c>
      <c r="DO36" s="12">
        <f>IF('Données projet'!$A$166&gt;35,DO35+DN36-DW35,IF(A36&lt;'Données projet'!$A$166,$DL$205^A36,IF(A36='Données projet'!$A$166,'Données projet'!$B$166,DO35+DN36-DW35)))</f>
        <v>100.98000000000005</v>
      </c>
      <c r="DP36" s="17">
        <f>DO36*VLOOKUP('Données projet'!$B$14,Paramètres!$A$1:$I$89,3,0)*VLOOKUP('Données projet'!$B$14,Paramètres!$A$1:$I$89,5,0)</f>
        <v>48.571380000000019</v>
      </c>
      <c r="DQ36" s="13">
        <f t="shared" si="43"/>
        <v>14.24419216708789</v>
      </c>
      <c r="DR36" s="20">
        <f t="shared" si="16"/>
        <v>109.40378819101143</v>
      </c>
      <c r="DS36" s="59">
        <f t="shared" si="17"/>
        <v>402.73712152434473</v>
      </c>
      <c r="DT36" s="59">
        <f ca="1">AVERAGE(OFFSET($DS$3,0,0,'Données projet'!$E$14+1,1))-AVERAGE(OFFSET($H$3,0,0,'Données projet'!$E$14+1,1))</f>
        <v>247.11965163963526</v>
      </c>
      <c r="DU36" s="59">
        <f t="shared" si="44"/>
        <v>61.686311966192704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</v>
      </c>
      <c r="N37" s="13">
        <f>IF('Données projet'!$A$36&gt;35,N36+M37-V36,IF(A37&lt;'Données projet'!$A$36,$K$205^A37,IF(A37='Données projet'!$A$36,'Données projet'!$B$36,N36+M37-V36)))</f>
        <v>108</v>
      </c>
      <c r="O37" s="13">
        <f>N37*VLOOKUP('Données projet'!$B$9,Paramètres!$A$1:$I$89,3,0)*VLOOKUP('Données projet'!$B$9,Paramètres!$A$1:$I$89,5,0)</f>
        <v>97.718399999999988</v>
      </c>
      <c r="P37" s="13">
        <f t="shared" si="33"/>
        <v>26.417709819192194</v>
      </c>
      <c r="Q37" s="20">
        <f t="shared" si="53"/>
        <v>216.20372460175972</v>
      </c>
      <c r="R37" s="59">
        <f t="shared" si="0"/>
        <v>509.537057935093</v>
      </c>
      <c r="S37" s="59">
        <f ca="1">AVERAGE(OFFSET($R$3,0,0,'Données projet'!$E$9+1,1))-AVERAGE(OFFSET($H$3,0,0,'Données projet'!$E$9+1,1))</f>
        <v>265.50419397354284</v>
      </c>
      <c r="T37" s="59">
        <f t="shared" si="34"/>
        <v>156.67965022779907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3.0790677011021779</v>
      </c>
      <c r="AA37" s="21">
        <f>EXP(-LN(2)/25)*AA36+(1-EXP(-LN(2)/25))/(LN(2)/25)*Calculateur!V37*Calculateur!X37*VLOOKUP('Données projet'!$B$9,Paramètres!$A$1:$I$89,3,0)*0.475*44/12</f>
        <v>3.7549181372812486</v>
      </c>
      <c r="AB37" s="21">
        <f>EXP(-LN(2)/2)*AB36+(1-EXP(-LN(2)/2))/(LN(2)/2)*V37*Y37*VLOOKUP('Données projet'!$B$9,Paramètres!$A$1:$I$89,3,0)*0.475*44/12</f>
        <v>1.525680251368468</v>
      </c>
      <c r="AC37" s="22">
        <f t="shared" si="3"/>
        <v>8.3596660897518955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</v>
      </c>
      <c r="AI37" s="13">
        <f>IF('Données projet'!$A$62&gt;35,AI36+AH37-AQ36,IF(A37&lt;'Données projet'!$A$62,$AF$205^A37,IF(A37='Données projet'!$A$62,'Données projet'!$B$62,AI36+AH37-AQ36)))</f>
        <v>108</v>
      </c>
      <c r="AJ37" s="13">
        <f>AI37*VLOOKUP('Données projet'!$B$10,Paramètres!$A$1:$I$89,3,0)*VLOOKUP('Données projet'!$B$10,Paramètres!$A$1:$I$89,5,0)</f>
        <v>109.51200000000001</v>
      </c>
      <c r="AK37" s="13">
        <f t="shared" si="35"/>
        <v>29.215978230632555</v>
      </c>
      <c r="AL37" s="20">
        <f t="shared" si="4"/>
        <v>241.61789541835174</v>
      </c>
      <c r="AM37" s="59">
        <f t="shared" si="5"/>
        <v>534.95122875168499</v>
      </c>
      <c r="AN37" s="59">
        <f ca="1">AVERAGE(OFFSET($AM$3,0,0,'Données projet'!$E$10+1,1))-AVERAGE(OFFSET($H$3,0,0,'Données projet'!$E$10+1,1))</f>
        <v>296.43642006376018</v>
      </c>
      <c r="AO37" s="59">
        <f t="shared" si="36"/>
        <v>179.56041631665812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3.4506793202007162</v>
      </c>
      <c r="AV37" s="21">
        <f>EXP(-LN(2)/25)*AV36+(1-EXP(-LN(2)/25))/(LN(2)/25)*Calculateur!AQ37*Calculateur!AS37*VLOOKUP('Données projet'!$B$10,Paramètres!$A$1:$I$89,3,0)*0.475*44/12</f>
        <v>4.2080979124703646</v>
      </c>
      <c r="AW37" s="21">
        <f>EXP(-LN(2)/2)*AW36+(1-EXP(-LN(2)/2))/(LN(2)/2)*AQ37*AT37*VLOOKUP('Données projet'!$B$10,Paramètres!$A$1:$I$89,3,0)*0.475*44/12</f>
        <v>1.7098140748094905</v>
      </c>
      <c r="AX37" s="21">
        <f t="shared" si="6"/>
        <v>9.3685913074805711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11.5</v>
      </c>
      <c r="BD37" s="12">
        <f>IF('Données projet'!$A$88&gt;35,BD36+BC37-BL36,IF(A37&lt;'Données projet'!$A$88,$BA$205^A37,IF(A37='Données projet'!$A$88,'Données projet'!$B$88,BD36+BC37-BL36)))</f>
        <v>153.49999999999994</v>
      </c>
      <c r="BE37" s="13">
        <f>BD37*VLOOKUP('Données projet'!$B$11,Paramètres!$A$1:$I$89,3,0)*VLOOKUP('Données projet'!$B$11,Paramètres!$A$1:$I$89,5,0)</f>
        <v>102.96779999999997</v>
      </c>
      <c r="BF37" s="13">
        <f t="shared" si="37"/>
        <v>27.667827015814101</v>
      </c>
      <c r="BG37" s="20">
        <f t="shared" si="7"/>
        <v>227.52371705254282</v>
      </c>
      <c r="BH37" s="59">
        <f t="shared" si="8"/>
        <v>520.85705038587616</v>
      </c>
      <c r="BI37" s="59">
        <f ca="1">AVERAGE(OFFSET($BH$3,0,0,'Données projet'!$E$11+1,1))-AVERAGE(OFFSET($H$3,0,0,'Données projet'!$E$11+1,1))</f>
        <v>181.32837315090507</v>
      </c>
      <c r="BJ37" s="59">
        <f t="shared" si="38"/>
        <v>175.03267817980338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5.0595215984654356</v>
      </c>
      <c r="BQ37" s="21">
        <f>EXP(-LN(2)/25)*BQ36+(1-EXP(-LN(2)/25))/(LN(2)/25)*Calculateur!BL37*Calculateur!BN37*VLOOKUP('Données projet'!$B$11,Paramètres!$A$1:$I$89,3,0)*0.475*44/12</f>
        <v>6.0883164037022262</v>
      </c>
      <c r="BR37" s="21">
        <f>EXP(-LN(2)/2)*BR36+(1-EXP(-LN(2)/2))/(LN(2)/2)*BL37*BO37*VLOOKUP('Données projet'!$B$11,Paramètres!$A$1:$I$89,3,0)*0.475*44/12</f>
        <v>0.26522579664825818</v>
      </c>
      <c r="BS37" s="22">
        <f t="shared" si="9"/>
        <v>11.413063798815919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</v>
      </c>
      <c r="BY37" s="12">
        <f>IF('Données projet'!$A$114&gt;35,BY36+BX37-CG36,IF(A37&lt;'Données projet'!$A$114,$BV$205^A37,IF(A37='Données projet'!$A$114,'Données projet'!$B$114,BY36+BX37-CG36)))</f>
        <v>183.49999999999989</v>
      </c>
      <c r="BZ37" s="13">
        <f>BY37*VLOOKUP('Données projet'!$B$12,Paramètres!$A$1:$I$89,3,0)*VLOOKUP('Données projet'!$B$12,Paramètres!$A$1:$I$89,5,0)</f>
        <v>85.877999999999957</v>
      </c>
      <c r="CA37" s="13">
        <f t="shared" si="39"/>
        <v>23.56840165498652</v>
      </c>
      <c r="CB37" s="20">
        <f t="shared" si="10"/>
        <v>190.61914954910142</v>
      </c>
      <c r="CC37" s="59">
        <f t="shared" si="11"/>
        <v>483.95248288243477</v>
      </c>
      <c r="CD37" s="59">
        <f ca="1">AVERAGE(OFFSET($CC$3,0,0,'Données projet'!$E$12+1,1))-AVERAGE(OFFSET($H$3,0,0,'Données projet'!$E$12+1,1))</f>
        <v>226.0452828290525</v>
      </c>
      <c r="CE37" s="59">
        <f t="shared" si="40"/>
        <v>179.89696397462069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8.3849225723279641</v>
      </c>
      <c r="CL37" s="21">
        <f>EXP(-LN(2)/25)*CL36+(1-EXP(-LN(2)/25))/(LN(2)/25)*Calculateur!CG37*Calculateur!CI37*VLOOKUP('Données projet'!$B$12,Paramètres!$A$1:$I$89,3,0)*0.475*44/12</f>
        <v>9.9807111678834417</v>
      </c>
      <c r="CM37" s="21">
        <f>EXP(-LN(2)/2)*CM36+(1-EXP(-LN(2)/2))/(LN(2)/2)*CG37*CJ37*VLOOKUP('Données projet'!$B$12,Paramètres!$A$1:$I$89,3,0)*0.475*44/12</f>
        <v>2.7607821608995882</v>
      </c>
      <c r="CN37" s="22">
        <f t="shared" si="12"/>
        <v>21.126415901110995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>
        <f>VLOOKUP(A37,'Données projet'!$A$139:$I$159,2,0)</f>
        <v>244</v>
      </c>
      <c r="CR37" s="12">
        <f>VLOOKUP(A37,'Données projet'!$A$139:$I$159,9,0)</f>
        <v>14.833333333333334</v>
      </c>
      <c r="CS37" s="12">
        <f t="array" ref="CS37">INDEX(CR:CR,MIN(IF(ISNUMBER(CR37:CR233),ROW(CR37:CR233),"")))</f>
        <v>14.833333333333334</v>
      </c>
      <c r="CT37" s="12">
        <f>IF('Données projet'!$A$140&gt;35,CT36+CS37-DB36,IF(A37&lt;'Données projet'!$A$140,$CQ$205^A37,IF(A37='Données projet'!$A$140,'Données projet'!$B$140,CT36+CS37-DB36)))</f>
        <v>244.00000000000006</v>
      </c>
      <c r="CU37" s="17">
        <f>CT37*VLOOKUP('Données projet'!$B$13,Paramètres!$A$1:$I$89,3,0)*VLOOKUP('Données projet'!$B$13,Paramètres!$A$1:$I$89,5,0)</f>
        <v>145.91200000000006</v>
      </c>
      <c r="CV37" s="13">
        <f t="shared" si="41"/>
        <v>37.648084239987625</v>
      </c>
      <c r="CW37" s="20">
        <f t="shared" si="13"/>
        <v>319.7004800513119</v>
      </c>
      <c r="CX37" s="59">
        <f t="shared" si="14"/>
        <v>613.03381338464521</v>
      </c>
      <c r="CY37" s="59">
        <f ca="1">AVERAGE(OFFSET($CX$3,0,0,'Données projet'!$E$13+1,1))-AVERAGE(OFFSET($H$3,0,0,'Données projet'!$E$13+1,1))</f>
        <v>482.74318690313885</v>
      </c>
      <c r="CZ37" s="59">
        <f t="shared" si="42"/>
        <v>205.57161411620217</v>
      </c>
      <c r="DA37" s="15">
        <f>IF(ISNA(VLOOKUP(A37,'Données projet'!$A$139:$I$159,3,0)),0,VLOOKUP(A37,'Données projet'!$A$139:$I$159,3,0))</f>
        <v>6</v>
      </c>
      <c r="DB37" s="15">
        <f>IF(ISNA(VLOOKUP(A37,'Données projet'!$A$139:$I$159,4,0)),0,VLOOKUP(A37,'Données projet'!$A$139:$I$159,4,0))</f>
        <v>46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10.604375759566048</v>
      </c>
      <c r="DG37" s="21">
        <f>EXP(-LN(2)/25)*DG36+(1-EXP(-LN(2)/25))/(LN(2)/25)*Calculateur!DB37*Calculateur!DD37*VLOOKUP('Données projet'!$B$13,Paramètres!$A$1:$I$89,3,0)*0.475*44/12</f>
        <v>8.4374823231399176</v>
      </c>
      <c r="DH37" s="21">
        <f>EXP(-LN(2)/2)*DH36+(1-EXP(-LN(2)/2))/(LN(2)/2)*DB37*DE37*VLOOKUP('Données projet'!$B$13,Paramètres!$A$1:$I$89,3,0)*0.475*44/12</f>
        <v>1.132249104099633</v>
      </c>
      <c r="DI37" s="22">
        <f t="shared" si="15"/>
        <v>20.174107186805596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3.06</v>
      </c>
      <c r="DO37" s="12">
        <f>IF('Données projet'!$A$166&gt;35,DO36+DN37-DW36,IF(A37&lt;'Données projet'!$A$166,$DL$205^A37,IF(A37='Données projet'!$A$166,'Données projet'!$B$166,DO36+DN37-DW36)))</f>
        <v>104.04000000000005</v>
      </c>
      <c r="DP37" s="17">
        <f>DO37*VLOOKUP('Données projet'!$B$14,Paramètres!$A$1:$I$89,3,0)*VLOOKUP('Données projet'!$B$14,Paramètres!$A$1:$I$89,5,0)</f>
        <v>50.043240000000026</v>
      </c>
      <c r="DQ37" s="13">
        <f t="shared" si="43"/>
        <v>14.6249260201482</v>
      </c>
      <c r="DR37" s="20">
        <f t="shared" si="16"/>
        <v>112.63038915175814</v>
      </c>
      <c r="DS37" s="59">
        <f t="shared" si="17"/>
        <v>405.96372248509147</v>
      </c>
      <c r="DT37" s="59">
        <f ca="1">AVERAGE(OFFSET($DS$3,0,0,'Données projet'!$E$14+1,1))-AVERAGE(OFFSET($H$3,0,0,'Données projet'!$E$14+1,1))</f>
        <v>247.11965163963526</v>
      </c>
      <c r="DU37" s="59">
        <f t="shared" si="44"/>
        <v>61.686311966192704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116</v>
      </c>
      <c r="L38" s="12">
        <f>VLOOKUP(A38,'Données projet'!$A$35:$I$55,9,0)</f>
        <v>8</v>
      </c>
      <c r="M38" s="12">
        <f t="array" ref="M38">INDEX(L:L,MIN(IF(ISNUMBER(L38:L234),ROW(L38:L234),"")))</f>
        <v>8</v>
      </c>
      <c r="N38" s="13">
        <f>IF('Données projet'!$A$36&gt;35,N37+M38-V37,IF(A38&lt;'Données projet'!$A$36,$K$205^A38,IF(A38='Données projet'!$A$36,'Données projet'!$B$36,N37+M38-V37)))</f>
        <v>116</v>
      </c>
      <c r="O38" s="13">
        <f>N38*VLOOKUP('Données projet'!$B$9,Paramètres!$A$1:$I$89,3,0)*VLOOKUP('Données projet'!$B$9,Paramètres!$A$1:$I$89,5,0)</f>
        <v>104.9568</v>
      </c>
      <c r="P38" s="13">
        <f t="shared" si="33"/>
        <v>28.139541339232373</v>
      </c>
      <c r="Q38" s="20">
        <f t="shared" si="53"/>
        <v>231.8094611658297</v>
      </c>
      <c r="R38" s="59">
        <f t="shared" si="0"/>
        <v>525.14279449916307</v>
      </c>
      <c r="S38" s="59">
        <f ca="1">AVERAGE(OFFSET($R$3,0,0,'Données projet'!$E$9+1,1))-AVERAGE(OFFSET($H$3,0,0,'Données projet'!$E$9+1,1))</f>
        <v>265.50419397354284</v>
      </c>
      <c r="T38" s="59">
        <f t="shared" si="34"/>
        <v>156.67965022779907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21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3.0186890615294204</v>
      </c>
      <c r="AA38" s="21">
        <f>EXP(-LN(2)/25)*AA37+(1-EXP(-LN(2)/25))/(LN(2)/25)*Calculateur!V38*Calculateur!X38*VLOOKUP('Données projet'!$B$9,Paramètres!$A$1:$I$89,3,0)*0.475*44/12</f>
        <v>3.6522397033547298</v>
      </c>
      <c r="AB38" s="21">
        <f>EXP(-LN(2)/2)*AB37+(1-EXP(-LN(2)/2))/(LN(2)/2)*V38*Y38*VLOOKUP('Données projet'!$B$9,Paramètres!$A$1:$I$89,3,0)*0.475*44/12</f>
        <v>1.0788188516650401</v>
      </c>
      <c r="AC38" s="22">
        <f t="shared" si="3"/>
        <v>7.7497476165491905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116</v>
      </c>
      <c r="AG38" s="12">
        <f>VLOOKUP(A38,'Données projet'!$A$61:$I$81,9,0)</f>
        <v>8</v>
      </c>
      <c r="AH38" s="12">
        <f t="array" ref="AH38">INDEX(AG:AG,MIN(IF(ISNUMBER(AG38:AG234),ROW(AG38:AG234),"")))</f>
        <v>8</v>
      </c>
      <c r="AI38" s="13">
        <f>IF('Données projet'!$A$62&gt;35,AI37+AH38-AQ37,IF(A38&lt;'Données projet'!$A$62,$AF$205^A38,IF(A38='Données projet'!$A$62,'Données projet'!$B$62,AI37+AH38-AQ37)))</f>
        <v>116</v>
      </c>
      <c r="AJ38" s="13">
        <f>AI38*VLOOKUP('Données projet'!$B$10,Paramètres!$A$1:$I$89,3,0)*VLOOKUP('Données projet'!$B$10,Paramètres!$A$1:$I$89,5,0)</f>
        <v>117.62400000000001</v>
      </c>
      <c r="AK38" s="13">
        <f t="shared" si="35"/>
        <v>31.120192961985413</v>
      </c>
      <c r="AL38" s="20">
        <f t="shared" si="4"/>
        <v>259.06280274212457</v>
      </c>
      <c r="AM38" s="59">
        <f t="shared" si="5"/>
        <v>552.39613607545789</v>
      </c>
      <c r="AN38" s="59">
        <f ca="1">AVERAGE(OFFSET($AM$3,0,0,'Données projet'!$E$10+1,1))-AVERAGE(OFFSET($H$3,0,0,'Données projet'!$E$10+1,1))</f>
        <v>296.43642006376018</v>
      </c>
      <c r="AO38" s="59">
        <f t="shared" si="36"/>
        <v>179.56041631665812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21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3.3830136034381431</v>
      </c>
      <c r="AV38" s="21">
        <f>EXP(-LN(2)/25)*AV37+(1-EXP(-LN(2)/25))/(LN(2)/25)*Calculateur!AQ38*Calculateur!AS38*VLOOKUP('Données projet'!$B$10,Paramètres!$A$1:$I$89,3,0)*0.475*44/12</f>
        <v>4.0930272537596109</v>
      </c>
      <c r="AW38" s="21">
        <f>EXP(-LN(2)/2)*AW37+(1-EXP(-LN(2)/2))/(LN(2)/2)*AQ38*AT38*VLOOKUP('Données projet'!$B$10,Paramètres!$A$1:$I$89,3,0)*0.475*44/12</f>
        <v>1.2090211268659936</v>
      </c>
      <c r="AX38" s="21">
        <f t="shared" si="6"/>
        <v>8.6850619840637471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11.5</v>
      </c>
      <c r="BD38" s="12">
        <f>IF('Données projet'!$A$88&gt;35,BD37+BC38-BL37,IF(A38&lt;'Données projet'!$A$88,$BA$205^A38,IF(A38='Données projet'!$A$88,'Données projet'!$B$88,BD37+BC38-BL37)))</f>
        <v>164.99999999999994</v>
      </c>
      <c r="BE38" s="13">
        <f>BD38*VLOOKUP('Données projet'!$B$11,Paramètres!$A$1:$I$89,3,0)*VLOOKUP('Données projet'!$B$11,Paramètres!$A$1:$I$89,5,0)</f>
        <v>110.68199999999996</v>
      </c>
      <c r="BF38" s="13">
        <f t="shared" si="37"/>
        <v>29.491611243899666</v>
      </c>
      <c r="BG38" s="20">
        <f t="shared" si="7"/>
        <v>244.13570624979181</v>
      </c>
      <c r="BH38" s="59">
        <f t="shared" si="8"/>
        <v>537.4690395831251</v>
      </c>
      <c r="BI38" s="59">
        <f ca="1">AVERAGE(OFFSET($BH$3,0,0,'Données projet'!$E$11+1,1))-AVERAGE(OFFSET($H$3,0,0,'Données projet'!$E$11+1,1))</f>
        <v>181.32837315090507</v>
      </c>
      <c r="BJ38" s="59">
        <f t="shared" si="38"/>
        <v>175.03267817980338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4.9603074659229858</v>
      </c>
      <c r="BQ38" s="21">
        <f>EXP(-LN(2)/25)*BQ37+(1-EXP(-LN(2)/25))/(LN(2)/25)*Calculateur!BL38*Calculateur!BN38*VLOOKUP('Données projet'!$B$11,Paramètres!$A$1:$I$89,3,0)*0.475*44/12</f>
        <v>5.9218310714723446</v>
      </c>
      <c r="BR38" s="21">
        <f>EXP(-LN(2)/2)*BR37+(1-EXP(-LN(2)/2))/(LN(2)/2)*BL38*BO38*VLOOKUP('Données projet'!$B$11,Paramètres!$A$1:$I$89,3,0)*0.475*44/12</f>
        <v>0.18754295935558765</v>
      </c>
      <c r="BS38" s="22">
        <f t="shared" si="9"/>
        <v>11.069681496750919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10</v>
      </c>
      <c r="BY38" s="12">
        <f>IF('Données projet'!$A$114&gt;35,BY37+BX38-CG37,IF(A38&lt;'Données projet'!$A$114,$BV$205^A38,IF(A38='Données projet'!$A$114,'Données projet'!$B$114,BY37+BX38-CG37)))</f>
        <v>193.49999999999989</v>
      </c>
      <c r="BZ38" s="13">
        <f>BY38*VLOOKUP('Données projet'!$B$12,Paramètres!$A$1:$I$89,3,0)*VLOOKUP('Données projet'!$B$12,Paramètres!$A$1:$I$89,5,0)</f>
        <v>90.55799999999995</v>
      </c>
      <c r="CA38" s="13">
        <f t="shared" si="39"/>
        <v>24.699752708509138</v>
      </c>
      <c r="CB38" s="20">
        <f t="shared" si="10"/>
        <v>200.74058596732002</v>
      </c>
      <c r="CC38" s="59">
        <f t="shared" si="11"/>
        <v>494.0739193006533</v>
      </c>
      <c r="CD38" s="59">
        <f ca="1">AVERAGE(OFFSET($CC$3,0,0,'Données projet'!$E$12+1,1))-AVERAGE(OFFSET($H$3,0,0,'Données projet'!$E$12+1,1))</f>
        <v>226.0452828290525</v>
      </c>
      <c r="CE38" s="59">
        <f t="shared" si="40"/>
        <v>179.89696397462069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8.2204993549823868</v>
      </c>
      <c r="CL38" s="21">
        <f>EXP(-LN(2)/25)*CL37+(1-EXP(-LN(2)/25))/(LN(2)/25)*Calculateur!CG38*Calculateur!CI38*VLOOKUP('Données projet'!$B$12,Paramètres!$A$1:$I$89,3,0)*0.475*44/12</f>
        <v>9.7077880961348804</v>
      </c>
      <c r="CM38" s="21">
        <f>EXP(-LN(2)/2)*CM37+(1-EXP(-LN(2)/2))/(LN(2)/2)*CG38*CJ38*VLOOKUP('Données projet'!$B$12,Paramètres!$A$1:$I$89,3,0)*0.475*44/12</f>
        <v>1.9521677873509491</v>
      </c>
      <c r="CN38" s="22">
        <f t="shared" si="12"/>
        <v>19.880455238468215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12.833333333333334</v>
      </c>
      <c r="CT38" s="12">
        <f>IF('Données projet'!$A$140&gt;35,CT37+CS38-DB37,IF(A38&lt;'Données projet'!$A$140,$CQ$205^A38,IF(A38='Données projet'!$A$140,'Données projet'!$B$140,CT37+CS38-DB37)))</f>
        <v>210.83333333333337</v>
      </c>
      <c r="CU38" s="17">
        <f>CT38*VLOOKUP('Données projet'!$B$13,Paramètres!$A$1:$I$89,3,0)*VLOOKUP('Données projet'!$B$13,Paramètres!$A$1:$I$89,5,0)</f>
        <v>126.07833333333336</v>
      </c>
      <c r="CV38" s="13">
        <f t="shared" si="41"/>
        <v>33.08856817390501</v>
      </c>
      <c r="CW38" s="20">
        <f t="shared" si="13"/>
        <v>277.21568679177352</v>
      </c>
      <c r="CX38" s="59">
        <f t="shared" si="14"/>
        <v>570.54902012510684</v>
      </c>
      <c r="CY38" s="59">
        <f ca="1">AVERAGE(OFFSET($CX$3,0,0,'Données projet'!$E$13+1,1))-AVERAGE(OFFSET($H$3,0,0,'Données projet'!$E$13+1,1))</f>
        <v>482.74318690313885</v>
      </c>
      <c r="CZ38" s="59">
        <f t="shared" si="42"/>
        <v>205.57161411620217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10.396430418951507</v>
      </c>
      <c r="DG38" s="21">
        <f>EXP(-LN(2)/25)*DG37+(1-EXP(-LN(2)/25))/(LN(2)/25)*Calculateur!DB38*Calculateur!DD38*VLOOKUP('Données projet'!$B$13,Paramètres!$A$1:$I$89,3,0)*0.475*44/12</f>
        <v>8.2067589253057456</v>
      </c>
      <c r="DH38" s="21">
        <f>EXP(-LN(2)/2)*DH37+(1-EXP(-LN(2)/2))/(LN(2)/2)*DB38*DE38*VLOOKUP('Données projet'!$B$13,Paramètres!$A$1:$I$89,3,0)*0.475*44/12</f>
        <v>0.80062101950124365</v>
      </c>
      <c r="DI38" s="22">
        <f t="shared" si="15"/>
        <v>19.403810363758495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3.06</v>
      </c>
      <c r="DO38" s="12">
        <f>IF('Données projet'!$A$166&gt;35,DO37+DN38-DW37,IF(A38&lt;'Données projet'!$A$166,$DL$205^A38,IF(A38='Données projet'!$A$166,'Données projet'!$B$166,DO37+DN38-DW37)))</f>
        <v>107.10000000000005</v>
      </c>
      <c r="DP38" s="17">
        <f>DO38*VLOOKUP('Données projet'!$B$14,Paramètres!$A$1:$I$89,3,0)*VLOOKUP('Données projet'!$B$14,Paramètres!$A$1:$I$89,5,0)</f>
        <v>51.515100000000025</v>
      </c>
      <c r="DQ38" s="13">
        <f t="shared" si="43"/>
        <v>15.00435845007102</v>
      </c>
      <c r="DR38" s="20">
        <f t="shared" si="16"/>
        <v>115.85472346720707</v>
      </c>
      <c r="DS38" s="59">
        <f t="shared" si="17"/>
        <v>409.18805680054038</v>
      </c>
      <c r="DT38" s="59">
        <f ca="1">AVERAGE(OFFSET($DS$3,0,0,'Données projet'!$E$14+1,1))-AVERAGE(OFFSET($H$3,0,0,'Données projet'!$E$14+1,1))</f>
        <v>247.11965163963526</v>
      </c>
      <c r="DU38" s="59">
        <f t="shared" si="44"/>
        <v>61.686311966192704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8.4</v>
      </c>
      <c r="N39" s="13">
        <f>IF('Données projet'!$A$36&gt;35,N38+M39-V38,IF(A39&lt;'Données projet'!$A$36,$K$205^A39,IF(A39='Données projet'!$A$36,'Données projet'!$B$36,N38+M39-V38)))</f>
        <v>103.4</v>
      </c>
      <c r="O39" s="13">
        <f>N39*VLOOKUP('Données projet'!$B$9,Paramètres!$A$1:$I$89,3,0)*VLOOKUP('Données projet'!$B$9,Paramètres!$A$1:$I$89,5,0)</f>
        <v>93.556319999999999</v>
      </c>
      <c r="P39" s="13">
        <f t="shared" si="33"/>
        <v>25.420979659258073</v>
      </c>
      <c r="Q39" s="20">
        <f t="shared" si="53"/>
        <v>207.21879690654114</v>
      </c>
      <c r="R39" s="59">
        <f t="shared" si="0"/>
        <v>500.55213023987449</v>
      </c>
      <c r="S39" s="59">
        <f ca="1">AVERAGE(OFFSET($R$3,0,0,'Données projet'!$E$9+1,1))-AVERAGE(OFFSET($H$3,0,0,'Données projet'!$E$9+1,1))</f>
        <v>265.50419397354284</v>
      </c>
      <c r="T39" s="59">
        <f t="shared" si="34"/>
        <v>156.67965022779907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2.959494410251351</v>
      </c>
      <c r="AA39" s="21">
        <f>EXP(-LN(2)/25)*AA38+(1-EXP(-LN(2)/25))/(LN(2)/25)*Calculateur!V39*Calculateur!X39*VLOOKUP('Données projet'!$B$9,Paramètres!$A$1:$I$89,3,0)*0.475*44/12</f>
        <v>3.552369016603556</v>
      </c>
      <c r="AB39" s="21">
        <f>EXP(-LN(2)/2)*AB38+(1-EXP(-LN(2)/2))/(LN(2)/2)*V39*Y39*VLOOKUP('Données projet'!$B$9,Paramètres!$A$1:$I$89,3,0)*0.475*44/12</f>
        <v>0.76284012568423398</v>
      </c>
      <c r="AC39" s="22">
        <f t="shared" si="3"/>
        <v>7.2747035525391412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8.4</v>
      </c>
      <c r="AI39" s="13">
        <f>IF('Données projet'!$A$62&gt;35,AI38+AH39-AQ38,IF(A39&lt;'Données projet'!$A$62,$AF$205^A39,IF(A39='Données projet'!$A$62,'Données projet'!$B$62,AI38+AH39-AQ38)))</f>
        <v>103.4</v>
      </c>
      <c r="AJ39" s="13">
        <f>AI39*VLOOKUP('Données projet'!$B$10,Paramètres!$A$1:$I$89,3,0)*VLOOKUP('Données projet'!$B$10,Paramètres!$A$1:$I$89,5,0)</f>
        <v>104.84760000000001</v>
      </c>
      <c r="AK39" s="13">
        <f t="shared" si="35"/>
        <v>28.113670466115643</v>
      </c>
      <c r="AL39" s="20">
        <f t="shared" si="4"/>
        <v>231.57421272848475</v>
      </c>
      <c r="AM39" s="59">
        <f t="shared" si="5"/>
        <v>524.90754606181804</v>
      </c>
      <c r="AN39" s="59">
        <f ca="1">AVERAGE(OFFSET($AM$3,0,0,'Données projet'!$E$10+1,1))-AVERAGE(OFFSET($H$3,0,0,'Données projet'!$E$10+1,1))</f>
        <v>296.43642006376018</v>
      </c>
      <c r="AO39" s="59">
        <f t="shared" si="36"/>
        <v>179.56041631665812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3.3166747701092718</v>
      </c>
      <c r="AV39" s="21">
        <f>EXP(-LN(2)/25)*AV38+(1-EXP(-LN(2)/25))/(LN(2)/25)*Calculateur!AQ39*Calculateur!AS39*VLOOKUP('Données projet'!$B$10,Paramètres!$A$1:$I$89,3,0)*0.475*44/12</f>
        <v>3.9811032082626059</v>
      </c>
      <c r="AW39" s="21">
        <f>EXP(-LN(2)/2)*AW38+(1-EXP(-LN(2)/2))/(LN(2)/2)*AQ39*AT39*VLOOKUP('Données projet'!$B$10,Paramètres!$A$1:$I$89,3,0)*0.475*44/12</f>
        <v>0.85490703740474527</v>
      </c>
      <c r="AX39" s="21">
        <f t="shared" si="6"/>
        <v>8.1526850157766226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11.5</v>
      </c>
      <c r="BD39" s="12">
        <f>IF('Données projet'!$A$88&gt;35,BD38+BC39-BL38,IF(A39&lt;'Données projet'!$A$88,$BA$205^A39,IF(A39='Données projet'!$A$88,'Données projet'!$B$88,BD38+BC39-BL38)))</f>
        <v>176.49999999999994</v>
      </c>
      <c r="BE39" s="13">
        <f>BD39*VLOOKUP('Données projet'!$B$11,Paramètres!$A$1:$I$89,3,0)*VLOOKUP('Données projet'!$B$11,Paramètres!$A$1:$I$89,5,0)</f>
        <v>118.39619999999995</v>
      </c>
      <c r="BF39" s="13">
        <f t="shared" si="37"/>
        <v>31.300646864120012</v>
      </c>
      <c r="BG39" s="20">
        <f t="shared" si="7"/>
        <v>260.72200828834224</v>
      </c>
      <c r="BH39" s="59">
        <f t="shared" si="8"/>
        <v>554.05534162167555</v>
      </c>
      <c r="BI39" s="59">
        <f ca="1">AVERAGE(OFFSET($BH$3,0,0,'Données projet'!$E$11+1,1))-AVERAGE(OFFSET($H$3,0,0,'Données projet'!$E$11+1,1))</f>
        <v>181.32837315090507</v>
      </c>
      <c r="BJ39" s="59">
        <f t="shared" si="38"/>
        <v>175.03267817980338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4.8630388620050482</v>
      </c>
      <c r="BQ39" s="21">
        <f>EXP(-LN(2)/25)*BQ38+(1-EXP(-LN(2)/25))/(LN(2)/25)*Calculateur!BL39*Calculateur!BN39*VLOOKUP('Données projet'!$B$11,Paramètres!$A$1:$I$89,3,0)*0.475*44/12</f>
        <v>5.7598982894073716</v>
      </c>
      <c r="BR39" s="21">
        <f>EXP(-LN(2)/2)*BR38+(1-EXP(-LN(2)/2))/(LN(2)/2)*BL39*BO39*VLOOKUP('Données projet'!$B$11,Paramètres!$A$1:$I$89,3,0)*0.475*44/12</f>
        <v>0.13261289832412909</v>
      </c>
      <c r="BS39" s="22">
        <f t="shared" si="9"/>
        <v>10.755550049736549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10</v>
      </c>
      <c r="BY39" s="12">
        <f>IF('Données projet'!$A$114&gt;35,BY38+BX39-CG38,IF(A39&lt;'Données projet'!$A$114,$BV$205^A39,IF(A39='Données projet'!$A$114,'Données projet'!$B$114,BY38+BX39-CG38)))</f>
        <v>203.49999999999989</v>
      </c>
      <c r="BZ39" s="13">
        <f>BY39*VLOOKUP('Données projet'!$B$12,Paramètres!$A$1:$I$89,3,0)*VLOOKUP('Données projet'!$B$12,Paramètres!$A$1:$I$89,5,0)</f>
        <v>95.237999999999957</v>
      </c>
      <c r="CA39" s="13">
        <f t="shared" si="39"/>
        <v>25.824315354051119</v>
      </c>
      <c r="CB39" s="20">
        <f t="shared" si="10"/>
        <v>210.85019924163896</v>
      </c>
      <c r="CC39" s="59">
        <f t="shared" si="11"/>
        <v>504.18353257497228</v>
      </c>
      <c r="CD39" s="59">
        <f ca="1">AVERAGE(OFFSET($CC$3,0,0,'Données projet'!$E$12+1,1))-AVERAGE(OFFSET($H$3,0,0,'Données projet'!$E$12+1,1))</f>
        <v>226.0452828290525</v>
      </c>
      <c r="CE39" s="59">
        <f t="shared" si="40"/>
        <v>179.89696397462069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8.0593003766406959</v>
      </c>
      <c r="CL39" s="21">
        <f>EXP(-LN(2)/25)*CL38+(1-EXP(-LN(2)/25))/(LN(2)/25)*Calculateur!CG39*Calculateur!CI39*VLOOKUP('Données projet'!$B$12,Paramètres!$A$1:$I$89,3,0)*0.475*44/12</f>
        <v>9.4423281201356843</v>
      </c>
      <c r="CM39" s="21">
        <f>EXP(-LN(2)/2)*CM38+(1-EXP(-LN(2)/2))/(LN(2)/2)*CG39*CJ39*VLOOKUP('Données projet'!$B$12,Paramètres!$A$1:$I$89,3,0)*0.475*44/12</f>
        <v>1.3803910804497943</v>
      </c>
      <c r="CN39" s="22">
        <f t="shared" si="12"/>
        <v>18.882019577226174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12.833333333333334</v>
      </c>
      <c r="CT39" s="12">
        <f>IF('Données projet'!$A$140&gt;35,CT38+CS39-DB38,IF(A39&lt;'Données projet'!$A$140,$CQ$205^A39,IF(A39='Données projet'!$A$140,'Données projet'!$B$140,CT38+CS39-DB38)))</f>
        <v>223.66666666666671</v>
      </c>
      <c r="CU39" s="17">
        <f>CT39*VLOOKUP('Données projet'!$B$13,Paramètres!$A$1:$I$89,3,0)*VLOOKUP('Données projet'!$B$13,Paramètres!$A$1:$I$89,5,0)</f>
        <v>133.75266666666673</v>
      </c>
      <c r="CV39" s="13">
        <f t="shared" si="41"/>
        <v>34.86204901776788</v>
      </c>
      <c r="CW39" s="20">
        <f t="shared" si="13"/>
        <v>293.67062981705698</v>
      </c>
      <c r="CX39" s="59">
        <f t="shared" si="14"/>
        <v>587.00396315039029</v>
      </c>
      <c r="CY39" s="59">
        <f ca="1">AVERAGE(OFFSET($CX$3,0,0,'Données projet'!$E$13+1,1))-AVERAGE(OFFSET($H$3,0,0,'Données projet'!$E$13+1,1))</f>
        <v>482.74318690313885</v>
      </c>
      <c r="CZ39" s="59">
        <f t="shared" si="42"/>
        <v>205.57161411620217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10.192562759632283</v>
      </c>
      <c r="DG39" s="21">
        <f>EXP(-LN(2)/25)*DG38+(1-EXP(-LN(2)/25))/(LN(2)/25)*Calculateur!DB39*Calculateur!DD39*VLOOKUP('Données projet'!$B$13,Paramètres!$A$1:$I$89,3,0)*0.475*44/12</f>
        <v>7.9823446709185646</v>
      </c>
      <c r="DH39" s="21">
        <f>EXP(-LN(2)/2)*DH38+(1-EXP(-LN(2)/2))/(LN(2)/2)*DB39*DE39*VLOOKUP('Données projet'!$B$13,Paramètres!$A$1:$I$89,3,0)*0.475*44/12</f>
        <v>0.56612455204981649</v>
      </c>
      <c r="DI39" s="22">
        <f t="shared" si="15"/>
        <v>18.741031982600663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3.06</v>
      </c>
      <c r="DO39" s="12">
        <f>IF('Données projet'!$A$166&gt;35,DO38+DN39-DW38,IF(A39&lt;'Données projet'!$A$166,$DL$205^A39,IF(A39='Données projet'!$A$166,'Données projet'!$B$166,DO38+DN39-DW38)))</f>
        <v>110.16000000000005</v>
      </c>
      <c r="DP39" s="17">
        <f>DO39*VLOOKUP('Données projet'!$B$14,Paramètres!$A$1:$I$89,3,0)*VLOOKUP('Données projet'!$B$14,Paramètres!$A$1:$I$89,5,0)</f>
        <v>52.986960000000032</v>
      </c>
      <c r="DQ39" s="13">
        <f t="shared" si="43"/>
        <v>15.382530911013927</v>
      </c>
      <c r="DR39" s="20">
        <f t="shared" si="16"/>
        <v>119.07686333668265</v>
      </c>
      <c r="DS39" s="59">
        <f t="shared" si="17"/>
        <v>412.41019667001598</v>
      </c>
      <c r="DT39" s="59">
        <f ca="1">AVERAGE(OFFSET($DS$3,0,0,'Données projet'!$E$14+1,1))-AVERAGE(OFFSET($H$3,0,0,'Données projet'!$E$14+1,1))</f>
        <v>247.11965163963526</v>
      </c>
      <c r="DU39" s="59">
        <f t="shared" si="44"/>
        <v>61.686311966192704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8.4</v>
      </c>
      <c r="N40" s="13">
        <f>IF('Données projet'!$A$36&gt;35,N39+M40-V39,IF(A40&lt;'Données projet'!$A$36,$K$205^A40,IF(A40='Données projet'!$A$36,'Données projet'!$B$36,N39+M40-V39)))</f>
        <v>111.80000000000001</v>
      </c>
      <c r="O40" s="13">
        <f>N40*VLOOKUP('Données projet'!$B$9,Paramètres!$A$1:$I$89,3,0)*VLOOKUP('Données projet'!$B$9,Paramètres!$A$1:$I$89,5,0)</f>
        <v>101.15664000000001</v>
      </c>
      <c r="P40" s="13">
        <f t="shared" si="33"/>
        <v>27.237366379381644</v>
      </c>
      <c r="Q40" s="20">
        <f t="shared" si="53"/>
        <v>223.61956111075639</v>
      </c>
      <c r="R40" s="59">
        <f t="shared" si="0"/>
        <v>516.95289444408968</v>
      </c>
      <c r="S40" s="59">
        <f ca="1">AVERAGE(OFFSET($R$3,0,0,'Données projet'!$E$9+1,1))-AVERAGE(OFFSET($H$3,0,0,'Données projet'!$E$9+1,1))</f>
        <v>265.50419397354284</v>
      </c>
      <c r="T40" s="59">
        <f t="shared" si="34"/>
        <v>156.67965022779907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2.9014605299796723</v>
      </c>
      <c r="AA40" s="21">
        <f>EXP(-LN(2)/25)*AA39+(1-EXP(-LN(2)/25))/(LN(2)/25)*Calculateur!V40*Calculateur!X40*VLOOKUP('Données projet'!$B$9,Paramètres!$A$1:$I$89,3,0)*0.475*44/12</f>
        <v>3.4552292990335642</v>
      </c>
      <c r="AB40" s="21">
        <f>EXP(-LN(2)/2)*AB39+(1-EXP(-LN(2)/2))/(LN(2)/2)*V40*Y40*VLOOKUP('Données projet'!$B$9,Paramètres!$A$1:$I$89,3,0)*0.475*44/12</f>
        <v>0.53940942583252005</v>
      </c>
      <c r="AC40" s="22">
        <f t="shared" si="3"/>
        <v>6.8960992548457565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8.4</v>
      </c>
      <c r="AI40" s="13">
        <f>IF('Données projet'!$A$62&gt;35,AI39+AH40-AQ39,IF(A40&lt;'Données projet'!$A$62,$AF$205^A40,IF(A40='Données projet'!$A$62,'Données projet'!$B$62,AI39+AH40-AQ39)))</f>
        <v>111.80000000000001</v>
      </c>
      <c r="AJ40" s="13">
        <f>AI40*VLOOKUP('Données projet'!$B$10,Paramètres!$A$1:$I$89,3,0)*VLOOKUP('Données projet'!$B$10,Paramètres!$A$1:$I$89,5,0)</f>
        <v>113.36520000000003</v>
      </c>
      <c r="AK40" s="13">
        <f t="shared" si="35"/>
        <v>30.122456058687614</v>
      </c>
      <c r="AL40" s="20">
        <f t="shared" si="4"/>
        <v>249.9076676355476</v>
      </c>
      <c r="AM40" s="59">
        <f t="shared" si="5"/>
        <v>543.24100096888094</v>
      </c>
      <c r="AN40" s="59">
        <f ca="1">AVERAGE(OFFSET($AM$3,0,0,'Données projet'!$E$10+1,1))-AVERAGE(OFFSET($H$3,0,0,'Données projet'!$E$10+1,1))</f>
        <v>296.43642006376018</v>
      </c>
      <c r="AO40" s="59">
        <f t="shared" si="36"/>
        <v>179.56041631665812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3.2516368008392869</v>
      </c>
      <c r="AV40" s="21">
        <f>EXP(-LN(2)/25)*AV39+(1-EXP(-LN(2)/25))/(LN(2)/25)*Calculateur!AQ40*Calculateur!AS40*VLOOKUP('Données projet'!$B$10,Paramètres!$A$1:$I$89,3,0)*0.475*44/12</f>
        <v>3.8722397316755464</v>
      </c>
      <c r="AW40" s="21">
        <f>EXP(-LN(2)/2)*AW39+(1-EXP(-LN(2)/2))/(LN(2)/2)*AQ40*AT40*VLOOKUP('Données projet'!$B$10,Paramètres!$A$1:$I$89,3,0)*0.475*44/12</f>
        <v>0.60451056343299681</v>
      </c>
      <c r="AX40" s="21">
        <f t="shared" si="6"/>
        <v>7.7283870959478298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>
        <f>VLOOKUP(A40,'Données projet'!$A$87:$I$107,2,0)</f>
        <v>188</v>
      </c>
      <c r="BB40" s="12">
        <f>VLOOKUP(A40,'Données projet'!$A$87:$I$107,9,0)</f>
        <v>11.5</v>
      </c>
      <c r="BC40" s="12">
        <f t="array" ref="BC40">INDEX(BB:BB,MIN(IF(ISNUMBER(BB40:BB236),ROW(BB40:BB236),"")))</f>
        <v>11.5</v>
      </c>
      <c r="BD40" s="12">
        <f>IF('Données projet'!$A$88&gt;35,BD39+BC40-BL39,IF(A40&lt;'Données projet'!$A$88,$BA$205^A40,IF(A40='Données projet'!$A$88,'Données projet'!$B$88,BD39+BC40-BL39)))</f>
        <v>187.99999999999994</v>
      </c>
      <c r="BE40" s="13">
        <f>BD40*VLOOKUP('Données projet'!$B$11,Paramètres!$A$1:$I$89,3,0)*VLOOKUP('Données projet'!$B$11,Paramètres!$A$1:$I$89,5,0)</f>
        <v>126.11039999999997</v>
      </c>
      <c r="BF40" s="13">
        <f t="shared" si="37"/>
        <v>33.096004194977844</v>
      </c>
      <c r="BG40" s="20">
        <f t="shared" si="7"/>
        <v>277.28448730625303</v>
      </c>
      <c r="BH40" s="59">
        <f t="shared" si="8"/>
        <v>570.6178206395864</v>
      </c>
      <c r="BI40" s="59">
        <f ca="1">AVERAGE(OFFSET($BH$3,0,0,'Données projet'!$E$11+1,1))-AVERAGE(OFFSET($H$3,0,0,'Données projet'!$E$11+1,1))</f>
        <v>181.32837315090507</v>
      </c>
      <c r="BJ40" s="59">
        <f t="shared" si="38"/>
        <v>175.03267817980338</v>
      </c>
      <c r="BK40" s="15">
        <f>IF(ISNA(VLOOKUP(A40,'Données projet'!$A$87:$I$107,3,0)),0,VLOOKUP(A40,'Données projet'!$A$87:$I$107,3,0))</f>
        <v>6</v>
      </c>
      <c r="BL40" s="15">
        <f>IF(ISNA(VLOOKUP(A40,'Données projet'!$A$87:$I$107,4,0)),0,VLOOKUP(A40,'Données projet'!$A$87:$I$107,4,0))</f>
        <v>36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4.7676776360819506</v>
      </c>
      <c r="BQ40" s="21">
        <f>EXP(-LN(2)/25)*BQ39+(1-EXP(-LN(2)/25))/(LN(2)/25)*Calculateur!BL40*Calculateur!BN40*VLOOKUP('Données projet'!$B$11,Paramètres!$A$1:$I$89,3,0)*0.475*44/12</f>
        <v>5.6023935677836407</v>
      </c>
      <c r="BR40" s="21">
        <f>EXP(-LN(2)/2)*BR39+(1-EXP(-LN(2)/2))/(LN(2)/2)*BL40*BO40*VLOOKUP('Données projet'!$B$11,Paramètres!$A$1:$I$89,3,0)*0.475*44/12</f>
        <v>9.3771479677793826E-2</v>
      </c>
      <c r="BS40" s="22">
        <f t="shared" si="9"/>
        <v>10.463842683543387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10</v>
      </c>
      <c r="BY40" s="12">
        <f>IF('Données projet'!$A$114&gt;35,BY39+BX40-CG39,IF(A40&lt;'Données projet'!$A$114,$BV$205^A40,IF(A40='Données projet'!$A$114,'Données projet'!$B$114,BY39+BX40-CG39)))</f>
        <v>213.49999999999989</v>
      </c>
      <c r="BZ40" s="13">
        <f>BY40*VLOOKUP('Données projet'!$B$12,Paramètres!$A$1:$I$89,3,0)*VLOOKUP('Données projet'!$B$12,Paramètres!$A$1:$I$89,5,0)</f>
        <v>99.91799999999995</v>
      </c>
      <c r="CA40" s="13">
        <f t="shared" si="39"/>
        <v>26.942461246512746</v>
      </c>
      <c r="CB40" s="20">
        <f t="shared" si="10"/>
        <v>220.94863667100961</v>
      </c>
      <c r="CC40" s="59">
        <f t="shared" si="11"/>
        <v>514.28197000434295</v>
      </c>
      <c r="CD40" s="59">
        <f ca="1">AVERAGE(OFFSET($CC$3,0,0,'Données projet'!$E$12+1,1))-AVERAGE(OFFSET($H$3,0,0,'Données projet'!$E$12+1,1))</f>
        <v>226.0452828290525</v>
      </c>
      <c r="CE40" s="59">
        <f t="shared" si="40"/>
        <v>179.89696397462069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7.9012624119426178</v>
      </c>
      <c r="CL40" s="21">
        <f>EXP(-LN(2)/25)*CL39+(1-EXP(-LN(2)/25))/(LN(2)/25)*Calculateur!CG40*Calculateur!CI40*VLOOKUP('Données projet'!$B$12,Paramètres!$A$1:$I$89,3,0)*0.475*44/12</f>
        <v>9.1841271611401183</v>
      </c>
      <c r="CM40" s="21">
        <f>EXP(-LN(2)/2)*CM39+(1-EXP(-LN(2)/2))/(LN(2)/2)*CG40*CJ40*VLOOKUP('Données projet'!$B$12,Paramètres!$A$1:$I$89,3,0)*0.475*44/12</f>
        <v>0.97608389367547466</v>
      </c>
      <c r="CN40" s="22">
        <f t="shared" si="12"/>
        <v>18.061473466758212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12.833333333333334</v>
      </c>
      <c r="CT40" s="12">
        <f>IF('Données projet'!$A$140&gt;35,CT39+CS40-DB39,IF(A40&lt;'Données projet'!$A$140,$CQ$205^A40,IF(A40='Données projet'!$A$140,'Données projet'!$B$140,CT39+CS40-DB39)))</f>
        <v>236.50000000000006</v>
      </c>
      <c r="CU40" s="17">
        <f>CT40*VLOOKUP('Données projet'!$B$13,Paramètres!$A$1:$I$89,3,0)*VLOOKUP('Données projet'!$B$13,Paramètres!$A$1:$I$89,5,0)</f>
        <v>141.42700000000005</v>
      </c>
      <c r="CV40" s="13">
        <f t="shared" si="41"/>
        <v>36.623717959686019</v>
      </c>
      <c r="CW40" s="20">
        <f t="shared" si="13"/>
        <v>310.10500044645323</v>
      </c>
      <c r="CX40" s="59">
        <f t="shared" si="14"/>
        <v>603.43833377978649</v>
      </c>
      <c r="CY40" s="59">
        <f ca="1">AVERAGE(OFFSET($CX$3,0,0,'Données projet'!$E$13+1,1))-AVERAGE(OFFSET($H$3,0,0,'Données projet'!$E$13+1,1))</f>
        <v>482.74318690313885</v>
      </c>
      <c r="CZ40" s="59">
        <f t="shared" si="42"/>
        <v>205.57161411620217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9.9926928207653152</v>
      </c>
      <c r="DG40" s="21">
        <f>EXP(-LN(2)/25)*DG39+(1-EXP(-LN(2)/25))/(LN(2)/25)*Calculateur!DB40*Calculateur!DD40*VLOOKUP('Données projet'!$B$13,Paramètres!$A$1:$I$89,3,0)*0.475*44/12</f>
        <v>7.7640670361190338</v>
      </c>
      <c r="DH40" s="21">
        <f>EXP(-LN(2)/2)*DH39+(1-EXP(-LN(2)/2))/(LN(2)/2)*DB40*DE40*VLOOKUP('Données projet'!$B$13,Paramètres!$A$1:$I$89,3,0)*0.475*44/12</f>
        <v>0.40031050975062182</v>
      </c>
      <c r="DI40" s="22">
        <f t="shared" si="15"/>
        <v>18.157070366634972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3.06</v>
      </c>
      <c r="DO40" s="12">
        <f>IF('Données projet'!$A$166&gt;35,DO39+DN40-DW39,IF(A40&lt;'Données projet'!$A$166,$DL$205^A40,IF(A40='Données projet'!$A$166,'Données projet'!$B$166,DO39+DN40-DW39)))</f>
        <v>113.22000000000006</v>
      </c>
      <c r="DP40" s="17">
        <f>DO40*VLOOKUP('Données projet'!$B$14,Paramètres!$A$1:$I$89,3,0)*VLOOKUP('Données projet'!$B$14,Paramètres!$A$1:$I$89,5,0)</f>
        <v>54.458820000000024</v>
      </c>
      <c r="DQ40" s="13">
        <f t="shared" si="43"/>
        <v>15.759482423079911</v>
      </c>
      <c r="DR40" s="20">
        <f t="shared" si="16"/>
        <v>122.29687672019755</v>
      </c>
      <c r="DS40" s="59">
        <f t="shared" si="17"/>
        <v>415.63021005353085</v>
      </c>
      <c r="DT40" s="59">
        <f ca="1">AVERAGE(OFFSET($DS$3,0,0,'Données projet'!$E$14+1,1))-AVERAGE(OFFSET($H$3,0,0,'Données projet'!$E$14+1,1))</f>
        <v>247.11965163963526</v>
      </c>
      <c r="DU40" s="59">
        <f t="shared" si="44"/>
        <v>61.686311966192704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8.4</v>
      </c>
      <c r="N41" s="13">
        <f>IF('Données projet'!$A$36&gt;35,N40+M41-V40,IF(A41&lt;'Données projet'!$A$36,$K$205^A41,IF(A41='Données projet'!$A$36,'Données projet'!$B$36,N40+M41-V40)))</f>
        <v>120.20000000000002</v>
      </c>
      <c r="O41" s="13">
        <f>N41*VLOOKUP('Données projet'!$B$9,Paramètres!$A$1:$I$89,3,0)*VLOOKUP('Données projet'!$B$9,Paramètres!$A$1:$I$89,5,0)</f>
        <v>108.75696000000002</v>
      </c>
      <c r="P41" s="13">
        <f t="shared" si="33"/>
        <v>29.037921223305609</v>
      </c>
      <c r="Q41" s="20">
        <f t="shared" si="53"/>
        <v>239.99275146392395</v>
      </c>
      <c r="R41" s="59">
        <f t="shared" si="0"/>
        <v>533.32608479725729</v>
      </c>
      <c r="S41" s="59">
        <f ca="1">AVERAGE(OFFSET($R$3,0,0,'Données projet'!$E$9+1,1))-AVERAGE(OFFSET($H$3,0,0,'Données projet'!$E$9+1,1))</f>
        <v>265.50419397354284</v>
      </c>
      <c r="T41" s="59">
        <f t="shared" si="34"/>
        <v>156.67965022779907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2.8445646587029492</v>
      </c>
      <c r="AA41" s="21">
        <f>EXP(-LN(2)/25)*AA40+(1-EXP(-LN(2)/25))/(LN(2)/25)*Calculateur!V41*Calculateur!X41*VLOOKUP('Données projet'!$B$9,Paramètres!$A$1:$I$89,3,0)*0.475*44/12</f>
        <v>3.3607458721488794</v>
      </c>
      <c r="AB41" s="21">
        <f>EXP(-LN(2)/2)*AB40+(1-EXP(-LN(2)/2))/(LN(2)/2)*V41*Y41*VLOOKUP('Données projet'!$B$9,Paramètres!$A$1:$I$89,3,0)*0.475*44/12</f>
        <v>0.38142006284211699</v>
      </c>
      <c r="AC41" s="22">
        <f t="shared" si="3"/>
        <v>6.5867305936939458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8.4</v>
      </c>
      <c r="AI41" s="13">
        <f>IF('Données projet'!$A$62&gt;35,AI40+AH41-AQ40,IF(A41&lt;'Données projet'!$A$62,$AF$205^A41,IF(A41='Données projet'!$A$62,'Données projet'!$B$62,AI40+AH41-AQ40)))</f>
        <v>120.20000000000002</v>
      </c>
      <c r="AJ41" s="13">
        <f>AI41*VLOOKUP('Données projet'!$B$10,Paramètres!$A$1:$I$89,3,0)*VLOOKUP('Données projet'!$B$10,Paramètres!$A$1:$I$89,5,0)</f>
        <v>121.88280000000002</v>
      </c>
      <c r="AK41" s="13">
        <f t="shared" si="35"/>
        <v>32.113732800054677</v>
      </c>
      <c r="AL41" s="20">
        <f t="shared" si="4"/>
        <v>268.21062796009522</v>
      </c>
      <c r="AM41" s="59">
        <f t="shared" si="5"/>
        <v>561.54396129342854</v>
      </c>
      <c r="AN41" s="59">
        <f ca="1">AVERAGE(OFFSET($AM$3,0,0,'Données projet'!$E$10+1,1))-AVERAGE(OFFSET($H$3,0,0,'Données projet'!$E$10+1,1))</f>
        <v>296.43642006376018</v>
      </c>
      <c r="AO41" s="59">
        <f t="shared" si="36"/>
        <v>179.56041631665812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3.1878741864774423</v>
      </c>
      <c r="AV41" s="21">
        <f>EXP(-LN(2)/25)*AV40+(1-EXP(-LN(2)/25))/(LN(2)/25)*Calculateur!AQ41*Calculateur!AS41*VLOOKUP('Données projet'!$B$10,Paramètres!$A$1:$I$89,3,0)*0.475*44/12</f>
        <v>3.7663531325806412</v>
      </c>
      <c r="AW41" s="21">
        <f>EXP(-LN(2)/2)*AW40+(1-EXP(-LN(2)/2))/(LN(2)/2)*AQ41*AT41*VLOOKUP('Données projet'!$B$10,Paramètres!$A$1:$I$89,3,0)*0.475*44/12</f>
        <v>0.42745351870237264</v>
      </c>
      <c r="AX41" s="21">
        <f t="shared" si="6"/>
        <v>7.3816808377604559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11.142857142857142</v>
      </c>
      <c r="BD41" s="12">
        <f>IF('Données projet'!$A$88&gt;35,BD40+BC41-BL40,IF(A41&lt;'Données projet'!$A$88,$BA$205^A41,IF(A41='Données projet'!$A$88,'Données projet'!$B$88,BD40+BC41-BL40)))</f>
        <v>163.14285714285708</v>
      </c>
      <c r="BE41" s="13">
        <f>BD41*VLOOKUP('Données projet'!$B$11,Paramètres!$A$1:$I$89,3,0)*VLOOKUP('Données projet'!$B$11,Paramètres!$A$1:$I$89,5,0)</f>
        <v>109.43622857142853</v>
      </c>
      <c r="BF41" s="13">
        <f t="shared" si="37"/>
        <v>29.198115929899995</v>
      </c>
      <c r="BG41" s="20">
        <f t="shared" si="7"/>
        <v>241.45481667314718</v>
      </c>
      <c r="BH41" s="59">
        <f t="shared" si="8"/>
        <v>534.78815000648046</v>
      </c>
      <c r="BI41" s="59">
        <f ca="1">AVERAGE(OFFSET($BH$3,0,0,'Données projet'!$E$11+1,1))-AVERAGE(OFFSET($H$3,0,0,'Données projet'!$E$11+1,1))</f>
        <v>181.32837315090507</v>
      </c>
      <c r="BJ41" s="59">
        <f t="shared" si="38"/>
        <v>175.03267817980338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4.6741863856346004</v>
      </c>
      <c r="BQ41" s="21">
        <f>EXP(-LN(2)/25)*BQ40+(1-EXP(-LN(2)/25))/(LN(2)/25)*Calculateur!BL41*Calculateur!BN41*VLOOKUP('Données projet'!$B$11,Paramètres!$A$1:$I$89,3,0)*0.475*44/12</f>
        <v>5.4491958210555236</v>
      </c>
      <c r="BR41" s="21">
        <f>EXP(-LN(2)/2)*BR40+(1-EXP(-LN(2)/2))/(LN(2)/2)*BL41*BO41*VLOOKUP('Données projet'!$B$11,Paramètres!$A$1:$I$89,3,0)*0.475*44/12</f>
        <v>6.6306449162064546E-2</v>
      </c>
      <c r="BS41" s="22">
        <f t="shared" si="9"/>
        <v>10.189688655852189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10</v>
      </c>
      <c r="BY41" s="12">
        <f>IF('Données projet'!$A$114&gt;35,BY40+BX41-CG40,IF(A41&lt;'Données projet'!$A$114,$BV$205^A41,IF(A41='Données projet'!$A$114,'Données projet'!$B$114,BY40+BX41-CG40)))</f>
        <v>223.49999999999989</v>
      </c>
      <c r="BZ41" s="13">
        <f>BY41*VLOOKUP('Données projet'!$B$12,Paramètres!$A$1:$I$89,3,0)*VLOOKUP('Données projet'!$B$12,Paramètres!$A$1:$I$89,5,0)</f>
        <v>104.59799999999994</v>
      </c>
      <c r="CA41" s="13">
        <f t="shared" si="39"/>
        <v>28.054525257841597</v>
      </c>
      <c r="CB41" s="20">
        <f t="shared" si="10"/>
        <v>231.03648149074067</v>
      </c>
      <c r="CC41" s="59">
        <f t="shared" si="11"/>
        <v>524.36981482407396</v>
      </c>
      <c r="CD41" s="59">
        <f ca="1">AVERAGE(OFFSET($CC$3,0,0,'Données projet'!$E$12+1,1))-AVERAGE(OFFSET($H$3,0,0,'Données projet'!$E$12+1,1))</f>
        <v>226.0452828290525</v>
      </c>
      <c r="CE41" s="59">
        <f t="shared" si="40"/>
        <v>179.89696397462069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7.7463234753386283</v>
      </c>
      <c r="CL41" s="21">
        <f>EXP(-LN(2)/25)*CL40+(1-EXP(-LN(2)/25))/(LN(2)/25)*Calculateur!CG41*Calculateur!CI41*VLOOKUP('Données projet'!$B$12,Paramètres!$A$1:$I$89,3,0)*0.475*44/12</f>
        <v>8.9329867209464844</v>
      </c>
      <c r="CM41" s="21">
        <f>EXP(-LN(2)/2)*CM40+(1-EXP(-LN(2)/2))/(LN(2)/2)*CG41*CJ41*VLOOKUP('Données projet'!$B$12,Paramètres!$A$1:$I$89,3,0)*0.475*44/12</f>
        <v>0.69019554022489726</v>
      </c>
      <c r="CN41" s="22">
        <f t="shared" si="12"/>
        <v>17.369505736510011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12.833333333333334</v>
      </c>
      <c r="CT41" s="12">
        <f>IF('Données projet'!$A$140&gt;35,CT40+CS41-DB40,IF(A41&lt;'Données projet'!$A$140,$CQ$205^A41,IF(A41='Données projet'!$A$140,'Données projet'!$B$140,CT40+CS41-DB40)))</f>
        <v>249.3333333333334</v>
      </c>
      <c r="CU41" s="17">
        <f>CT41*VLOOKUP('Données projet'!$B$13,Paramètres!$A$1:$I$89,3,0)*VLOOKUP('Données projet'!$B$13,Paramètres!$A$1:$I$89,5,0)</f>
        <v>149.1013333333334</v>
      </c>
      <c r="CV41" s="13">
        <f t="shared" si="41"/>
        <v>38.37428902704788</v>
      </c>
      <c r="CW41" s="20">
        <f t="shared" si="13"/>
        <v>326.52004227766406</v>
      </c>
      <c r="CX41" s="59">
        <f t="shared" si="14"/>
        <v>619.85337561099732</v>
      </c>
      <c r="CY41" s="59">
        <f ca="1">AVERAGE(OFFSET($CX$3,0,0,'Données projet'!$E$13+1,1))-AVERAGE(OFFSET($H$3,0,0,'Données projet'!$E$13+1,1))</f>
        <v>482.74318690313885</v>
      </c>
      <c r="CZ41" s="59">
        <f t="shared" si="42"/>
        <v>205.57161411620217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9.7967422094909029</v>
      </c>
      <c r="DG41" s="21">
        <f>EXP(-LN(2)/25)*DG40+(1-EXP(-LN(2)/25))/(LN(2)/25)*Calculateur!DB41*Calculateur!DD41*VLOOKUP('Données projet'!$B$13,Paramètres!$A$1:$I$89,3,0)*0.475*44/12</f>
        <v>7.5517582147218185</v>
      </c>
      <c r="DH41" s="21">
        <f>EXP(-LN(2)/2)*DH40+(1-EXP(-LN(2)/2))/(LN(2)/2)*DB41*DE41*VLOOKUP('Données projet'!$B$13,Paramètres!$A$1:$I$89,3,0)*0.475*44/12</f>
        <v>0.28306227602490824</v>
      </c>
      <c r="DI41" s="22">
        <f t="shared" si="15"/>
        <v>17.63156270023763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3.06</v>
      </c>
      <c r="DO41" s="12">
        <f>IF('Données projet'!$A$166&gt;35,DO40+DN41-DW40,IF(A41&lt;'Données projet'!$A$166,$DL$205^A41,IF(A41='Données projet'!$A$166,'Données projet'!$B$166,DO40+DN41-DW40)))</f>
        <v>116.28000000000006</v>
      </c>
      <c r="DP41" s="17">
        <f>DO41*VLOOKUP('Données projet'!$B$14,Paramètres!$A$1:$I$89,3,0)*VLOOKUP('Données projet'!$B$14,Paramètres!$A$1:$I$89,5,0)</f>
        <v>55.930680000000031</v>
      </c>
      <c r="DQ41" s="13">
        <f t="shared" si="43"/>
        <v>16.135249777109333</v>
      </c>
      <c r="DR41" s="20">
        <f t="shared" si="16"/>
        <v>125.51482769513211</v>
      </c>
      <c r="DS41" s="59">
        <f t="shared" si="17"/>
        <v>418.84816102846543</v>
      </c>
      <c r="DT41" s="59">
        <f ca="1">AVERAGE(OFFSET($DS$3,0,0,'Données projet'!$E$14+1,1))-AVERAGE(OFFSET($H$3,0,0,'Données projet'!$E$14+1,1))</f>
        <v>247.11965163963526</v>
      </c>
      <c r="DU41" s="59">
        <f t="shared" si="44"/>
        <v>61.686311966192704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8.4</v>
      </c>
      <c r="N42" s="13">
        <f>IF('Données projet'!$A$36&gt;35,N41+M42-V41,IF(A42&lt;'Données projet'!$A$36,$K$205^A42,IF(A42='Données projet'!$A$36,'Données projet'!$B$36,N41+M42-V41)))</f>
        <v>128.60000000000002</v>
      </c>
      <c r="O42" s="13">
        <f>N42*VLOOKUP('Données projet'!$B$9,Paramètres!$A$1:$I$89,3,0)*VLOOKUP('Données projet'!$B$9,Paramètres!$A$1:$I$89,5,0)</f>
        <v>116.35728000000002</v>
      </c>
      <c r="P42" s="13">
        <f t="shared" si="33"/>
        <v>30.823876427820704</v>
      </c>
      <c r="Q42" s="20">
        <f t="shared" si="53"/>
        <v>256.34051411178774</v>
      </c>
      <c r="R42" s="59">
        <f t="shared" si="0"/>
        <v>549.67384744512105</v>
      </c>
      <c r="S42" s="59">
        <f ca="1">AVERAGE(OFFSET($R$3,0,0,'Données projet'!$E$9+1,1))-AVERAGE(OFFSET($H$3,0,0,'Données projet'!$E$9+1,1))</f>
        <v>265.50419397354284</v>
      </c>
      <c r="T42" s="59">
        <f t="shared" si="34"/>
        <v>156.67965022779907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2.7887844807589079</v>
      </c>
      <c r="AA42" s="21">
        <f>EXP(-LN(2)/25)*AA41+(1-EXP(-LN(2)/25))/(LN(2)/25)*Calculateur!V42*Calculateur!X42*VLOOKUP('Données projet'!$B$9,Paramètres!$A$1:$I$89,3,0)*0.475*44/12</f>
        <v>3.2688460995410238</v>
      </c>
      <c r="AB42" s="21">
        <f>EXP(-LN(2)/2)*AB41+(1-EXP(-LN(2)/2))/(LN(2)/2)*V42*Y42*VLOOKUP('Données projet'!$B$9,Paramètres!$A$1:$I$89,3,0)*0.475*44/12</f>
        <v>0.26970471291626003</v>
      </c>
      <c r="AC42" s="22">
        <f t="shared" si="3"/>
        <v>6.3273352932161924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8.4</v>
      </c>
      <c r="AI42" s="13">
        <f>IF('Données projet'!$A$62&gt;35,AI41+AH42-AQ41,IF(A42&lt;'Données projet'!$A$62,$AF$205^A42,IF(A42='Données projet'!$A$62,'Données projet'!$B$62,AI41+AH42-AQ41)))</f>
        <v>128.60000000000002</v>
      </c>
      <c r="AJ42" s="13">
        <f>AI42*VLOOKUP('Données projet'!$B$10,Paramètres!$A$1:$I$89,3,0)*VLOOKUP('Données projet'!$B$10,Paramètres!$A$1:$I$89,5,0)</f>
        <v>130.40040000000002</v>
      </c>
      <c r="AK42" s="13">
        <f t="shared" si="35"/>
        <v>34.088863450406919</v>
      </c>
      <c r="AL42" s="20">
        <f t="shared" si="4"/>
        <v>286.48546717612544</v>
      </c>
      <c r="AM42" s="59">
        <f t="shared" si="5"/>
        <v>579.8188005094587</v>
      </c>
      <c r="AN42" s="59">
        <f ca="1">AVERAGE(OFFSET($AM$3,0,0,'Données projet'!$E$10+1,1))-AVERAGE(OFFSET($H$3,0,0,'Données projet'!$E$10+1,1))</f>
        <v>296.43642006376018</v>
      </c>
      <c r="AO42" s="59">
        <f t="shared" si="36"/>
        <v>179.56041631665812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3.1253619180918788</v>
      </c>
      <c r="AV42" s="21">
        <f>EXP(-LN(2)/25)*AV41+(1-EXP(-LN(2)/25))/(LN(2)/25)*Calculateur!AQ42*Calculateur!AS42*VLOOKUP('Données projet'!$B$10,Paramètres!$A$1:$I$89,3,0)*0.475*44/12</f>
        <v>3.6633620081063203</v>
      </c>
      <c r="AW42" s="21">
        <f>EXP(-LN(2)/2)*AW41+(1-EXP(-LN(2)/2))/(LN(2)/2)*AQ42*AT42*VLOOKUP('Données projet'!$B$10,Paramètres!$A$1:$I$89,3,0)*0.475*44/12</f>
        <v>0.3022552817164984</v>
      </c>
      <c r="AX42" s="21">
        <f t="shared" si="6"/>
        <v>7.0909792079146978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11.142857142857142</v>
      </c>
      <c r="BD42" s="12">
        <f>IF('Données projet'!$A$88&gt;35,BD41+BC42-BL41,IF(A42&lt;'Données projet'!$A$88,$BA$205^A42,IF(A42='Données projet'!$A$88,'Données projet'!$B$88,BD41+BC42-BL41)))</f>
        <v>174.28571428571422</v>
      </c>
      <c r="BE42" s="13">
        <f>BD42*VLOOKUP('Données projet'!$B$11,Paramètres!$A$1:$I$89,3,0)*VLOOKUP('Données projet'!$B$11,Paramètres!$A$1:$I$89,5,0)</f>
        <v>116.9108571428571</v>
      </c>
      <c r="BF42" s="13">
        <f t="shared" si="37"/>
        <v>30.95341750241019</v>
      </c>
      <c r="BG42" s="20">
        <f t="shared" si="7"/>
        <v>257.53027834050721</v>
      </c>
      <c r="BH42" s="59">
        <f t="shared" si="8"/>
        <v>550.86361167384052</v>
      </c>
      <c r="BI42" s="59">
        <f ca="1">AVERAGE(OFFSET($BH$3,0,0,'Données projet'!$E$11+1,1))-AVERAGE(OFFSET($H$3,0,0,'Données projet'!$E$11+1,1))</f>
        <v>181.32837315090507</v>
      </c>
      <c r="BJ42" s="59">
        <f t="shared" si="38"/>
        <v>175.03267817980338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4.5825284415844907</v>
      </c>
      <c r="BQ42" s="21">
        <f>EXP(-LN(2)/25)*BQ41+(1-EXP(-LN(2)/25))/(LN(2)/25)*Calculateur!BL42*Calculateur!BN42*VLOOKUP('Données projet'!$B$11,Paramètres!$A$1:$I$89,3,0)*0.475*44/12</f>
        <v>5.3001872747680068</v>
      </c>
      <c r="BR42" s="21">
        <f>EXP(-LN(2)/2)*BR41+(1-EXP(-LN(2)/2))/(LN(2)/2)*BL42*BO42*VLOOKUP('Données projet'!$B$11,Paramètres!$A$1:$I$89,3,0)*0.475*44/12</f>
        <v>4.6885739838896913E-2</v>
      </c>
      <c r="BS42" s="22">
        <f t="shared" si="9"/>
        <v>9.9296014561913939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10</v>
      </c>
      <c r="BY42" s="12">
        <f>IF('Données projet'!$A$114&gt;35,BY41+BX42-CG41,IF(A42&lt;'Données projet'!$A$114,$BV$205^A42,IF(A42='Données projet'!$A$114,'Données projet'!$B$114,BY41+BX42-CG41)))</f>
        <v>233.49999999999989</v>
      </c>
      <c r="BZ42" s="13">
        <f>BY42*VLOOKUP('Données projet'!$B$12,Paramètres!$A$1:$I$89,3,0)*VLOOKUP('Données projet'!$B$12,Paramètres!$A$1:$I$89,5,0)</f>
        <v>109.27799999999995</v>
      </c>
      <c r="CA42" s="13">
        <f t="shared" si="39"/>
        <v>29.160810599699261</v>
      </c>
      <c r="CB42" s="20">
        <f t="shared" si="10"/>
        <v>241.11426179447608</v>
      </c>
      <c r="CC42" s="59">
        <f t="shared" si="11"/>
        <v>534.44759512780934</v>
      </c>
      <c r="CD42" s="59">
        <f ca="1">AVERAGE(OFFSET($CC$3,0,0,'Données projet'!$E$12+1,1))-AVERAGE(OFFSET($H$3,0,0,'Données projet'!$E$12+1,1))</f>
        <v>226.0452828290525</v>
      </c>
      <c r="CE42" s="59">
        <f t="shared" si="40"/>
        <v>179.89696397462069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7.5944227967780238</v>
      </c>
      <c r="CL42" s="21">
        <f>EXP(-LN(2)/25)*CL41+(1-EXP(-LN(2)/25))/(LN(2)/25)*Calculateur!CG42*Calculateur!CI42*VLOOKUP('Données projet'!$B$12,Paramètres!$A$1:$I$89,3,0)*0.475*44/12</f>
        <v>8.6887137292968486</v>
      </c>
      <c r="CM42" s="21">
        <f>EXP(-LN(2)/2)*CM41+(1-EXP(-LN(2)/2))/(LN(2)/2)*CG42*CJ42*VLOOKUP('Données projet'!$B$12,Paramètres!$A$1:$I$89,3,0)*0.475*44/12</f>
        <v>0.48804194683773744</v>
      </c>
      <c r="CN42" s="22">
        <f t="shared" si="12"/>
        <v>16.771178472912609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12.833333333333334</v>
      </c>
      <c r="CT42" s="12">
        <f>IF('Données projet'!$A$140&gt;35,CT41+CS42-DB41,IF(A42&lt;'Données projet'!$A$140,$CQ$205^A42,IF(A42='Données projet'!$A$140,'Données projet'!$B$140,CT41+CS42-DB41)))</f>
        <v>262.16666666666674</v>
      </c>
      <c r="CU42" s="17">
        <f>CT42*VLOOKUP('Données projet'!$B$13,Paramètres!$A$1:$I$89,3,0)*VLOOKUP('Données projet'!$B$13,Paramètres!$A$1:$I$89,5,0)</f>
        <v>156.77566666666672</v>
      </c>
      <c r="CV42" s="13">
        <f t="shared" si="41"/>
        <v>40.114398592763365</v>
      </c>
      <c r="CW42" s="20">
        <f t="shared" si="13"/>
        <v>342.9168636601741</v>
      </c>
      <c r="CX42" s="59">
        <f t="shared" si="14"/>
        <v>636.25019699350742</v>
      </c>
      <c r="CY42" s="59">
        <f ca="1">AVERAGE(OFFSET($CX$3,0,0,'Données projet'!$E$13+1,1))-AVERAGE(OFFSET($H$3,0,0,'Données projet'!$E$13+1,1))</f>
        <v>482.74318690313885</v>
      </c>
      <c r="CZ42" s="59">
        <f t="shared" si="42"/>
        <v>205.57161411620217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9.6046340701855097</v>
      </c>
      <c r="DG42" s="21">
        <f>EXP(-LN(2)/25)*DG41+(1-EXP(-LN(2)/25))/(LN(2)/25)*Calculateur!DB42*Calculateur!DD42*VLOOKUP('Données projet'!$B$13,Paramètres!$A$1:$I$89,3,0)*0.475*44/12</f>
        <v>7.3452549892105461</v>
      </c>
      <c r="DH42" s="21">
        <f>EXP(-LN(2)/2)*DH41+(1-EXP(-LN(2)/2))/(LN(2)/2)*DB42*DE42*VLOOKUP('Données projet'!$B$13,Paramètres!$A$1:$I$89,3,0)*0.475*44/12</f>
        <v>0.20015525487531091</v>
      </c>
      <c r="DI42" s="22">
        <f t="shared" si="15"/>
        <v>17.150044314271369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3.06</v>
      </c>
      <c r="DO42" s="12">
        <f>IF('Données projet'!$A$166&gt;35,DO41+DN42-DW41,IF(A42&lt;'Données projet'!$A$166,$DL$205^A42,IF(A42='Données projet'!$A$166,'Données projet'!$B$166,DO41+DN42-DW41)))</f>
        <v>119.34000000000006</v>
      </c>
      <c r="DP42" s="17">
        <f>DO42*VLOOKUP('Données projet'!$B$14,Paramètres!$A$1:$I$89,3,0)*VLOOKUP('Données projet'!$B$14,Paramètres!$A$1:$I$89,5,0)</f>
        <v>57.40254000000003</v>
      </c>
      <c r="DQ42" s="13">
        <f t="shared" si="43"/>
        <v>16.509867717308349</v>
      </c>
      <c r="DR42" s="20">
        <f t="shared" si="16"/>
        <v>128.73077677431209</v>
      </c>
      <c r="DS42" s="59">
        <f t="shared" si="17"/>
        <v>422.06411010764543</v>
      </c>
      <c r="DT42" s="59">
        <f ca="1">AVERAGE(OFFSET($DS$3,0,0,'Données projet'!$E$14+1,1))-AVERAGE(OFFSET($H$3,0,0,'Données projet'!$E$14+1,1))</f>
        <v>247.11965163963526</v>
      </c>
      <c r="DU42" s="59">
        <f t="shared" si="44"/>
        <v>61.686311966192704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137</v>
      </c>
      <c r="L43" s="12">
        <f>VLOOKUP(A43,'Données projet'!$A$35:$I$55,9,0)</f>
        <v>8.4</v>
      </c>
      <c r="M43" s="12">
        <f t="array" ref="M43">INDEX(L:L,MIN(IF(ISNUMBER(L43:L239),ROW(L43:L239),"")))</f>
        <v>8.4</v>
      </c>
      <c r="N43" s="13">
        <f>IF('Données projet'!$A$36&gt;35,N42+M43-V42,IF(A43&lt;'Données projet'!$A$36,$K$205^A43,IF(A43='Données projet'!$A$36,'Données projet'!$B$36,N42+M43-V42)))</f>
        <v>137.00000000000003</v>
      </c>
      <c r="O43" s="13">
        <f>N43*VLOOKUP('Données projet'!$B$9,Paramètres!$A$1:$I$89,3,0)*VLOOKUP('Données projet'!$B$9,Paramètres!$A$1:$I$89,5,0)</f>
        <v>123.95760000000001</v>
      </c>
      <c r="P43" s="13">
        <f t="shared" si="33"/>
        <v>32.59629414926458</v>
      </c>
      <c r="Q43" s="20">
        <f t="shared" si="53"/>
        <v>272.6646989766358</v>
      </c>
      <c r="R43" s="59">
        <f t="shared" si="0"/>
        <v>565.99803230996918</v>
      </c>
      <c r="S43" s="59">
        <f ca="1">AVERAGE(OFFSET($R$3,0,0,'Données projet'!$E$9+1,1))-AVERAGE(OFFSET($H$3,0,0,'Données projet'!$E$9+1,1))</f>
        <v>265.50419397354284</v>
      </c>
      <c r="T43" s="59">
        <f t="shared" si="34"/>
        <v>156.67965022779907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21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2.7340981180818003</v>
      </c>
      <c r="AA43" s="21">
        <f>EXP(-LN(2)/25)*AA42+(1-EXP(-LN(2)/25))/(LN(2)/25)*Calculateur!V43*Calculateur!X43*VLOOKUP('Données projet'!$B$9,Paramètres!$A$1:$I$89,3,0)*0.475*44/12</f>
        <v>3.1794593310479291</v>
      </c>
      <c r="AB43" s="21">
        <f>EXP(-LN(2)/2)*AB42+(1-EXP(-LN(2)/2))/(LN(2)/2)*V43*Y43*VLOOKUP('Données projet'!$B$9,Paramètres!$A$1:$I$89,3,0)*0.475*44/12</f>
        <v>0.1907100314210585</v>
      </c>
      <c r="AC43" s="22">
        <f t="shared" si="3"/>
        <v>6.1042674805507886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137</v>
      </c>
      <c r="AG43" s="12">
        <f>VLOOKUP(A43,'Données projet'!$A$61:$I$81,9,0)</f>
        <v>8.4</v>
      </c>
      <c r="AH43" s="12">
        <f t="array" ref="AH43">INDEX(AG:AG,MIN(IF(ISNUMBER(AG43:AG239),ROW(AG43:AG239),"")))</f>
        <v>8.4</v>
      </c>
      <c r="AI43" s="13">
        <f>IF('Données projet'!$A$62&gt;35,AI42+AH43-AQ42,IF(A43&lt;'Données projet'!$A$62,$AF$205^A43,IF(A43='Données projet'!$A$62,'Données projet'!$B$62,AI42+AH43-AQ42)))</f>
        <v>137.00000000000003</v>
      </c>
      <c r="AJ43" s="13">
        <f>AI43*VLOOKUP('Données projet'!$B$10,Paramètres!$A$1:$I$89,3,0)*VLOOKUP('Données projet'!$B$10,Paramètres!$A$1:$I$89,5,0)</f>
        <v>138.91800000000003</v>
      </c>
      <c r="AK43" s="13">
        <f t="shared" si="35"/>
        <v>36.049022673886341</v>
      </c>
      <c r="AL43" s="20">
        <f t="shared" si="4"/>
        <v>304.73423115701877</v>
      </c>
      <c r="AM43" s="59">
        <f t="shared" si="5"/>
        <v>598.06756449035208</v>
      </c>
      <c r="AN43" s="59">
        <f ca="1">AVERAGE(OFFSET($AM$3,0,0,'Données projet'!$E$10+1,1))-AVERAGE(OFFSET($H$3,0,0,'Données projet'!$E$10+1,1))</f>
        <v>296.43642006376018</v>
      </c>
      <c r="AO43" s="59">
        <f t="shared" si="36"/>
        <v>179.56041631665812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21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3.0640754771606371</v>
      </c>
      <c r="AV43" s="21">
        <f>EXP(-LN(2)/25)*AV42+(1-EXP(-LN(2)/25))/(LN(2)/25)*Calculateur!AQ43*Calculateur!AS43*VLOOKUP('Données projet'!$B$10,Paramètres!$A$1:$I$89,3,0)*0.475*44/12</f>
        <v>3.5631871813468177</v>
      </c>
      <c r="AW43" s="21">
        <f>EXP(-LN(2)/2)*AW42+(1-EXP(-LN(2)/2))/(LN(2)/2)*AQ43*AT43*VLOOKUP('Données projet'!$B$10,Paramètres!$A$1:$I$89,3,0)*0.475*44/12</f>
        <v>0.21372675935118632</v>
      </c>
      <c r="AX43" s="21">
        <f t="shared" si="6"/>
        <v>6.8409894178586415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11.142857142857142</v>
      </c>
      <c r="BD43" s="12">
        <f>IF('Données projet'!$A$88&gt;35,BD42+BC43-BL42,IF(A43&lt;'Données projet'!$A$88,$BA$205^A43,IF(A43='Données projet'!$A$88,'Données projet'!$B$88,BD42+BC43-BL42)))</f>
        <v>185.42857142857136</v>
      </c>
      <c r="BE43" s="13">
        <f>BD43*VLOOKUP('Données projet'!$B$11,Paramètres!$A$1:$I$89,3,0)*VLOOKUP('Données projet'!$B$11,Paramètres!$A$1:$I$89,5,0)</f>
        <v>124.38548571428568</v>
      </c>
      <c r="BF43" s="13">
        <f t="shared" si="37"/>
        <v>32.69569530117105</v>
      </c>
      <c r="BG43" s="20">
        <f t="shared" si="7"/>
        <v>273.58305693525381</v>
      </c>
      <c r="BH43" s="59">
        <f t="shared" si="8"/>
        <v>566.91639026858707</v>
      </c>
      <c r="BI43" s="59">
        <f ca="1">AVERAGE(OFFSET($BH$3,0,0,'Données projet'!$E$11+1,1))-AVERAGE(OFFSET($H$3,0,0,'Données projet'!$E$11+1,1))</f>
        <v>181.32837315090507</v>
      </c>
      <c r="BJ43" s="59">
        <f t="shared" si="38"/>
        <v>175.03267817980338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4.492667853911378</v>
      </c>
      <c r="BQ43" s="21">
        <f>EXP(-LN(2)/25)*BQ42+(1-EXP(-LN(2)/25))/(LN(2)/25)*Calculateur!BL43*Calculateur!BN43*VLOOKUP('Données projet'!$B$11,Paramètres!$A$1:$I$89,3,0)*0.475*44/12</f>
        <v>5.1552533750147402</v>
      </c>
      <c r="BR43" s="21">
        <f>EXP(-LN(2)/2)*BR42+(1-EXP(-LN(2)/2))/(LN(2)/2)*BL43*BO43*VLOOKUP('Données projet'!$B$11,Paramètres!$A$1:$I$89,3,0)*0.475*44/12</f>
        <v>3.3153224581032273E-2</v>
      </c>
      <c r="BS43" s="22">
        <f t="shared" si="9"/>
        <v>9.6810744535071507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243.5</v>
      </c>
      <c r="BW43" s="12">
        <f>VLOOKUP(A43,'Données projet'!$A$113:$I$133,9,0)</f>
        <v>10</v>
      </c>
      <c r="BX43" s="12">
        <f t="array" ref="BX43">INDEX(BW:BW,MIN(IF(ISNUMBER(BW43:BW239),ROW(BW43:BW239),"")))</f>
        <v>10</v>
      </c>
      <c r="BY43" s="12">
        <f>IF('Données projet'!$A$114&gt;35,BY42+BX43-CG42,IF(A43&lt;'Données projet'!$A$114,$BV$205^A43,IF(A43='Données projet'!$A$114,'Données projet'!$B$114,BY42+BX43-CG42)))</f>
        <v>243.49999999999989</v>
      </c>
      <c r="BZ43" s="13">
        <f>BY43*VLOOKUP('Données projet'!$B$12,Paramètres!$A$1:$I$89,3,0)*VLOOKUP('Données projet'!$B$12,Paramètres!$A$1:$I$89,5,0)</f>
        <v>113.95799999999994</v>
      </c>
      <c r="CA43" s="13">
        <f t="shared" si="39"/>
        <v>30.261593043834445</v>
      </c>
      <c r="CB43" s="20">
        <f t="shared" si="10"/>
        <v>251.1824578846782</v>
      </c>
      <c r="CC43" s="59">
        <f t="shared" si="11"/>
        <v>544.51579121801149</v>
      </c>
      <c r="CD43" s="59">
        <f ca="1">AVERAGE(OFFSET($CC$3,0,0,'Données projet'!$E$12+1,1))-AVERAGE(OFFSET($H$3,0,0,'Données projet'!$E$12+1,1))</f>
        <v>226.0452828290525</v>
      </c>
      <c r="CE43" s="59">
        <f t="shared" si="40"/>
        <v>179.89696397462069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70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7.4455007978737271</v>
      </c>
      <c r="CL43" s="21">
        <f>EXP(-LN(2)/25)*CL42+(1-EXP(-LN(2)/25))/(LN(2)/25)*Calculateur!CG43*Calculateur!CI43*VLOOKUP('Données projet'!$B$12,Paramètres!$A$1:$I$89,3,0)*0.475*44/12</f>
        <v>8.4511203954496299</v>
      </c>
      <c r="CM43" s="21">
        <f>EXP(-LN(2)/2)*CM42+(1-EXP(-LN(2)/2))/(LN(2)/2)*CG43*CJ43*VLOOKUP('Données projet'!$B$12,Paramètres!$A$1:$I$89,3,0)*0.475*44/12</f>
        <v>0.34509777011244869</v>
      </c>
      <c r="CN43" s="22">
        <f t="shared" si="12"/>
        <v>16.241718963435805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275</v>
      </c>
      <c r="CR43" s="12">
        <f>VLOOKUP(A43,'Données projet'!$A$139:$I$159,9,0)</f>
        <v>12.833333333333334</v>
      </c>
      <c r="CS43" s="12">
        <f t="array" ref="CS43">INDEX(CR:CR,MIN(IF(ISNUMBER(CR43:CR239),ROW(CR43:CR239),"")))</f>
        <v>12.833333333333334</v>
      </c>
      <c r="CT43" s="12">
        <f>IF('Données projet'!$A$140&gt;35,CT42+CS43-DB42,IF(A43&lt;'Données projet'!$A$140,$CQ$205^A43,IF(A43='Données projet'!$A$140,'Données projet'!$B$140,CT42+CS43-DB42)))</f>
        <v>275.00000000000006</v>
      </c>
      <c r="CU43" s="17">
        <f>CT43*VLOOKUP('Données projet'!$B$13,Paramètres!$A$1:$I$89,3,0)*VLOOKUP('Données projet'!$B$13,Paramètres!$A$1:$I$89,5,0)</f>
        <v>164.45000000000005</v>
      </c>
      <c r="CV43" s="13">
        <f t="shared" si="41"/>
        <v>41.844617207687371</v>
      </c>
      <c r="CW43" s="20">
        <f t="shared" si="13"/>
        <v>359.29645830338887</v>
      </c>
      <c r="CX43" s="59">
        <f t="shared" si="14"/>
        <v>652.62979163672219</v>
      </c>
      <c r="CY43" s="59">
        <f ca="1">AVERAGE(OFFSET($CX$3,0,0,'Données projet'!$E$13+1,1))-AVERAGE(OFFSET($H$3,0,0,'Données projet'!$E$13+1,1))</f>
        <v>482.74318690313885</v>
      </c>
      <c r="CZ43" s="59">
        <f t="shared" si="42"/>
        <v>205.57161411620217</v>
      </c>
      <c r="DA43" s="15">
        <f>IF(ISNA(VLOOKUP(A43,'Données projet'!$A$139:$I$159,3,0)),0,VLOOKUP(A43,'Données projet'!$A$139:$I$159,3,0))</f>
        <v>7</v>
      </c>
      <c r="DB43" s="15">
        <f>IF(ISNA(VLOOKUP(A43,'Données projet'!$A$139:$I$159,4,0)),0,VLOOKUP(A43,'Données projet'!$A$139:$I$159,4,0))</f>
        <v>41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9.4162930543175012</v>
      </c>
      <c r="DG43" s="21">
        <f>EXP(-LN(2)/25)*DG42+(1-EXP(-LN(2)/25))/(LN(2)/25)*Calculateur!DB43*Calculateur!DD43*VLOOKUP('Données projet'!$B$13,Paramètres!$A$1:$I$89,3,0)*0.475*44/12</f>
        <v>7.1443986052604114</v>
      </c>
      <c r="DH43" s="21">
        <f>EXP(-LN(2)/2)*DH42+(1-EXP(-LN(2)/2))/(LN(2)/2)*DB43*DE43*VLOOKUP('Données projet'!$B$13,Paramètres!$A$1:$I$89,3,0)*0.475*44/12</f>
        <v>0.14153113801245412</v>
      </c>
      <c r="DI43" s="22">
        <f t="shared" si="15"/>
        <v>16.702222797590366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3.06</v>
      </c>
      <c r="DO43" s="12">
        <f>IF('Données projet'!$A$166&gt;35,DO42+DN43-DW42,IF(A43&lt;'Données projet'!$A$166,$DL$205^A43,IF(A43='Données projet'!$A$166,'Données projet'!$B$166,DO42+DN43-DW42)))</f>
        <v>122.40000000000006</v>
      </c>
      <c r="DP43" s="17">
        <f>DO43*VLOOKUP('Données projet'!$B$14,Paramètres!$A$1:$I$89,3,0)*VLOOKUP('Données projet'!$B$14,Paramètres!$A$1:$I$89,5,0)</f>
        <v>58.874400000000037</v>
      </c>
      <c r="DQ43" s="13">
        <f t="shared" si="43"/>
        <v>16.883369104619238</v>
      </c>
      <c r="DR43" s="20">
        <f t="shared" si="16"/>
        <v>131.94478119054523</v>
      </c>
      <c r="DS43" s="59">
        <f t="shared" si="17"/>
        <v>425.27811452387857</v>
      </c>
      <c r="DT43" s="59">
        <f ca="1">AVERAGE(OFFSET($DS$3,0,0,'Données projet'!$E$14+1,1))-AVERAGE(OFFSET($H$3,0,0,'Données projet'!$E$14+1,1))</f>
        <v>247.11965163963526</v>
      </c>
      <c r="DU43" s="59">
        <f t="shared" si="44"/>
        <v>61.686311966192704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8.4</v>
      </c>
      <c r="N44" s="13">
        <f>IF('Données projet'!$A$36&gt;35,N43+M44-V43,IF(A44&lt;'Données projet'!$A$36,$K$205^A44,IF(A44='Données projet'!$A$36,'Données projet'!$B$36,N43+M44-V43)))</f>
        <v>124.40000000000003</v>
      </c>
      <c r="O44" s="13">
        <f>N44*VLOOKUP('Données projet'!$B$9,Paramètres!$A$1:$I$89,3,0)*VLOOKUP('Données projet'!$B$9,Paramètres!$A$1:$I$89,5,0)</f>
        <v>112.55712000000003</v>
      </c>
      <c r="P44" s="13">
        <f t="shared" si="33"/>
        <v>29.932653834140599</v>
      </c>
      <c r="Q44" s="20">
        <f t="shared" si="53"/>
        <v>248.16968942779496</v>
      </c>
      <c r="R44" s="59">
        <f t="shared" si="0"/>
        <v>541.50302276112825</v>
      </c>
      <c r="S44" s="59">
        <f ca="1">AVERAGE(OFFSET($R$3,0,0,'Données projet'!$E$9+1,1))-AVERAGE(OFFSET($H$3,0,0,'Données projet'!$E$9+1,1))</f>
        <v>265.50419397354284</v>
      </c>
      <c r="T44" s="59">
        <f t="shared" si="34"/>
        <v>156.67965022779907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2.680484121621403</v>
      </c>
      <c r="AA44" s="21">
        <f>EXP(-LN(2)/25)*AA43+(1-EXP(-LN(2)/25))/(LN(2)/25)*Calculateur!V44*Calculateur!X44*VLOOKUP('Données projet'!$B$9,Paramètres!$A$1:$I$89,3,0)*0.475*44/12</f>
        <v>3.0925168484399239</v>
      </c>
      <c r="AB44" s="21">
        <f>EXP(-LN(2)/2)*AB43+(1-EXP(-LN(2)/2))/(LN(2)/2)*V44*Y44*VLOOKUP('Données projet'!$B$9,Paramètres!$A$1:$I$89,3,0)*0.475*44/12</f>
        <v>0.13485235645813001</v>
      </c>
      <c r="AC44" s="22">
        <f t="shared" si="3"/>
        <v>5.907853326519457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8.4</v>
      </c>
      <c r="AI44" s="13">
        <f>IF('Données projet'!$A$62&gt;35,AI43+AH44-AQ43,IF(A44&lt;'Données projet'!$A$62,$AF$205^A44,IF(A44='Données projet'!$A$62,'Données projet'!$B$62,AI43+AH44-AQ43)))</f>
        <v>124.40000000000003</v>
      </c>
      <c r="AJ44" s="13">
        <f>AI44*VLOOKUP('Données projet'!$B$10,Paramètres!$A$1:$I$89,3,0)*VLOOKUP('Données projet'!$B$10,Paramètres!$A$1:$I$89,5,0)</f>
        <v>126.14160000000005</v>
      </c>
      <c r="AK44" s="13">
        <f t="shared" si="35"/>
        <v>33.10323903126482</v>
      </c>
      <c r="AL44" s="20">
        <f t="shared" si="4"/>
        <v>277.35142797945298</v>
      </c>
      <c r="AM44" s="59">
        <f t="shared" si="5"/>
        <v>570.68476131278635</v>
      </c>
      <c r="AN44" s="59">
        <f ca="1">AVERAGE(OFFSET($AM$3,0,0,'Données projet'!$E$10+1,1))-AVERAGE(OFFSET($H$3,0,0,'Données projet'!$E$10+1,1))</f>
        <v>296.43642006376018</v>
      </c>
      <c r="AO44" s="59">
        <f t="shared" si="36"/>
        <v>179.56041631665812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3.0039908259550194</v>
      </c>
      <c r="AV44" s="21">
        <f>EXP(-LN(2)/25)*AV43+(1-EXP(-LN(2)/25))/(LN(2)/25)*Calculateur!AQ44*Calculateur!AS44*VLOOKUP('Données projet'!$B$10,Paramètres!$A$1:$I$89,3,0)*0.475*44/12</f>
        <v>3.4657516404930186</v>
      </c>
      <c r="AW44" s="21">
        <f>EXP(-LN(2)/2)*AW43+(1-EXP(-LN(2)/2))/(LN(2)/2)*AQ44*AT44*VLOOKUP('Données projet'!$B$10,Paramètres!$A$1:$I$89,3,0)*0.475*44/12</f>
        <v>0.1511276408582492</v>
      </c>
      <c r="AX44" s="21">
        <f t="shared" si="6"/>
        <v>6.6208701073062866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11.142857142857142</v>
      </c>
      <c r="BD44" s="12">
        <f>IF('Données projet'!$A$88&gt;35,BD43+BC44-BL43,IF(A44&lt;'Données projet'!$A$88,$BA$205^A44,IF(A44='Données projet'!$A$88,'Données projet'!$B$88,BD43+BC44-BL43)))</f>
        <v>196.5714285714285</v>
      </c>
      <c r="BE44" s="13">
        <f>BD44*VLOOKUP('Données projet'!$B$11,Paramètres!$A$1:$I$89,3,0)*VLOOKUP('Données projet'!$B$11,Paramètres!$A$1:$I$89,5,0)</f>
        <v>131.86011428571425</v>
      </c>
      <c r="BF44" s="13">
        <f t="shared" si="37"/>
        <v>34.425821086492789</v>
      </c>
      <c r="BG44" s="20">
        <f t="shared" si="7"/>
        <v>289.61467077326057</v>
      </c>
      <c r="BH44" s="59">
        <f t="shared" si="8"/>
        <v>582.94800410659388</v>
      </c>
      <c r="BI44" s="59">
        <f ca="1">AVERAGE(OFFSET($BH$3,0,0,'Données projet'!$E$11+1,1))-AVERAGE(OFFSET($H$3,0,0,'Données projet'!$E$11+1,1))</f>
        <v>181.32837315090507</v>
      </c>
      <c r="BJ44" s="59">
        <f t="shared" si="38"/>
        <v>175.03267817980338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4.4045693775529893</v>
      </c>
      <c r="BQ44" s="21">
        <f>EXP(-LN(2)/25)*BQ43+(1-EXP(-LN(2)/25))/(LN(2)/25)*Calculateur!BL44*Calculateur!BN44*VLOOKUP('Données projet'!$B$11,Paramètres!$A$1:$I$89,3,0)*0.475*44/12</f>
        <v>5.0142827003719699</v>
      </c>
      <c r="BR44" s="21">
        <f>EXP(-LN(2)/2)*BR43+(1-EXP(-LN(2)/2))/(LN(2)/2)*BL44*BO44*VLOOKUP('Données projet'!$B$11,Paramètres!$A$1:$I$89,3,0)*0.475*44/12</f>
        <v>2.3442869919448456E-2</v>
      </c>
      <c r="BS44" s="22">
        <f t="shared" si="9"/>
        <v>9.4422949478444078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11.5</v>
      </c>
      <c r="BY44" s="12">
        <f>IF('Données projet'!$A$114&gt;35,BY43+BX44-CG43,IF(A44&lt;'Données projet'!$A$114,$BV$205^A44,IF(A44='Données projet'!$A$114,'Données projet'!$B$114,BY43+BX44-CG43)))</f>
        <v>184.99999999999989</v>
      </c>
      <c r="BZ44" s="13">
        <f>BY44*VLOOKUP('Données projet'!$B$12,Paramètres!$A$1:$I$89,3,0)*VLOOKUP('Données projet'!$B$12,Paramètres!$A$1:$I$89,5,0)</f>
        <v>86.579999999999941</v>
      </c>
      <c r="CA44" s="13">
        <f t="shared" si="39"/>
        <v>23.738552844733956</v>
      </c>
      <c r="CB44" s="20">
        <f t="shared" si="10"/>
        <v>192.13814620457819</v>
      </c>
      <c r="CC44" s="59">
        <f t="shared" si="11"/>
        <v>485.47147953791148</v>
      </c>
      <c r="CD44" s="59">
        <f ca="1">AVERAGE(OFFSET($CC$3,0,0,'Données projet'!$E$12+1,1))-AVERAGE(OFFSET($H$3,0,0,'Données projet'!$E$12+1,1))</f>
        <v>226.0452828290525</v>
      </c>
      <c r="CE44" s="59">
        <f t="shared" si="40"/>
        <v>179.89696397462069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7.2994990685344936</v>
      </c>
      <c r="CL44" s="21">
        <f>EXP(-LN(2)/25)*CL43+(1-EXP(-LN(2)/25))/(LN(2)/25)*Calculateur!CG44*Calculateur!CI44*VLOOKUP('Données projet'!$B$12,Paramètres!$A$1:$I$89,3,0)*0.475*44/12</f>
        <v>8.2200240638109534</v>
      </c>
      <c r="CM44" s="21">
        <f>EXP(-LN(2)/2)*CM43+(1-EXP(-LN(2)/2))/(LN(2)/2)*CG44*CJ44*VLOOKUP('Données projet'!$B$12,Paramètres!$A$1:$I$89,3,0)*0.475*44/12</f>
        <v>0.24402097341886875</v>
      </c>
      <c r="CN44" s="22">
        <f t="shared" si="12"/>
        <v>15.763544105764316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359.83333333333331</v>
      </c>
      <c r="CT44" s="12">
        <f>IF('Données projet'!$A$140&gt;35,CT43+CS44-DB43,IF(A44&lt;'Données projet'!$A$140,$CQ$205^A44,IF(A44='Données projet'!$A$140,'Données projet'!$B$140,CT43+CS44-DB43)))</f>
        <v>593.83333333333337</v>
      </c>
      <c r="CU44" s="17">
        <f>CT44*VLOOKUP('Données projet'!$B$13,Paramètres!$A$1:$I$89,3,0)*VLOOKUP('Données projet'!$B$13,Paramètres!$A$1:$I$89,5,0)</f>
        <v>355.11233333333337</v>
      </c>
      <c r="CV44" s="13">
        <f t="shared" si="41"/>
        <v>82.614303698815419</v>
      </c>
      <c r="CW44" s="20">
        <f t="shared" si="13"/>
        <v>762.37389283099253</v>
      </c>
      <c r="CX44" s="59">
        <f t="shared" si="14"/>
        <v>1055.7072261643259</v>
      </c>
      <c r="CY44" s="59">
        <f ca="1">AVERAGE(OFFSET($CX$3,0,0,'Données projet'!$E$13+1,1))-AVERAGE(OFFSET($H$3,0,0,'Données projet'!$E$13+1,1))</f>
        <v>482.74318690313885</v>
      </c>
      <c r="CZ44" s="59">
        <f t="shared" si="42"/>
        <v>205.57161411620217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9.2316452908939866</v>
      </c>
      <c r="DG44" s="21">
        <f>EXP(-LN(2)/25)*DG43+(1-EXP(-LN(2)/25))/(LN(2)/25)*Calculateur!DB44*Calculateur!DD44*VLOOKUP('Données projet'!$B$13,Paramètres!$A$1:$I$89,3,0)*0.475*44/12</f>
        <v>6.9490346496919715</v>
      </c>
      <c r="DH44" s="21">
        <f>EXP(-LN(2)/2)*DH43+(1-EXP(-LN(2)/2))/(LN(2)/2)*DB44*DE44*VLOOKUP('Données projet'!$B$13,Paramètres!$A$1:$I$89,3,0)*0.475*44/12</f>
        <v>0.10007762743765546</v>
      </c>
      <c r="DI44" s="22">
        <f t="shared" si="15"/>
        <v>16.280757568023613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3.06</v>
      </c>
      <c r="DO44" s="12">
        <f>IF('Données projet'!$A$166&gt;35,DO43+DN44-DW43,IF(A44&lt;'Données projet'!$A$166,$DL$205^A44,IF(A44='Données projet'!$A$166,'Données projet'!$B$166,DO43+DN44-DW43)))</f>
        <v>125.46000000000006</v>
      </c>
      <c r="DP44" s="17">
        <f>DO44*VLOOKUP('Données projet'!$B$14,Paramètres!$A$1:$I$89,3,0)*VLOOKUP('Données projet'!$B$14,Paramètres!$A$1:$I$89,5,0)</f>
        <v>60.346260000000029</v>
      </c>
      <c r="DQ44" s="13">
        <f t="shared" si="43"/>
        <v>17.255785063293718</v>
      </c>
      <c r="DR44" s="20">
        <f t="shared" si="16"/>
        <v>135.15689515190326</v>
      </c>
      <c r="DS44" s="59">
        <f t="shared" si="17"/>
        <v>428.49022848523657</v>
      </c>
      <c r="DT44" s="59">
        <f ca="1">AVERAGE(OFFSET($DS$3,0,0,'Données projet'!$E$14+1,1))-AVERAGE(OFFSET($H$3,0,0,'Données projet'!$E$14+1,1))</f>
        <v>247.11965163963526</v>
      </c>
      <c r="DU44" s="59">
        <f t="shared" si="44"/>
        <v>61.686311966192704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8.4</v>
      </c>
      <c r="N45" s="13">
        <f>IF('Données projet'!$A$36&gt;35,N44+M45-V44,IF(A45&lt;'Données projet'!$A$36,$K$205^A45,IF(A45='Données projet'!$A$36,'Données projet'!$B$36,N44+M45-V44)))</f>
        <v>132.80000000000004</v>
      </c>
      <c r="O45" s="13">
        <f>N45*VLOOKUP('Données projet'!$B$9,Paramètres!$A$1:$I$89,3,0)*VLOOKUP('Données projet'!$B$9,Paramètres!$A$1:$I$89,5,0)</f>
        <v>120.15744000000002</v>
      </c>
      <c r="P45" s="13">
        <f t="shared" si="33"/>
        <v>31.711716786129845</v>
      </c>
      <c r="Q45" s="20">
        <f t="shared" si="53"/>
        <v>264.50544806917623</v>
      </c>
      <c r="R45" s="59">
        <f t="shared" si="0"/>
        <v>557.83878140250954</v>
      </c>
      <c r="S45" s="59">
        <f ca="1">AVERAGE(OFFSET($R$3,0,0,'Données projet'!$E$9+1,1))-AVERAGE(OFFSET($H$3,0,0,'Données projet'!$E$9+1,1))</f>
        <v>265.50419397354284</v>
      </c>
      <c r="T45" s="59">
        <f t="shared" si="34"/>
        <v>156.67965022779907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2.6279214629302854</v>
      </c>
      <c r="AA45" s="21">
        <f>EXP(-LN(2)/25)*AA44+(1-EXP(-LN(2)/25))/(LN(2)/25)*Calculateur!V45*Calculateur!X45*VLOOKUP('Données projet'!$B$9,Paramètres!$A$1:$I$89,3,0)*0.475*44/12</f>
        <v>3.007951812590941</v>
      </c>
      <c r="AB45" s="21">
        <f>EXP(-LN(2)/2)*AB44+(1-EXP(-LN(2)/2))/(LN(2)/2)*V45*Y45*VLOOKUP('Données projet'!$B$9,Paramètres!$A$1:$I$89,3,0)*0.475*44/12</f>
        <v>9.5355015710529248E-2</v>
      </c>
      <c r="AC45" s="22">
        <f t="shared" si="3"/>
        <v>5.7312282912317558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8.4</v>
      </c>
      <c r="AI45" s="13">
        <f>IF('Données projet'!$A$62&gt;35,AI44+AH45-AQ44,IF(A45&lt;'Données projet'!$A$62,$AF$205^A45,IF(A45='Données projet'!$A$62,'Données projet'!$B$62,AI44+AH45-AQ44)))</f>
        <v>132.80000000000004</v>
      </c>
      <c r="AJ45" s="13">
        <f>AI45*VLOOKUP('Données projet'!$B$10,Paramètres!$A$1:$I$89,3,0)*VLOOKUP('Données projet'!$B$10,Paramètres!$A$1:$I$89,5,0)</f>
        <v>134.65920000000006</v>
      </c>
      <c r="AK45" s="13">
        <f t="shared" si="35"/>
        <v>35.07074737441733</v>
      </c>
      <c r="AL45" s="20">
        <f t="shared" si="4"/>
        <v>295.61299167711024</v>
      </c>
      <c r="AM45" s="59">
        <f t="shared" si="5"/>
        <v>588.94632501044362</v>
      </c>
      <c r="AN45" s="59">
        <f ca="1">AVERAGE(OFFSET($AM$3,0,0,'Données projet'!$E$10+1,1))-AVERAGE(OFFSET($H$3,0,0,'Données projet'!$E$10+1,1))</f>
        <v>296.43642006376018</v>
      </c>
      <c r="AO45" s="59">
        <f t="shared" si="36"/>
        <v>179.56041631665812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2.9450843981115251</v>
      </c>
      <c r="AV45" s="21">
        <f>EXP(-LN(2)/25)*AV44+(1-EXP(-LN(2)/25))/(LN(2)/25)*Calculateur!AQ45*Calculateur!AS45*VLOOKUP('Données projet'!$B$10,Paramètres!$A$1:$I$89,3,0)*0.475*44/12</f>
        <v>3.3709804796277796</v>
      </c>
      <c r="AW45" s="21">
        <f>EXP(-LN(2)/2)*AW44+(1-EXP(-LN(2)/2))/(LN(2)/2)*AQ45*AT45*VLOOKUP('Données projet'!$B$10,Paramètres!$A$1:$I$89,3,0)*0.475*44/12</f>
        <v>0.10686337967559316</v>
      </c>
      <c r="AX45" s="21">
        <f t="shared" si="6"/>
        <v>6.4229282574148971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11.142857142857142</v>
      </c>
      <c r="BD45" s="12">
        <f>IF('Données projet'!$A$88&gt;35,BD44+BC45-BL44,IF(A45&lt;'Données projet'!$A$88,$BA$205^A45,IF(A45='Données projet'!$A$88,'Données projet'!$B$88,BD44+BC45-BL44)))</f>
        <v>207.71428571428564</v>
      </c>
      <c r="BE45" s="13">
        <f>BD45*VLOOKUP('Données projet'!$B$11,Paramètres!$A$1:$I$89,3,0)*VLOOKUP('Données projet'!$B$11,Paramètres!$A$1:$I$89,5,0)</f>
        <v>139.33474285714283</v>
      </c>
      <c r="BF45" s="13">
        <f t="shared" si="37"/>
        <v>36.144562203141966</v>
      </c>
      <c r="BG45" s="20">
        <f t="shared" si="7"/>
        <v>305.62645631332936</v>
      </c>
      <c r="BH45" s="59">
        <f t="shared" si="8"/>
        <v>598.95978964666267</v>
      </c>
      <c r="BI45" s="59">
        <f ca="1">AVERAGE(OFFSET($BH$3,0,0,'Données projet'!$E$11+1,1))-AVERAGE(OFFSET($H$3,0,0,'Données projet'!$E$11+1,1))</f>
        <v>181.32837315090507</v>
      </c>
      <c r="BJ45" s="59">
        <f t="shared" si="38"/>
        <v>175.03267817980338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4.3181984585812234</v>
      </c>
      <c r="BQ45" s="21">
        <f>EXP(-LN(2)/25)*BQ44+(1-EXP(-LN(2)/25))/(LN(2)/25)*Calculateur!BL45*Calculateur!BN45*VLOOKUP('Données projet'!$B$11,Paramètres!$A$1:$I$89,3,0)*0.475*44/12</f>
        <v>4.8771668762406311</v>
      </c>
      <c r="BR45" s="21">
        <f>EXP(-LN(2)/2)*BR44+(1-EXP(-LN(2)/2))/(LN(2)/2)*BL45*BO45*VLOOKUP('Données projet'!$B$11,Paramètres!$A$1:$I$89,3,0)*0.475*44/12</f>
        <v>1.6576612290516136E-2</v>
      </c>
      <c r="BS45" s="22">
        <f t="shared" si="9"/>
        <v>9.2119419471123702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11.5</v>
      </c>
      <c r="BY45" s="12">
        <f>IF('Données projet'!$A$114&gt;35,BY44+BX45-CG44,IF(A45&lt;'Données projet'!$A$114,$BV$205^A45,IF(A45='Données projet'!$A$114,'Données projet'!$B$114,BY44+BX45-CG44)))</f>
        <v>196.49999999999989</v>
      </c>
      <c r="BZ45" s="13">
        <f>BY45*VLOOKUP('Données projet'!$B$12,Paramètres!$A$1:$I$89,3,0)*VLOOKUP('Données projet'!$B$12,Paramètres!$A$1:$I$89,5,0)</f>
        <v>91.961999999999946</v>
      </c>
      <c r="CA45" s="13">
        <f t="shared" si="39"/>
        <v>25.037816603121904</v>
      </c>
      <c r="CB45" s="20">
        <f t="shared" si="10"/>
        <v>203.77468058377053</v>
      </c>
      <c r="CC45" s="59">
        <f t="shared" si="11"/>
        <v>497.10801391710385</v>
      </c>
      <c r="CD45" s="59">
        <f ca="1">AVERAGE(OFFSET($CC$3,0,0,'Données projet'!$E$12+1,1))-AVERAGE(OFFSET($H$3,0,0,'Données projet'!$E$12+1,1))</f>
        <v>226.0452828290525</v>
      </c>
      <c r="CE45" s="59">
        <f t="shared" si="40"/>
        <v>179.89696397462069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7.1563603440553401</v>
      </c>
      <c r="CL45" s="21">
        <f>EXP(-LN(2)/25)*CL44+(1-EXP(-LN(2)/25))/(LN(2)/25)*Calculateur!CG45*Calculateur!CI45*VLOOKUP('Données projet'!$B$12,Paramètres!$A$1:$I$89,3,0)*0.475*44/12</f>
        <v>7.9952470735137648</v>
      </c>
      <c r="CM45" s="21">
        <f>EXP(-LN(2)/2)*CM44+(1-EXP(-LN(2)/2))/(LN(2)/2)*CG45*CJ45*VLOOKUP('Données projet'!$B$12,Paramètres!$A$1:$I$89,3,0)*0.475*44/12</f>
        <v>0.17254888505622437</v>
      </c>
      <c r="CN45" s="22">
        <f t="shared" si="12"/>
        <v>15.32415630262533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359.83333333333331</v>
      </c>
      <c r="CT45" s="12">
        <f>IF('Données projet'!$A$140&gt;35,CT44+CS45-DB44,IF(A45&lt;'Données projet'!$A$140,$CQ$205^A45,IF(A45='Données projet'!$A$140,'Données projet'!$B$140,CT44+CS45-DB44)))</f>
        <v>953.66666666666674</v>
      </c>
      <c r="CU45" s="17">
        <f>CT45*VLOOKUP('Données projet'!$B$13,Paramètres!$A$1:$I$89,3,0)*VLOOKUP('Données projet'!$B$13,Paramètres!$A$1:$I$89,5,0)</f>
        <v>570.29266666666672</v>
      </c>
      <c r="CV45" s="13">
        <f t="shared" si="41"/>
        <v>125.55675113940812</v>
      </c>
      <c r="CW45" s="20">
        <f t="shared" si="13"/>
        <v>1211.9377360122469</v>
      </c>
      <c r="CX45" s="59">
        <f t="shared" si="14"/>
        <v>1505.2710693455801</v>
      </c>
      <c r="CY45" s="59">
        <f ca="1">AVERAGE(OFFSET($CX$3,0,0,'Données projet'!$E$13+1,1))-AVERAGE(OFFSET($H$3,0,0,'Données projet'!$E$13+1,1))</f>
        <v>482.74318690313885</v>
      </c>
      <c r="CZ45" s="59">
        <f t="shared" si="42"/>
        <v>205.57161411620217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9.0506183574871919</v>
      </c>
      <c r="DG45" s="21">
        <f>EXP(-LN(2)/25)*DG44+(1-EXP(-LN(2)/25))/(LN(2)/25)*Calculateur!DB45*Calculateur!DD45*VLOOKUP('Données projet'!$B$13,Paramètres!$A$1:$I$89,3,0)*0.475*44/12</f>
        <v>6.7590129317622942</v>
      </c>
      <c r="DH45" s="21">
        <f>EXP(-LN(2)/2)*DH44+(1-EXP(-LN(2)/2))/(LN(2)/2)*DB45*DE45*VLOOKUP('Données projet'!$B$13,Paramètres!$A$1:$I$89,3,0)*0.475*44/12</f>
        <v>7.0765569006227061E-2</v>
      </c>
      <c r="DI45" s="22">
        <f t="shared" si="15"/>
        <v>15.880396858255713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3.06</v>
      </c>
      <c r="DO45" s="12">
        <f>IF('Données projet'!$A$166&gt;35,DO44+DN45-DW44,IF(A45&lt;'Données projet'!$A$166,$DL$205^A45,IF(A45='Données projet'!$A$166,'Données projet'!$B$166,DO44+DN45-DW44)))</f>
        <v>128.52000000000007</v>
      </c>
      <c r="DP45" s="17">
        <f>DO45*VLOOKUP('Données projet'!$B$14,Paramètres!$A$1:$I$89,3,0)*VLOOKUP('Données projet'!$B$14,Paramètres!$A$1:$I$89,5,0)</f>
        <v>61.818120000000036</v>
      </c>
      <c r="DQ45" s="13">
        <f t="shared" si="43"/>
        <v>17.627145112763948</v>
      </c>
      <c r="DR45" s="20">
        <f t="shared" si="16"/>
        <v>138.36717007139728</v>
      </c>
      <c r="DS45" s="59">
        <f t="shared" si="17"/>
        <v>431.70050340473063</v>
      </c>
      <c r="DT45" s="59">
        <f ca="1">AVERAGE(OFFSET($DS$3,0,0,'Données projet'!$E$14+1,1))-AVERAGE(OFFSET($H$3,0,0,'Données projet'!$E$14+1,1))</f>
        <v>247.11965163963526</v>
      </c>
      <c r="DU45" s="59">
        <f t="shared" si="44"/>
        <v>61.686311966192704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8.4</v>
      </c>
      <c r="N46" s="13">
        <f>IF('Données projet'!$A$36&gt;35,N45+M46-V45,IF(A46&lt;'Données projet'!$A$36,$K$205^A46,IF(A46='Données projet'!$A$36,'Données projet'!$B$36,N45+M46-V45)))</f>
        <v>141.20000000000005</v>
      </c>
      <c r="O46" s="13">
        <f>N46*VLOOKUP('Données projet'!$B$9,Paramètres!$A$1:$I$89,3,0)*VLOOKUP('Données projet'!$B$9,Paramètres!$A$1:$I$89,5,0)</f>
        <v>127.75776000000003</v>
      </c>
      <c r="P46" s="13">
        <f t="shared" si="33"/>
        <v>33.477720030956604</v>
      </c>
      <c r="Q46" s="20">
        <f t="shared" si="53"/>
        <v>280.81846105391611</v>
      </c>
      <c r="R46" s="59">
        <f t="shared" si="0"/>
        <v>574.15179438724942</v>
      </c>
      <c r="S46" s="59">
        <f ca="1">AVERAGE(OFFSET($R$3,0,0,'Données projet'!$E$9+1,1))-AVERAGE(OFFSET($H$3,0,0,'Données projet'!$E$9+1,1))</f>
        <v>265.50419397354284</v>
      </c>
      <c r="T46" s="59">
        <f t="shared" si="34"/>
        <v>156.67965022779907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2.5763895259160443</v>
      </c>
      <c r="AA46" s="21">
        <f>EXP(-LN(2)/25)*AA45+(1-EXP(-LN(2)/25))/(LN(2)/25)*Calculateur!V46*Calculateur!X46*VLOOKUP('Données projet'!$B$9,Paramètres!$A$1:$I$89,3,0)*0.475*44/12</f>
        <v>2.9256992120943308</v>
      </c>
      <c r="AB46" s="21">
        <f>EXP(-LN(2)/2)*AB45+(1-EXP(-LN(2)/2))/(LN(2)/2)*V46*Y46*VLOOKUP('Données projet'!$B$9,Paramètres!$A$1:$I$89,3,0)*0.475*44/12</f>
        <v>6.7426178229065006E-2</v>
      </c>
      <c r="AC46" s="22">
        <f t="shared" si="3"/>
        <v>5.5695149162394397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8.4</v>
      </c>
      <c r="AI46" s="13">
        <f>IF('Données projet'!$A$62&gt;35,AI45+AH46-AQ45,IF(A46&lt;'Données projet'!$A$62,$AF$205^A46,IF(A46='Données projet'!$A$62,'Données projet'!$B$62,AI45+AH46-AQ45)))</f>
        <v>141.20000000000005</v>
      </c>
      <c r="AJ46" s="13">
        <f>AI46*VLOOKUP('Données projet'!$B$10,Paramètres!$A$1:$I$89,3,0)*VLOOKUP('Données projet'!$B$10,Paramètres!$A$1:$I$89,5,0)</f>
        <v>143.17680000000004</v>
      </c>
      <c r="AK46" s="13">
        <f t="shared" si="35"/>
        <v>37.023812674521515</v>
      </c>
      <c r="AL46" s="20">
        <f t="shared" si="4"/>
        <v>313.84940040812506</v>
      </c>
      <c r="AM46" s="59">
        <f t="shared" si="5"/>
        <v>607.18273374145838</v>
      </c>
      <c r="AN46" s="59">
        <f ca="1">AVERAGE(OFFSET($AM$3,0,0,'Données projet'!$E$10+1,1))-AVERAGE(OFFSET($H$3,0,0,'Données projet'!$E$10+1,1))</f>
        <v>296.43642006376018</v>
      </c>
      <c r="AO46" s="59">
        <f t="shared" si="36"/>
        <v>179.56041631665812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2.8873330893886688</v>
      </c>
      <c r="AV46" s="21">
        <f>EXP(-LN(2)/25)*AV45+(1-EXP(-LN(2)/25))/(LN(2)/25)*Calculateur!AQ46*Calculateur!AS46*VLOOKUP('Données projet'!$B$10,Paramètres!$A$1:$I$89,3,0)*0.475*44/12</f>
        <v>3.2788008411401992</v>
      </c>
      <c r="AW46" s="21">
        <f>EXP(-LN(2)/2)*AW45+(1-EXP(-LN(2)/2))/(LN(2)/2)*AQ46*AT46*VLOOKUP('Données projet'!$B$10,Paramètres!$A$1:$I$89,3,0)*0.475*44/12</f>
        <v>7.5563820429124601E-2</v>
      </c>
      <c r="AX46" s="21">
        <f t="shared" si="6"/>
        <v>6.241697750957993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11.142857142857142</v>
      </c>
      <c r="BD46" s="12">
        <f>IF('Données projet'!$A$88&gt;35,BD45+BC46-BL45,IF(A46&lt;'Données projet'!$A$88,$BA$205^A46,IF(A46='Données projet'!$A$88,'Données projet'!$B$88,BD45+BC46-BL45)))</f>
        <v>218.85714285714278</v>
      </c>
      <c r="BE46" s="13">
        <f>BD46*VLOOKUP('Données projet'!$B$11,Paramètres!$A$1:$I$89,3,0)*VLOOKUP('Données projet'!$B$11,Paramètres!$A$1:$I$89,5,0)</f>
        <v>146.80937142857138</v>
      </c>
      <c r="BF46" s="13">
        <f t="shared" si="37"/>
        <v>37.852599017509782</v>
      </c>
      <c r="BG46" s="20">
        <f t="shared" si="7"/>
        <v>321.61959852692468</v>
      </c>
      <c r="BH46" s="59">
        <f t="shared" si="8"/>
        <v>614.95293186025799</v>
      </c>
      <c r="BI46" s="59">
        <f ca="1">AVERAGE(OFFSET($BH$3,0,0,'Données projet'!$E$11+1,1))-AVERAGE(OFFSET($H$3,0,0,'Données projet'!$E$11+1,1))</f>
        <v>181.32837315090507</v>
      </c>
      <c r="BJ46" s="59">
        <f t="shared" si="38"/>
        <v>175.03267817980338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4.2335212206494353</v>
      </c>
      <c r="BQ46" s="21">
        <f>EXP(-LN(2)/25)*BQ45+(1-EXP(-LN(2)/25))/(LN(2)/25)*Calculateur!BL46*Calculateur!BN46*VLOOKUP('Données projet'!$B$11,Paramètres!$A$1:$I$89,3,0)*0.475*44/12</f>
        <v>4.7438004915307719</v>
      </c>
      <c r="BR46" s="21">
        <f>EXP(-LN(2)/2)*BR45+(1-EXP(-LN(2)/2))/(LN(2)/2)*BL46*BO46*VLOOKUP('Données projet'!$B$11,Paramètres!$A$1:$I$89,3,0)*0.475*44/12</f>
        <v>1.1721434959724228E-2</v>
      </c>
      <c r="BS46" s="22">
        <f t="shared" si="9"/>
        <v>8.989043147139931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11.5</v>
      </c>
      <c r="BY46" s="12">
        <f>IF('Données projet'!$A$114&gt;35,BY45+BX46-CG45,IF(A46&lt;'Données projet'!$A$114,$BV$205^A46,IF(A46='Données projet'!$A$114,'Données projet'!$B$114,BY45+BX46-CG45)))</f>
        <v>207.99999999999989</v>
      </c>
      <c r="BZ46" s="13">
        <f>BY46*VLOOKUP('Données projet'!$B$12,Paramètres!$A$1:$I$89,3,0)*VLOOKUP('Données projet'!$B$12,Paramètres!$A$1:$I$89,5,0)</f>
        <v>97.343999999999937</v>
      </c>
      <c r="CA46" s="13">
        <f t="shared" si="39"/>
        <v>26.328254259866451</v>
      </c>
      <c r="CB46" s="20">
        <f t="shared" si="10"/>
        <v>215.39584283593396</v>
      </c>
      <c r="CC46" s="59">
        <f t="shared" si="11"/>
        <v>508.72917616926725</v>
      </c>
      <c r="CD46" s="59">
        <f ca="1">AVERAGE(OFFSET($CC$3,0,0,'Données projet'!$E$12+1,1))-AVERAGE(OFFSET($H$3,0,0,'Données projet'!$E$12+1,1))</f>
        <v>226.0452828290525</v>
      </c>
      <c r="CE46" s="59">
        <f t="shared" si="40"/>
        <v>179.89696397462069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7.0160284826572221</v>
      </c>
      <c r="CL46" s="21">
        <f>EXP(-LN(2)/25)*CL45+(1-EXP(-LN(2)/25))/(LN(2)/25)*Calculateur!CG46*Calculateur!CI46*VLOOKUP('Données projet'!$B$12,Paramètres!$A$1:$I$89,3,0)*0.475*44/12</f>
        <v>7.7766166218367605</v>
      </c>
      <c r="CM46" s="21">
        <f>EXP(-LN(2)/2)*CM45+(1-EXP(-LN(2)/2))/(LN(2)/2)*CG46*CJ46*VLOOKUP('Données projet'!$B$12,Paramètres!$A$1:$I$89,3,0)*0.475*44/12</f>
        <v>0.1220104867094344</v>
      </c>
      <c r="CN46" s="22">
        <f t="shared" si="12"/>
        <v>14.914655591203417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359.83333333333331</v>
      </c>
      <c r="CT46" s="12">
        <f>IF('Données projet'!$A$140&gt;35,CT45+CS46-DB45,IF(A46&lt;'Données projet'!$A$140,$CQ$205^A46,IF(A46='Données projet'!$A$140,'Données projet'!$B$140,CT45+CS46-DB45)))</f>
        <v>1313.5</v>
      </c>
      <c r="CU46" s="17">
        <f>CT46*VLOOKUP('Données projet'!$B$13,Paramètres!$A$1:$I$89,3,0)*VLOOKUP('Données projet'!$B$13,Paramètres!$A$1:$I$89,5,0)</f>
        <v>785.47300000000007</v>
      </c>
      <c r="CV46" s="13">
        <f t="shared" si="41"/>
        <v>166.60577348522486</v>
      </c>
      <c r="CW46" s="20">
        <f t="shared" si="13"/>
        <v>1658.2038638201002</v>
      </c>
      <c r="CX46" s="59">
        <f t="shared" si="14"/>
        <v>1951.5371971534335</v>
      </c>
      <c r="CY46" s="59">
        <f ca="1">AVERAGE(OFFSET($CX$3,0,0,'Données projet'!$E$13+1,1))-AVERAGE(OFFSET($H$3,0,0,'Données projet'!$E$13+1,1))</f>
        <v>482.74318690313885</v>
      </c>
      <c r="CZ46" s="59">
        <f t="shared" si="42"/>
        <v>205.57161411620217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8.8731412518289794</v>
      </c>
      <c r="DG46" s="21">
        <f>EXP(-LN(2)/25)*DG45+(1-EXP(-LN(2)/25))/(LN(2)/25)*Calculateur!DB46*Calculateur!DD46*VLOOKUP('Données projet'!$B$13,Paramètres!$A$1:$I$89,3,0)*0.475*44/12</f>
        <v>6.574187367702212</v>
      </c>
      <c r="DH46" s="21">
        <f>EXP(-LN(2)/2)*DH45+(1-EXP(-LN(2)/2))/(LN(2)/2)*DB46*DE46*VLOOKUP('Données projet'!$B$13,Paramètres!$A$1:$I$89,3,0)*0.475*44/12</f>
        <v>5.0038813718827728E-2</v>
      </c>
      <c r="DI46" s="22">
        <f t="shared" si="15"/>
        <v>15.49736743325002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3.06</v>
      </c>
      <c r="DO46" s="12">
        <f>IF('Données projet'!$A$166&gt;35,DO45+DN46-DW45,IF(A46&lt;'Données projet'!$A$166,$DL$205^A46,IF(A46='Données projet'!$A$166,'Données projet'!$B$166,DO45+DN46-DW45)))</f>
        <v>131.58000000000007</v>
      </c>
      <c r="DP46" s="17">
        <f>DO46*VLOOKUP('Données projet'!$B$14,Paramètres!$A$1:$I$89,3,0)*VLOOKUP('Données projet'!$B$14,Paramètres!$A$1:$I$89,5,0)</f>
        <v>63.289980000000035</v>
      </c>
      <c r="DQ46" s="13">
        <f t="shared" si="43"/>
        <v>17.997477286600464</v>
      </c>
      <c r="DR46" s="20">
        <f t="shared" si="16"/>
        <v>141.57565477416253</v>
      </c>
      <c r="DS46" s="59">
        <f t="shared" si="17"/>
        <v>434.90898810749582</v>
      </c>
      <c r="DT46" s="59">
        <f ca="1">AVERAGE(OFFSET($DS$3,0,0,'Données projet'!$E$14+1,1))-AVERAGE(OFFSET($H$3,0,0,'Données projet'!$E$14+1,1))</f>
        <v>247.11965163963526</v>
      </c>
      <c r="DU46" s="59">
        <f t="shared" si="44"/>
        <v>61.686311966192704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8.4</v>
      </c>
      <c r="N47" s="13">
        <f>IF('Données projet'!$A$36&gt;35,N46+M47-V46,IF(A47&lt;'Données projet'!$A$36,$K$205^A47,IF(A47='Données projet'!$A$36,'Données projet'!$B$36,N46+M47-V46)))</f>
        <v>149.60000000000005</v>
      </c>
      <c r="O47" s="13">
        <f>N47*VLOOKUP('Données projet'!$B$9,Paramètres!$A$1:$I$89,3,0)*VLOOKUP('Données projet'!$B$9,Paramètres!$A$1:$I$89,5,0)</f>
        <v>135.35808000000006</v>
      </c>
      <c r="P47" s="13">
        <f t="shared" si="33"/>
        <v>35.231528980112834</v>
      </c>
      <c r="Q47" s="20">
        <f t="shared" si="53"/>
        <v>297.11023564036327</v>
      </c>
      <c r="R47" s="59">
        <f t="shared" si="0"/>
        <v>590.44356897369653</v>
      </c>
      <c r="S47" s="59">
        <f ca="1">AVERAGE(OFFSET($R$3,0,0,'Données projet'!$E$9+1,1))-AVERAGE(OFFSET($H$3,0,0,'Données projet'!$E$9+1,1))</f>
        <v>265.50419397354284</v>
      </c>
      <c r="T47" s="59">
        <f t="shared" si="34"/>
        <v>156.67965022779907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2.5258680987552746</v>
      </c>
      <c r="AA47" s="21">
        <f>EXP(-LN(2)/25)*AA46+(1-EXP(-LN(2)/25))/(LN(2)/25)*Calculateur!V47*Calculateur!X47*VLOOKUP('Données projet'!$B$9,Paramètres!$A$1:$I$89,3,0)*0.475*44/12</f>
        <v>2.8456958132837764</v>
      </c>
      <c r="AB47" s="21">
        <f>EXP(-LN(2)/2)*AB46+(1-EXP(-LN(2)/2))/(LN(2)/2)*V47*Y47*VLOOKUP('Données projet'!$B$9,Paramètres!$A$1:$I$89,3,0)*0.475*44/12</f>
        <v>4.7677507855264624E-2</v>
      </c>
      <c r="AC47" s="22">
        <f t="shared" si="3"/>
        <v>5.4192414198943153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8.4</v>
      </c>
      <c r="AI47" s="13">
        <f>IF('Données projet'!$A$62&gt;35,AI46+AH47-AQ46,IF(A47&lt;'Données projet'!$A$62,$AF$205^A47,IF(A47='Données projet'!$A$62,'Données projet'!$B$62,AI46+AH47-AQ46)))</f>
        <v>149.60000000000005</v>
      </c>
      <c r="AJ47" s="13">
        <f>AI47*VLOOKUP('Données projet'!$B$10,Paramètres!$A$1:$I$89,3,0)*VLOOKUP('Données projet'!$B$10,Paramètres!$A$1:$I$89,5,0)</f>
        <v>151.69440000000006</v>
      </c>
      <c r="AK47" s="13">
        <f t="shared" si="35"/>
        <v>38.963392010880654</v>
      </c>
      <c r="AL47" s="20">
        <f t="shared" si="4"/>
        <v>332.06232108561721</v>
      </c>
      <c r="AM47" s="59">
        <f t="shared" si="5"/>
        <v>625.39565441895047</v>
      </c>
      <c r="AN47" s="59">
        <f ca="1">AVERAGE(OFFSET($AM$3,0,0,'Données projet'!$E$10+1,1))-AVERAGE(OFFSET($H$3,0,0,'Données projet'!$E$10+1,1))</f>
        <v>296.43642006376018</v>
      </c>
      <c r="AO47" s="59">
        <f t="shared" si="36"/>
        <v>179.56041631665812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2.8307142486050476</v>
      </c>
      <c r="AV47" s="21">
        <f>EXP(-LN(2)/25)*AV46+(1-EXP(-LN(2)/25))/(LN(2)/25)*Calculateur!AQ47*Calculateur!AS47*VLOOKUP('Données projet'!$B$10,Paramètres!$A$1:$I$89,3,0)*0.475*44/12</f>
        <v>3.189141859714578</v>
      </c>
      <c r="AW47" s="21">
        <f>EXP(-LN(2)/2)*AW46+(1-EXP(-LN(2)/2))/(LN(2)/2)*AQ47*AT47*VLOOKUP('Données projet'!$B$10,Paramètres!$A$1:$I$89,3,0)*0.475*44/12</f>
        <v>5.343168983779658E-2</v>
      </c>
      <c r="AX47" s="21">
        <f t="shared" si="6"/>
        <v>6.0732877981574225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>
        <f>VLOOKUP(A47,'Données projet'!$A$87:$I$107,2,0)</f>
        <v>230</v>
      </c>
      <c r="BB47" s="12">
        <f>VLOOKUP(A47,'Données projet'!$A$87:$I$107,9,0)</f>
        <v>11.142857142857142</v>
      </c>
      <c r="BC47" s="12">
        <f t="array" ref="BC47">INDEX(BB:BB,MIN(IF(ISNUMBER(BB47:BB243),ROW(BB47:BB243),"")))</f>
        <v>11.142857142857142</v>
      </c>
      <c r="BD47" s="12">
        <f>IF('Données projet'!$A$88&gt;35,BD46+BC47-BL46,IF(A47&lt;'Données projet'!$A$88,$BA$205^A47,IF(A47='Données projet'!$A$88,'Données projet'!$B$88,BD46+BC47-BL46)))</f>
        <v>229.99999999999991</v>
      </c>
      <c r="BE47" s="13">
        <f>BD47*VLOOKUP('Données projet'!$B$11,Paramètres!$A$1:$I$89,3,0)*VLOOKUP('Données projet'!$B$11,Paramètres!$A$1:$I$89,5,0)</f>
        <v>154.28399999999993</v>
      </c>
      <c r="BF47" s="13">
        <f t="shared" si="37"/>
        <v>39.550538702560999</v>
      </c>
      <c r="BG47" s="20">
        <f t="shared" si="7"/>
        <v>337.59515490696026</v>
      </c>
      <c r="BH47" s="59">
        <f t="shared" si="8"/>
        <v>630.92848824029352</v>
      </c>
      <c r="BI47" s="59">
        <f ca="1">AVERAGE(OFFSET($BH$3,0,0,'Données projet'!$E$11+1,1))-AVERAGE(OFFSET($H$3,0,0,'Données projet'!$E$11+1,1))</f>
        <v>181.32837315090507</v>
      </c>
      <c r="BJ47" s="59">
        <f t="shared" si="38"/>
        <v>175.03267817980338</v>
      </c>
      <c r="BK47" s="15">
        <f>IF(ISNA(VLOOKUP(A47,'Données projet'!$A$87:$I$107,3,0)),0,VLOOKUP(A47,'Données projet'!$A$87:$I$107,3,0))</f>
        <v>7</v>
      </c>
      <c r="BL47" s="15">
        <f>IF(ISNA(VLOOKUP(A47,'Données projet'!$A$87:$I$107,4,0)),0,VLOOKUP(A47,'Données projet'!$A$87:$I$107,4,0))</f>
        <v>43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4.1505044517054737</v>
      </c>
      <c r="BQ47" s="21">
        <f>EXP(-LN(2)/25)*BQ46+(1-EXP(-LN(2)/25))/(LN(2)/25)*Calculateur!BL47*Calculateur!BN47*VLOOKUP('Données projet'!$B$11,Paramètres!$A$1:$I$89,3,0)*0.475*44/12</f>
        <v>4.6140810176242368</v>
      </c>
      <c r="BR47" s="21">
        <f>EXP(-LN(2)/2)*BR46+(1-EXP(-LN(2)/2))/(LN(2)/2)*BL47*BO47*VLOOKUP('Données projet'!$B$11,Paramètres!$A$1:$I$89,3,0)*0.475*44/12</f>
        <v>8.2883061452580682E-3</v>
      </c>
      <c r="BS47" s="22">
        <f t="shared" si="9"/>
        <v>8.7728737754749684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11.5</v>
      </c>
      <c r="BY47" s="12">
        <f>IF('Données projet'!$A$114&gt;35,BY46+BX47-CG46,IF(A47&lt;'Données projet'!$A$114,$BV$205^A47,IF(A47='Données projet'!$A$114,'Données projet'!$B$114,BY46+BX47-CG46)))</f>
        <v>219.49999999999989</v>
      </c>
      <c r="BZ47" s="13">
        <f>BY47*VLOOKUP('Données projet'!$B$12,Paramètres!$A$1:$I$89,3,0)*VLOOKUP('Données projet'!$B$12,Paramètres!$A$1:$I$89,5,0)</f>
        <v>102.72599999999994</v>
      </c>
      <c r="CA47" s="13">
        <f t="shared" si="39"/>
        <v>27.610409417164195</v>
      </c>
      <c r="CB47" s="20">
        <f t="shared" si="10"/>
        <v>227.0025797348942</v>
      </c>
      <c r="CC47" s="59">
        <f t="shared" si="11"/>
        <v>520.33591306822746</v>
      </c>
      <c r="CD47" s="59">
        <f ca="1">AVERAGE(OFFSET($CC$3,0,0,'Données projet'!$E$12+1,1))-AVERAGE(OFFSET($H$3,0,0,'Données projet'!$E$12+1,1))</f>
        <v>226.0452828290525</v>
      </c>
      <c r="CE47" s="59">
        <f t="shared" si="40"/>
        <v>179.89696397462069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6.8784484434671374</v>
      </c>
      <c r="CL47" s="21">
        <f>EXP(-LN(2)/25)*CL46+(1-EXP(-LN(2)/25))/(LN(2)/25)*Calculateur!CG47*Calculateur!CI47*VLOOKUP('Données projet'!$B$12,Paramètres!$A$1:$I$89,3,0)*0.475*44/12</f>
        <v>7.5639646313581395</v>
      </c>
      <c r="CM47" s="21">
        <f>EXP(-LN(2)/2)*CM46+(1-EXP(-LN(2)/2))/(LN(2)/2)*CG47*CJ47*VLOOKUP('Données projet'!$B$12,Paramètres!$A$1:$I$89,3,0)*0.475*44/12</f>
        <v>8.62744425281122E-2</v>
      </c>
      <c r="CN47" s="22">
        <f t="shared" si="12"/>
        <v>14.528687517353388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359.83333333333331</v>
      </c>
      <c r="CT47" s="12">
        <f>IF('Données projet'!$A$140&gt;35,CT46+CS47-DB46,IF(A47&lt;'Données projet'!$A$140,$CQ$205^A47,IF(A47='Données projet'!$A$140,'Données projet'!$B$140,CT46+CS47-DB46)))</f>
        <v>1673.3333333333333</v>
      </c>
      <c r="CU47" s="17">
        <f>CT47*VLOOKUP('Données projet'!$B$13,Paramètres!$A$1:$I$89,3,0)*VLOOKUP('Données projet'!$B$13,Paramètres!$A$1:$I$89,5,0)</f>
        <v>1000.6533333333334</v>
      </c>
      <c r="CV47" s="13">
        <f t="shared" si="41"/>
        <v>206.34915502852061</v>
      </c>
      <c r="CW47" s="20">
        <f t="shared" si="13"/>
        <v>2102.1960005635624</v>
      </c>
      <c r="CX47" s="59">
        <f t="shared" si="14"/>
        <v>2395.5293338968959</v>
      </c>
      <c r="CY47" s="59">
        <f ca="1">AVERAGE(OFFSET($CX$3,0,0,'Données projet'!$E$13+1,1))-AVERAGE(OFFSET($H$3,0,0,'Données projet'!$E$13+1,1))</f>
        <v>482.74318690313885</v>
      </c>
      <c r="CZ47" s="59">
        <f t="shared" si="42"/>
        <v>205.57161411620217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8.6991443639623789</v>
      </c>
      <c r="DG47" s="21">
        <f>EXP(-LN(2)/25)*DG46+(1-EXP(-LN(2)/25))/(LN(2)/25)*Calculateur!DB47*Calculateur!DD47*VLOOKUP('Données projet'!$B$13,Paramètres!$A$1:$I$89,3,0)*0.475*44/12</f>
        <v>6.3944158684109071</v>
      </c>
      <c r="DH47" s="21">
        <f>EXP(-LN(2)/2)*DH46+(1-EXP(-LN(2)/2))/(LN(2)/2)*DB47*DE47*VLOOKUP('Données projet'!$B$13,Paramètres!$A$1:$I$89,3,0)*0.475*44/12</f>
        <v>3.538278450311353E-2</v>
      </c>
      <c r="DI47" s="22">
        <f t="shared" si="15"/>
        <v>15.128943016876399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3.06</v>
      </c>
      <c r="DO47" s="12">
        <f>IF('Données projet'!$A$166&gt;35,DO46+DN47-DW46,IF(A47&lt;'Données projet'!$A$166,$DL$205^A47,IF(A47='Données projet'!$A$166,'Données projet'!$B$166,DO46+DN47-DW46)))</f>
        <v>134.64000000000007</v>
      </c>
      <c r="DP47" s="17">
        <f>DO47*VLOOKUP('Données projet'!$B$14,Paramètres!$A$1:$I$89,3,0)*VLOOKUP('Données projet'!$B$14,Paramètres!$A$1:$I$89,5,0)</f>
        <v>64.761840000000035</v>
      </c>
      <c r="DQ47" s="13">
        <f t="shared" si="43"/>
        <v>18.366808240092499</v>
      </c>
      <c r="DR47" s="20">
        <f t="shared" si="16"/>
        <v>144.7823956848278</v>
      </c>
      <c r="DS47" s="59">
        <f t="shared" si="17"/>
        <v>438.11572901816112</v>
      </c>
      <c r="DT47" s="59">
        <f ca="1">AVERAGE(OFFSET($DS$3,0,0,'Données projet'!$E$14+1,1))-AVERAGE(OFFSET($H$3,0,0,'Données projet'!$E$14+1,1))</f>
        <v>247.11965163963526</v>
      </c>
      <c r="DU47" s="59">
        <f t="shared" si="44"/>
        <v>61.686311966192704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158</v>
      </c>
      <c r="L48" s="12">
        <f>VLOOKUP(A48,'Données projet'!$A$35:$I$55,9,0)</f>
        <v>8.4</v>
      </c>
      <c r="M48" s="12">
        <f t="array" ref="M48">INDEX(L:L,MIN(IF(ISNUMBER(L48:L244),ROW(L48:L244),"")))</f>
        <v>8.4</v>
      </c>
      <c r="N48" s="13">
        <f>IF('Données projet'!$A$36&gt;35,N47+M48-V47,IF(A48&lt;'Données projet'!$A$36,$K$205^A48,IF(A48='Données projet'!$A$36,'Données projet'!$B$36,N47+M48-V47)))</f>
        <v>158.00000000000006</v>
      </c>
      <c r="O48" s="13">
        <f>N48*VLOOKUP('Données projet'!$B$9,Paramètres!$A$1:$I$89,3,0)*VLOOKUP('Données projet'!$B$9,Paramètres!$A$1:$I$89,5,0)</f>
        <v>142.95840000000004</v>
      </c>
      <c r="P48" s="13">
        <f t="shared" si="33"/>
        <v>36.973906370811264</v>
      </c>
      <c r="Q48" s="20">
        <f t="shared" si="53"/>
        <v>313.38210026249641</v>
      </c>
      <c r="R48" s="59">
        <f t="shared" si="0"/>
        <v>606.71543359582972</v>
      </c>
      <c r="S48" s="59">
        <f ca="1">AVERAGE(OFFSET($R$3,0,0,'Données projet'!$E$9+1,1))-AVERAGE(OFFSET($H$3,0,0,'Données projet'!$E$9+1,1))</f>
        <v>265.50419397354284</v>
      </c>
      <c r="T48" s="59">
        <f t="shared" si="34"/>
        <v>156.67965022779907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21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2.4763373659660997</v>
      </c>
      <c r="AA48" s="21">
        <f>EXP(-LN(2)/25)*AA47+(1-EXP(-LN(2)/25))/(LN(2)/25)*Calculateur!V48*Calculateur!X48*VLOOKUP('Données projet'!$B$9,Paramètres!$A$1:$I$89,3,0)*0.475*44/12</f>
        <v>2.7678801116208929</v>
      </c>
      <c r="AB48" s="21">
        <f>EXP(-LN(2)/2)*AB47+(1-EXP(-LN(2)/2))/(LN(2)/2)*V48*Y48*VLOOKUP('Données projet'!$B$9,Paramètres!$A$1:$I$89,3,0)*0.475*44/12</f>
        <v>3.3713089114532503E-2</v>
      </c>
      <c r="AC48" s="22">
        <f t="shared" si="3"/>
        <v>5.2779305667015253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158</v>
      </c>
      <c r="AG48" s="12">
        <f>VLOOKUP(A48,'Données projet'!$A$61:$I$81,9,0)</f>
        <v>8.4</v>
      </c>
      <c r="AH48" s="12">
        <f t="array" ref="AH48">INDEX(AG:AG,MIN(IF(ISNUMBER(AG48:AG244),ROW(AG48:AG244),"")))</f>
        <v>8.4</v>
      </c>
      <c r="AI48" s="13">
        <f>IF('Données projet'!$A$62&gt;35,AI47+AH48-AQ47,IF(A48&lt;'Données projet'!$A$62,$AF$205^A48,IF(A48='Données projet'!$A$62,'Données projet'!$B$62,AI47+AH48-AQ47)))</f>
        <v>158.00000000000006</v>
      </c>
      <c r="AJ48" s="13">
        <f>AI48*VLOOKUP('Données projet'!$B$10,Paramètres!$A$1:$I$89,3,0)*VLOOKUP('Données projet'!$B$10,Paramètres!$A$1:$I$89,5,0)</f>
        <v>160.21200000000007</v>
      </c>
      <c r="AK48" s="13">
        <f t="shared" si="35"/>
        <v>40.890328912852731</v>
      </c>
      <c r="AL48" s="20">
        <f t="shared" si="4"/>
        <v>350.25322285655193</v>
      </c>
      <c r="AM48" s="59">
        <f t="shared" si="5"/>
        <v>643.58655618988519</v>
      </c>
      <c r="AN48" s="59">
        <f ca="1">AVERAGE(OFFSET($AM$3,0,0,'Données projet'!$E$10+1,1))-AVERAGE(OFFSET($H$3,0,0,'Données projet'!$E$10+1,1))</f>
        <v>296.43642006376018</v>
      </c>
      <c r="AO48" s="59">
        <f t="shared" si="36"/>
        <v>179.56041631665812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21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2.7752056687551101</v>
      </c>
      <c r="AV48" s="21">
        <f>EXP(-LN(2)/25)*AV47+(1-EXP(-LN(2)/25))/(LN(2)/25)*Calculateur!AQ48*Calculateur!AS48*VLOOKUP('Données projet'!$B$10,Paramètres!$A$1:$I$89,3,0)*0.475*44/12</f>
        <v>3.1019346078510015</v>
      </c>
      <c r="AW48" s="21">
        <f>EXP(-LN(2)/2)*AW47+(1-EXP(-LN(2)/2))/(LN(2)/2)*AQ48*AT48*VLOOKUP('Données projet'!$B$10,Paramètres!$A$1:$I$89,3,0)*0.475*44/12</f>
        <v>3.77819102145623E-2</v>
      </c>
      <c r="AX48" s="21">
        <f t="shared" si="6"/>
        <v>5.9149221868206734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10.375</v>
      </c>
      <c r="BD48" s="12">
        <f>IF('Données projet'!$A$88&gt;35,BD47+BC48-BL47,IF(A48&lt;'Données projet'!$A$88,$BA$205^A48,IF(A48='Données projet'!$A$88,'Données projet'!$B$88,BD47+BC48-BL47)))</f>
        <v>197.37499999999991</v>
      </c>
      <c r="BE48" s="13">
        <f>BD48*VLOOKUP('Données projet'!$B$11,Paramètres!$A$1:$I$89,3,0)*VLOOKUP('Données projet'!$B$11,Paramètres!$A$1:$I$89,5,0)</f>
        <v>132.39914999999993</v>
      </c>
      <c r="BF48" s="13">
        <f t="shared" si="37"/>
        <v>34.550141064782551</v>
      </c>
      <c r="BG48" s="20">
        <f t="shared" si="7"/>
        <v>290.77001527116278</v>
      </c>
      <c r="BH48" s="59">
        <f t="shared" si="8"/>
        <v>584.10334860449609</v>
      </c>
      <c r="BI48" s="59">
        <f ca="1">AVERAGE(OFFSET($BH$3,0,0,'Données projet'!$E$11+1,1))-AVERAGE(OFFSET($H$3,0,0,'Données projet'!$E$11+1,1))</f>
        <v>181.32837315090507</v>
      </c>
      <c r="BJ48" s="59">
        <f t="shared" si="38"/>
        <v>175.03267817980338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4.0691155909652741</v>
      </c>
      <c r="BQ48" s="21">
        <f>EXP(-LN(2)/25)*BQ47+(1-EXP(-LN(2)/25))/(LN(2)/25)*Calculateur!BL48*Calculateur!BN48*VLOOKUP('Données projet'!$B$11,Paramètres!$A$1:$I$89,3,0)*0.475*44/12</f>
        <v>4.4879087295533271</v>
      </c>
      <c r="BR48" s="21">
        <f>EXP(-LN(2)/2)*BR47+(1-EXP(-LN(2)/2))/(LN(2)/2)*BL48*BO48*VLOOKUP('Données projet'!$B$11,Paramètres!$A$1:$I$89,3,0)*0.475*44/12</f>
        <v>5.8607174798621141E-3</v>
      </c>
      <c r="BS48" s="22">
        <f t="shared" si="9"/>
        <v>8.5628850379984627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11.5</v>
      </c>
      <c r="BY48" s="12">
        <f>IF('Données projet'!$A$114&gt;35,BY47+BX48-CG47,IF(A48&lt;'Données projet'!$A$114,$BV$205^A48,IF(A48='Données projet'!$A$114,'Données projet'!$B$114,BY47+BX48-CG47)))</f>
        <v>230.99999999999989</v>
      </c>
      <c r="BZ48" s="13">
        <f>BY48*VLOOKUP('Données projet'!$B$12,Paramètres!$A$1:$I$89,3,0)*VLOOKUP('Données projet'!$B$12,Paramètres!$A$1:$I$89,5,0)</f>
        <v>108.10799999999995</v>
      </c>
      <c r="CA48" s="13">
        <f t="shared" si="39"/>
        <v>28.884765499467136</v>
      </c>
      <c r="CB48" s="20">
        <f t="shared" si="10"/>
        <v>238.59573324490518</v>
      </c>
      <c r="CC48" s="59">
        <f t="shared" si="11"/>
        <v>531.92906657823846</v>
      </c>
      <c r="CD48" s="59">
        <f ca="1">AVERAGE(OFFSET($CC$3,0,0,'Données projet'!$E$12+1,1))-AVERAGE(OFFSET($H$3,0,0,'Données projet'!$E$12+1,1))</f>
        <v>226.0452828290525</v>
      </c>
      <c r="CE48" s="59">
        <f t="shared" si="40"/>
        <v>179.89696397462069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6.7435662649300321</v>
      </c>
      <c r="CL48" s="21">
        <f>EXP(-LN(2)/25)*CL47+(1-EXP(-LN(2)/25))/(LN(2)/25)*Calculateur!CG48*Calculateur!CI48*VLOOKUP('Données projet'!$B$12,Paramètres!$A$1:$I$89,3,0)*0.475*44/12</f>
        <v>7.3571276207420384</v>
      </c>
      <c r="CM48" s="21">
        <f>EXP(-LN(2)/2)*CM47+(1-EXP(-LN(2)/2))/(LN(2)/2)*CG48*CJ48*VLOOKUP('Données projet'!$B$12,Paramètres!$A$1:$I$89,3,0)*0.475*44/12</f>
        <v>6.1005243354717208E-2</v>
      </c>
      <c r="CN48" s="22">
        <f t="shared" si="12"/>
        <v>14.161699129026788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359.83333333333331</v>
      </c>
      <c r="CT48" s="12">
        <f>IF('Données projet'!$A$140&gt;35,CT47+CS48-DB47,IF(A48&lt;'Données projet'!$A$140,$CQ$205^A48,IF(A48='Données projet'!$A$140,'Données projet'!$B$140,CT47+CS48-DB47)))</f>
        <v>2033.1666666666665</v>
      </c>
      <c r="CU48" s="17">
        <f>CT48*VLOOKUP('Données projet'!$B$13,Paramètres!$A$1:$I$89,3,0)*VLOOKUP('Données projet'!$B$13,Paramètres!$A$1:$I$89,5,0)</f>
        <v>1215.8336666666667</v>
      </c>
      <c r="CV48" s="13">
        <f t="shared" si="41"/>
        <v>245.10201237867619</v>
      </c>
      <c r="CW48" s="20">
        <f t="shared" si="13"/>
        <v>2544.4629743373057</v>
      </c>
      <c r="CX48" s="59">
        <f t="shared" si="14"/>
        <v>2837.7963076706392</v>
      </c>
      <c r="CY48" s="59">
        <f ca="1">AVERAGE(OFFSET($CX$3,0,0,'Données projet'!$E$13+1,1))-AVERAGE(OFFSET($H$3,0,0,'Données projet'!$E$13+1,1))</f>
        <v>482.74318690313885</v>
      </c>
      <c r="CZ48" s="59">
        <f t="shared" si="42"/>
        <v>205.57161411620217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8.5285594489392196</v>
      </c>
      <c r="DG48" s="21">
        <f>EXP(-LN(2)/25)*DG47+(1-EXP(-LN(2)/25))/(LN(2)/25)*Calculateur!DB48*Calculateur!DD48*VLOOKUP('Données projet'!$B$13,Paramètres!$A$1:$I$89,3,0)*0.475*44/12</f>
        <v>6.2195602302214947</v>
      </c>
      <c r="DH48" s="21">
        <f>EXP(-LN(2)/2)*DH47+(1-EXP(-LN(2)/2))/(LN(2)/2)*DB48*DE48*VLOOKUP('Données projet'!$B$13,Paramètres!$A$1:$I$89,3,0)*0.475*44/12</f>
        <v>2.5019406859413864E-2</v>
      </c>
      <c r="DI48" s="22">
        <f t="shared" si="15"/>
        <v>14.773139086020128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3.06</v>
      </c>
      <c r="DO48" s="12">
        <f>IF('Données projet'!$A$166&gt;35,DO47+DN48-DW47,IF(A48&lt;'Données projet'!$A$166,$DL$205^A48,IF(A48='Données projet'!$A$166,'Données projet'!$B$166,DO47+DN48-DW47)))</f>
        <v>137.70000000000007</v>
      </c>
      <c r="DP48" s="17">
        <f>DO48*VLOOKUP('Données projet'!$B$14,Paramètres!$A$1:$I$89,3,0)*VLOOKUP('Données projet'!$B$14,Paramètres!$A$1:$I$89,5,0)</f>
        <v>66.233700000000042</v>
      </c>
      <c r="DQ48" s="13">
        <f t="shared" si="43"/>
        <v>18.735163347772666</v>
      </c>
      <c r="DR48" s="20">
        <f t="shared" si="16"/>
        <v>147.98743699737079</v>
      </c>
      <c r="DS48" s="59">
        <f t="shared" si="17"/>
        <v>441.32077033070414</v>
      </c>
      <c r="DT48" s="59">
        <f ca="1">AVERAGE(OFFSET($DS$3,0,0,'Données projet'!$E$14+1,1))-AVERAGE(OFFSET($H$3,0,0,'Données projet'!$E$14+1,1))</f>
        <v>247.11965163963526</v>
      </c>
      <c r="DU48" s="59">
        <f t="shared" si="44"/>
        <v>61.686311966192704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8.1999999999999993</v>
      </c>
      <c r="N49" s="13">
        <f>IF('Données projet'!$A$36&gt;35,N48+M49-V48,IF(A49&lt;'Données projet'!$A$36,$K$205^A49,IF(A49='Données projet'!$A$36,'Données projet'!$B$36,N48+M49-V48)))</f>
        <v>145.20000000000005</v>
      </c>
      <c r="O49" s="13">
        <f>N49*VLOOKUP('Données projet'!$B$9,Paramètres!$A$1:$I$89,3,0)*VLOOKUP('Données projet'!$B$9,Paramètres!$A$1:$I$89,5,0)</f>
        <v>131.37696000000003</v>
      </c>
      <c r="P49" s="13">
        <f t="shared" si="33"/>
        <v>34.314338988223334</v>
      </c>
      <c r="Q49" s="20">
        <f t="shared" si="53"/>
        <v>288.57901240448905</v>
      </c>
      <c r="R49" s="59">
        <f t="shared" si="0"/>
        <v>581.91234573782231</v>
      </c>
      <c r="S49" s="59">
        <f ca="1">AVERAGE(OFFSET($R$3,0,0,'Données projet'!$E$9+1,1))-AVERAGE(OFFSET($H$3,0,0,'Données projet'!$E$9+1,1))</f>
        <v>265.50419397354284</v>
      </c>
      <c r="T49" s="59">
        <f t="shared" si="34"/>
        <v>156.67965022779907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2.4277779006361566</v>
      </c>
      <c r="AA49" s="21">
        <f>EXP(-LN(2)/25)*AA48+(1-EXP(-LN(2)/25))/(LN(2)/25)*Calculateur!V49*Calculateur!X49*VLOOKUP('Données projet'!$B$9,Paramètres!$A$1:$I$89,3,0)*0.475*44/12</f>
        <v>2.6921922844121307</v>
      </c>
      <c r="AB49" s="21">
        <f>EXP(-LN(2)/2)*AB48+(1-EXP(-LN(2)/2))/(LN(2)/2)*V49*Y49*VLOOKUP('Données projet'!$B$9,Paramètres!$A$1:$I$89,3,0)*0.475*44/12</f>
        <v>2.3838753927632312E-2</v>
      </c>
      <c r="AC49" s="22">
        <f t="shared" si="3"/>
        <v>5.1438089389759192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8.1999999999999993</v>
      </c>
      <c r="AI49" s="13">
        <f>IF('Données projet'!$A$62&gt;35,AI48+AH49-AQ48,IF(A49&lt;'Données projet'!$A$62,$AF$205^A49,IF(A49='Données projet'!$A$62,'Données projet'!$B$62,AI48+AH49-AQ48)))</f>
        <v>145.20000000000005</v>
      </c>
      <c r="AJ49" s="13">
        <f>AI49*VLOOKUP('Données projet'!$B$10,Paramètres!$A$1:$I$89,3,0)*VLOOKUP('Données projet'!$B$10,Paramètres!$A$1:$I$89,5,0)</f>
        <v>147.23280000000005</v>
      </c>
      <c r="AK49" s="13">
        <f t="shared" si="35"/>
        <v>37.949049623906205</v>
      </c>
      <c r="AL49" s="20">
        <f t="shared" si="4"/>
        <v>322.52505476163668</v>
      </c>
      <c r="AM49" s="59">
        <f t="shared" si="5"/>
        <v>615.85838809497</v>
      </c>
      <c r="AN49" s="59">
        <f ca="1">AVERAGE(OFFSET($AM$3,0,0,'Données projet'!$E$10+1,1))-AVERAGE(OFFSET($H$3,0,0,'Données projet'!$E$10+1,1))</f>
        <v>296.43642006376018</v>
      </c>
      <c r="AO49" s="59">
        <f t="shared" si="36"/>
        <v>179.56041631665812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2.7207855782991395</v>
      </c>
      <c r="AV49" s="21">
        <f>EXP(-LN(2)/25)*AV48+(1-EXP(-LN(2)/25))/(LN(2)/25)*Calculateur!AQ49*Calculateur!AS49*VLOOKUP('Données projet'!$B$10,Paramètres!$A$1:$I$89,3,0)*0.475*44/12</f>
        <v>3.0171120428756644</v>
      </c>
      <c r="AW49" s="21">
        <f>EXP(-LN(2)/2)*AW48+(1-EXP(-LN(2)/2))/(LN(2)/2)*AQ49*AT49*VLOOKUP('Données projet'!$B$10,Paramètres!$A$1:$I$89,3,0)*0.475*44/12</f>
        <v>2.671584491889829E-2</v>
      </c>
      <c r="AX49" s="21">
        <f t="shared" si="6"/>
        <v>5.764613466093703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10.375</v>
      </c>
      <c r="BD49" s="12">
        <f>IF('Données projet'!$A$88&gt;35,BD48+BC49-BL48,IF(A49&lt;'Données projet'!$A$88,$BA$205^A49,IF(A49='Données projet'!$A$88,'Données projet'!$B$88,BD48+BC49-BL48)))</f>
        <v>207.74999999999991</v>
      </c>
      <c r="BE49" s="13">
        <f>BD49*VLOOKUP('Données projet'!$B$11,Paramètres!$A$1:$I$89,3,0)*VLOOKUP('Données projet'!$B$11,Paramètres!$A$1:$I$89,5,0)</f>
        <v>139.35869999999994</v>
      </c>
      <c r="BF49" s="13">
        <f t="shared" si="37"/>
        <v>36.150053436909211</v>
      </c>
      <c r="BG49" s="20">
        <f t="shared" si="7"/>
        <v>305.67774556928345</v>
      </c>
      <c r="BH49" s="59">
        <f t="shared" si="8"/>
        <v>599.01107890261676</v>
      </c>
      <c r="BI49" s="59">
        <f ca="1">AVERAGE(OFFSET($BH$3,0,0,'Données projet'!$E$11+1,1))-AVERAGE(OFFSET($H$3,0,0,'Données projet'!$E$11+1,1))</f>
        <v>181.32837315090507</v>
      </c>
      <c r="BJ49" s="59">
        <f t="shared" si="38"/>
        <v>175.03267817980338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3.9893227161418867</v>
      </c>
      <c r="BQ49" s="21">
        <f>EXP(-LN(2)/25)*BQ48+(1-EXP(-LN(2)/25))/(LN(2)/25)*Calculateur!BL49*Calculateur!BN49*VLOOKUP('Données projet'!$B$11,Paramètres!$A$1:$I$89,3,0)*0.475*44/12</f>
        <v>4.3651866293348283</v>
      </c>
      <c r="BR49" s="21">
        <f>EXP(-LN(2)/2)*BR48+(1-EXP(-LN(2)/2))/(LN(2)/2)*BL49*BO49*VLOOKUP('Données projet'!$B$11,Paramètres!$A$1:$I$89,3,0)*0.475*44/12</f>
        <v>4.1441530726290341E-3</v>
      </c>
      <c r="BS49" s="22">
        <f t="shared" si="9"/>
        <v>8.3586534985493426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11.5</v>
      </c>
      <c r="BY49" s="12">
        <f>IF('Données projet'!$A$114&gt;35,BY48+BX49-CG48,IF(A49&lt;'Données projet'!$A$114,$BV$205^A49,IF(A49='Données projet'!$A$114,'Données projet'!$B$114,BY48+BX49-CG48)))</f>
        <v>242.49999999999989</v>
      </c>
      <c r="BZ49" s="13">
        <f>BY49*VLOOKUP('Données projet'!$B$12,Paramètres!$A$1:$I$89,3,0)*VLOOKUP('Données projet'!$B$12,Paramètres!$A$1:$I$89,5,0)</f>
        <v>113.48999999999994</v>
      </c>
      <c r="CA49" s="13">
        <f t="shared" si="39"/>
        <v>30.151755078981495</v>
      </c>
      <c r="CB49" s="20">
        <f t="shared" si="10"/>
        <v>250.17605676255928</v>
      </c>
      <c r="CC49" s="59">
        <f t="shared" si="11"/>
        <v>543.50939009589263</v>
      </c>
      <c r="CD49" s="59">
        <f ca="1">AVERAGE(OFFSET($CC$3,0,0,'Données projet'!$E$12+1,1))-AVERAGE(OFFSET($H$3,0,0,'Données projet'!$E$12+1,1))</f>
        <v>226.0452828290525</v>
      </c>
      <c r="CE49" s="59">
        <f t="shared" si="40"/>
        <v>179.89696397462069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6.6113290436440337</v>
      </c>
      <c r="CL49" s="21">
        <f>EXP(-LN(2)/25)*CL48+(1-EXP(-LN(2)/25))/(LN(2)/25)*Calculateur!CG49*Calculateur!CI49*VLOOKUP('Données projet'!$B$12,Paramètres!$A$1:$I$89,3,0)*0.475*44/12</f>
        <v>7.1559465790583205</v>
      </c>
      <c r="CM49" s="21">
        <f>EXP(-LN(2)/2)*CM48+(1-EXP(-LN(2)/2))/(LN(2)/2)*CG49*CJ49*VLOOKUP('Données projet'!$B$12,Paramètres!$A$1:$I$89,3,0)*0.475*44/12</f>
        <v>4.3137221264056107E-2</v>
      </c>
      <c r="CN49" s="22">
        <f t="shared" si="12"/>
        <v>13.810412843966409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>
        <f>VLOOKUP(A49,'Données projet'!$A$139:$I$159,2,0)</f>
        <v>2393</v>
      </c>
      <c r="CR49" s="12">
        <f>VLOOKUP(A49,'Données projet'!$A$139:$I$159,9,0)</f>
        <v>359.83333333333331</v>
      </c>
      <c r="CS49" s="12">
        <f t="array" ref="CS49">INDEX(CR:CR,MIN(IF(ISNUMBER(CR49:CR245),ROW(CR49:CR245),"")))</f>
        <v>359.83333333333331</v>
      </c>
      <c r="CT49" s="12">
        <f>IF('Données projet'!$A$140&gt;35,CT48+CS49-DB48,IF(A49&lt;'Données projet'!$A$140,$CQ$205^A49,IF(A49='Données projet'!$A$140,'Données projet'!$B$140,CT48+CS49-DB48)))</f>
        <v>2393</v>
      </c>
      <c r="CU49" s="17">
        <f>CT49*VLOOKUP('Données projet'!$B$13,Paramètres!$A$1:$I$89,3,0)*VLOOKUP('Données projet'!$B$13,Paramètres!$A$1:$I$89,5,0)</f>
        <v>1431.0140000000001</v>
      </c>
      <c r="CV49" s="13">
        <f t="shared" si="41"/>
        <v>283.06032406207993</v>
      </c>
      <c r="CW49" s="20">
        <f t="shared" si="13"/>
        <v>2985.3461144081225</v>
      </c>
      <c r="CX49" s="59">
        <f t="shared" si="14"/>
        <v>3278.679447741456</v>
      </c>
      <c r="CY49" s="59">
        <f ca="1">AVERAGE(OFFSET($CX$3,0,0,'Données projet'!$E$13+1,1))-AVERAGE(OFFSET($H$3,0,0,'Données projet'!$E$13+1,1))</f>
        <v>482.74318690313885</v>
      </c>
      <c r="CZ49" s="59">
        <f t="shared" si="42"/>
        <v>205.57161411620217</v>
      </c>
      <c r="DA49" s="15">
        <f>IF(ISNA(VLOOKUP(A49,'Données projet'!$A$139:$I$159,3,0)),0,VLOOKUP(A49,'Données projet'!$A$139:$I$159,3,0))</f>
        <v>8</v>
      </c>
      <c r="DB49" s="15">
        <f>IF(ISNA(VLOOKUP(A49,'Données projet'!$A$139:$I$159,4,0)),0,VLOOKUP(A49,'Données projet'!$A$139:$I$159,4,0))</f>
        <v>29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8.3613196000531396</v>
      </c>
      <c r="DG49" s="21">
        <f>EXP(-LN(2)/25)*DG48+(1-EXP(-LN(2)/25))/(LN(2)/25)*Calculateur!DB49*Calculateur!DD49*VLOOKUP('Données projet'!$B$13,Paramètres!$A$1:$I$89,3,0)*0.475*44/12</f>
        <v>6.0494860286536305</v>
      </c>
      <c r="DH49" s="21">
        <f>EXP(-LN(2)/2)*DH48+(1-EXP(-LN(2)/2))/(LN(2)/2)*DB49*DE49*VLOOKUP('Données projet'!$B$13,Paramètres!$A$1:$I$89,3,0)*0.475*44/12</f>
        <v>1.7691392251556765E-2</v>
      </c>
      <c r="DI49" s="22">
        <f t="shared" si="15"/>
        <v>14.428497020958327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3.06</v>
      </c>
      <c r="DO49" s="12">
        <f>IF('Données projet'!$A$166&gt;35,DO48+DN49-DW48,IF(A49&lt;'Données projet'!$A$166,$DL$205^A49,IF(A49='Données projet'!$A$166,'Données projet'!$B$166,DO48+DN49-DW48)))</f>
        <v>140.76000000000008</v>
      </c>
      <c r="DP49" s="17">
        <f>DO49*VLOOKUP('Données projet'!$B$14,Paramètres!$A$1:$I$89,3,0)*VLOOKUP('Données projet'!$B$14,Paramètres!$A$1:$I$89,5,0)</f>
        <v>67.705560000000048</v>
      </c>
      <c r="DQ49" s="13">
        <f t="shared" si="43"/>
        <v>19.102566792028281</v>
      </c>
      <c r="DR49" s="20">
        <f t="shared" si="16"/>
        <v>151.19082082944934</v>
      </c>
      <c r="DS49" s="59">
        <f t="shared" si="17"/>
        <v>444.52415416278268</v>
      </c>
      <c r="DT49" s="59">
        <f ca="1">AVERAGE(OFFSET($DS$3,0,0,'Données projet'!$E$14+1,1))-AVERAGE(OFFSET($H$3,0,0,'Données projet'!$E$14+1,1))</f>
        <v>247.11965163963526</v>
      </c>
      <c r="DU49" s="59">
        <f t="shared" si="44"/>
        <v>61.686311966192704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8.1999999999999993</v>
      </c>
      <c r="N50" s="13">
        <f>IF('Données projet'!$A$36&gt;35,N49+M50-V49,IF(A50&lt;'Données projet'!$A$36,$K$205^A50,IF(A50='Données projet'!$A$36,'Données projet'!$B$36,N49+M50-V49)))</f>
        <v>153.40000000000003</v>
      </c>
      <c r="O50" s="13">
        <f>N50*VLOOKUP('Données projet'!$B$9,Paramètres!$A$1:$I$89,3,0)*VLOOKUP('Données projet'!$B$9,Paramètres!$A$1:$I$89,5,0)</f>
        <v>138.79632000000001</v>
      </c>
      <c r="P50" s="13">
        <f t="shared" si="33"/>
        <v>36.021120886354588</v>
      </c>
      <c r="Q50" s="20">
        <f t="shared" si="53"/>
        <v>304.47370954373423</v>
      </c>
      <c r="R50" s="59">
        <f t="shared" si="0"/>
        <v>597.80704287706749</v>
      </c>
      <c r="S50" s="59">
        <f ca="1">AVERAGE(OFFSET($R$3,0,0,'Données projet'!$E$9+1,1))-AVERAGE(OFFSET($H$3,0,0,'Données projet'!$E$9+1,1))</f>
        <v>265.50419397354284</v>
      </c>
      <c r="T50" s="59">
        <f t="shared" si="34"/>
        <v>156.67965022779907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2.3801706568029841</v>
      </c>
      <c r="AA50" s="21">
        <f>EXP(-LN(2)/25)*AA49+(1-EXP(-LN(2)/25))/(LN(2)/25)*Calculateur!V50*Calculateur!X50*VLOOKUP('Données projet'!$B$9,Paramètres!$A$1:$I$89,3,0)*0.475*44/12</f>
        <v>2.6185741448186417</v>
      </c>
      <c r="AB50" s="21">
        <f>EXP(-LN(2)/2)*AB49+(1-EXP(-LN(2)/2))/(LN(2)/2)*V50*Y50*VLOOKUP('Données projet'!$B$9,Paramètres!$A$1:$I$89,3,0)*0.475*44/12</f>
        <v>1.6856544557266252E-2</v>
      </c>
      <c r="AC50" s="22">
        <f t="shared" si="3"/>
        <v>5.0156013461788929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8.1999999999999993</v>
      </c>
      <c r="AI50" s="13">
        <f>IF('Données projet'!$A$62&gt;35,AI49+AH50-AQ49,IF(A50&lt;'Données projet'!$A$62,$AF$205^A50,IF(A50='Données projet'!$A$62,'Données projet'!$B$62,AI49+AH50-AQ49)))</f>
        <v>153.40000000000003</v>
      </c>
      <c r="AJ50" s="13">
        <f>AI50*VLOOKUP('Données projet'!$B$10,Paramètres!$A$1:$I$89,3,0)*VLOOKUP('Données projet'!$B$10,Paramètres!$A$1:$I$89,5,0)</f>
        <v>155.54760000000005</v>
      </c>
      <c r="AK50" s="13">
        <f t="shared" si="35"/>
        <v>39.836620617816237</v>
      </c>
      <c r="AL50" s="20">
        <f t="shared" si="4"/>
        <v>340.29418424269664</v>
      </c>
      <c r="AM50" s="59">
        <f t="shared" si="5"/>
        <v>633.62751757602996</v>
      </c>
      <c r="AN50" s="59">
        <f ca="1">AVERAGE(OFFSET($AM$3,0,0,'Données projet'!$E$10+1,1))-AVERAGE(OFFSET($H$3,0,0,'Données projet'!$E$10+1,1))</f>
        <v>296.43642006376018</v>
      </c>
      <c r="AO50" s="59">
        <f t="shared" si="36"/>
        <v>179.56041631665812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2.6674326326240325</v>
      </c>
      <c r="AV50" s="21">
        <f>EXP(-LN(2)/25)*AV49+(1-EXP(-LN(2)/25))/(LN(2)/25)*Calculateur!AQ50*Calculateur!AS50*VLOOKUP('Données projet'!$B$10,Paramètres!$A$1:$I$89,3,0)*0.475*44/12</f>
        <v>2.9346089554002028</v>
      </c>
      <c r="AW50" s="21">
        <f>EXP(-LN(2)/2)*AW49+(1-EXP(-LN(2)/2))/(LN(2)/2)*AQ50*AT50*VLOOKUP('Données projet'!$B$10,Paramètres!$A$1:$I$89,3,0)*0.475*44/12</f>
        <v>1.889095510728115E-2</v>
      </c>
      <c r="AX50" s="21">
        <f t="shared" si="6"/>
        <v>5.6209325431315165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10.375</v>
      </c>
      <c r="BD50" s="12">
        <f>IF('Données projet'!$A$88&gt;35,BD49+BC50-BL49,IF(A50&lt;'Données projet'!$A$88,$BA$205^A50,IF(A50='Données projet'!$A$88,'Données projet'!$B$88,BD49+BC50-BL49)))</f>
        <v>218.12499999999991</v>
      </c>
      <c r="BE50" s="13">
        <f>BD50*VLOOKUP('Données projet'!$B$11,Paramètres!$A$1:$I$89,3,0)*VLOOKUP('Données projet'!$B$11,Paramètres!$A$1:$I$89,5,0)</f>
        <v>146.31824999999995</v>
      </c>
      <c r="BF50" s="13">
        <f t="shared" si="37"/>
        <v>37.740688431827415</v>
      </c>
      <c r="BG50" s="20">
        <f t="shared" si="7"/>
        <v>320.56931776876598</v>
      </c>
      <c r="BH50" s="59">
        <f t="shared" si="8"/>
        <v>613.9026511020993</v>
      </c>
      <c r="BI50" s="59">
        <f ca="1">AVERAGE(OFFSET($BH$3,0,0,'Données projet'!$E$11+1,1))-AVERAGE(OFFSET($H$3,0,0,'Données projet'!$E$11+1,1))</f>
        <v>181.32837315090507</v>
      </c>
      <c r="BJ50" s="59">
        <f t="shared" si="38"/>
        <v>175.03267817980338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3.9110945309249381</v>
      </c>
      <c r="BQ50" s="21">
        <f>EXP(-LN(2)/25)*BQ49+(1-EXP(-LN(2)/25))/(LN(2)/25)*Calculateur!BL50*Calculateur!BN50*VLOOKUP('Données projet'!$B$11,Paramètres!$A$1:$I$89,3,0)*0.475*44/12</f>
        <v>4.2458203714004794</v>
      </c>
      <c r="BR50" s="21">
        <f>EXP(-LN(2)/2)*BR49+(1-EXP(-LN(2)/2))/(LN(2)/2)*BL50*BO50*VLOOKUP('Données projet'!$B$11,Paramètres!$A$1:$I$89,3,0)*0.475*44/12</f>
        <v>2.9303587399310571E-3</v>
      </c>
      <c r="BS50" s="22">
        <f t="shared" si="9"/>
        <v>8.1598452610653496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11.5</v>
      </c>
      <c r="BY50" s="12">
        <f>IF('Données projet'!$A$114&gt;35,BY49+BX50-CG49,IF(A50&lt;'Données projet'!$A$114,$BV$205^A50,IF(A50='Données projet'!$A$114,'Données projet'!$B$114,BY49+BX50-CG49)))</f>
        <v>253.99999999999989</v>
      </c>
      <c r="BZ50" s="13">
        <f>BY50*VLOOKUP('Données projet'!$B$12,Paramètres!$A$1:$I$89,3,0)*VLOOKUP('Données projet'!$B$12,Paramètres!$A$1:$I$89,5,0)</f>
        <v>118.87199999999994</v>
      </c>
      <c r="CA50" s="13">
        <f t="shared" si="39"/>
        <v>31.411767382096219</v>
      </c>
      <c r="CB50" s="20">
        <f t="shared" si="10"/>
        <v>261.74422819048414</v>
      </c>
      <c r="CC50" s="59">
        <f t="shared" si="11"/>
        <v>555.07756152381739</v>
      </c>
      <c r="CD50" s="59">
        <f ca="1">AVERAGE(OFFSET($CC$3,0,0,'Données projet'!$E$12+1,1))-AVERAGE(OFFSET($H$3,0,0,'Données projet'!$E$12+1,1))</f>
        <v>226.0452828290525</v>
      </c>
      <c r="CE50" s="59">
        <f t="shared" si="40"/>
        <v>179.89696397462069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6.4816849136107137</v>
      </c>
      <c r="CL50" s="21">
        <f>EXP(-LN(2)/25)*CL49+(1-EXP(-LN(2)/25))/(LN(2)/25)*Calculateur!CG50*Calculateur!CI50*VLOOKUP('Données projet'!$B$12,Paramètres!$A$1:$I$89,3,0)*0.475*44/12</f>
        <v>6.9602668435390953</v>
      </c>
      <c r="CM50" s="21">
        <f>EXP(-LN(2)/2)*CM49+(1-EXP(-LN(2)/2))/(LN(2)/2)*CG50*CJ50*VLOOKUP('Données projet'!$B$12,Paramètres!$A$1:$I$89,3,0)*0.475*44/12</f>
        <v>3.0502621677358607E-2</v>
      </c>
      <c r="CN50" s="22">
        <f t="shared" si="12"/>
        <v>13.472454378827168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-256.625</v>
      </c>
      <c r="CT50" s="12">
        <f>IF('Données projet'!$A$140&gt;35,CT49+CS50-DB49,IF(A50&lt;'Données projet'!$A$140,$CQ$205^A50,IF(A50='Données projet'!$A$140,'Données projet'!$B$140,CT49+CS50-DB49)))</f>
        <v>2107.375</v>
      </c>
      <c r="CU50" s="17">
        <f>CT50*VLOOKUP('Données projet'!$B$13,Paramètres!$A$1:$I$89,3,0)*VLOOKUP('Données projet'!$B$13,Paramètres!$A$1:$I$89,5,0)</f>
        <v>1260.2102500000001</v>
      </c>
      <c r="CV50" s="13">
        <f t="shared" si="41"/>
        <v>252.99008818758367</v>
      </c>
      <c r="CW50" s="20">
        <f t="shared" si="13"/>
        <v>2635.4905890100417</v>
      </c>
      <c r="CX50" s="59">
        <f t="shared" si="14"/>
        <v>2928.8239223433752</v>
      </c>
      <c r="CY50" s="59">
        <f ca="1">AVERAGE(OFFSET($CX$3,0,0,'Données projet'!$E$13+1,1))-AVERAGE(OFFSET($H$3,0,0,'Données projet'!$E$13+1,1))</f>
        <v>482.74318690313885</v>
      </c>
      <c r="CZ50" s="59">
        <f t="shared" si="42"/>
        <v>205.57161411620217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8.1973592225974805</v>
      </c>
      <c r="DG50" s="21">
        <f>EXP(-LN(2)/25)*DG49+(1-EXP(-LN(2)/25))/(LN(2)/25)*Calculateur!DB50*Calculateur!DD50*VLOOKUP('Données projet'!$B$13,Paramètres!$A$1:$I$89,3,0)*0.475*44/12</f>
        <v>5.8840625150714532</v>
      </c>
      <c r="DH50" s="21">
        <f>EXP(-LN(2)/2)*DH49+(1-EXP(-LN(2)/2))/(LN(2)/2)*DB50*DE50*VLOOKUP('Données projet'!$B$13,Paramètres!$A$1:$I$89,3,0)*0.475*44/12</f>
        <v>1.2509703429706932E-2</v>
      </c>
      <c r="DI50" s="22">
        <f t="shared" si="15"/>
        <v>14.09393144109864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3.06</v>
      </c>
      <c r="DO50" s="12">
        <f>IF('Données projet'!$A$166&gt;35,DO49+DN50-DW49,IF(A50&lt;'Données projet'!$A$166,$DL$205^A50,IF(A50='Données projet'!$A$166,'Données projet'!$B$166,DO49+DN50-DW49)))</f>
        <v>143.82000000000008</v>
      </c>
      <c r="DP50" s="17">
        <f>DO50*VLOOKUP('Données projet'!$B$14,Paramètres!$A$1:$I$89,3,0)*VLOOKUP('Données projet'!$B$14,Paramètres!$A$1:$I$89,5,0)</f>
        <v>69.177420000000041</v>
      </c>
      <c r="DQ50" s="13">
        <f t="shared" si="43"/>
        <v>19.46904164379</v>
      </c>
      <c r="DR50" s="20">
        <f t="shared" si="16"/>
        <v>154.39258736293431</v>
      </c>
      <c r="DS50" s="59">
        <f t="shared" si="17"/>
        <v>447.72592069626762</v>
      </c>
      <c r="DT50" s="59">
        <f ca="1">AVERAGE(OFFSET($DS$3,0,0,'Données projet'!$E$14+1,1))-AVERAGE(OFFSET($H$3,0,0,'Données projet'!$E$14+1,1))</f>
        <v>247.11965163963526</v>
      </c>
      <c r="DU50" s="59">
        <f t="shared" si="44"/>
        <v>61.686311966192704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8.1999999999999993</v>
      </c>
      <c r="N51" s="13">
        <f>IF('Données projet'!$A$36&gt;35,N50+M51-V50,IF(A51&lt;'Données projet'!$A$36,$K$205^A51,IF(A51='Données projet'!$A$36,'Données projet'!$B$36,N50+M51-V50)))</f>
        <v>161.60000000000002</v>
      </c>
      <c r="O51" s="13">
        <f>N51*VLOOKUP('Données projet'!$B$9,Paramètres!$A$1:$I$89,3,0)*VLOOKUP('Données projet'!$B$9,Paramètres!$A$1:$I$89,5,0)</f>
        <v>146.21568000000002</v>
      </c>
      <c r="P51" s="13">
        <f t="shared" si="33"/>
        <v>37.717310552893402</v>
      </c>
      <c r="Q51" s="20">
        <f t="shared" si="53"/>
        <v>320.34995854628937</v>
      </c>
      <c r="R51" s="59">
        <f t="shared" si="0"/>
        <v>613.68329187962263</v>
      </c>
      <c r="S51" s="59">
        <f ca="1">AVERAGE(OFFSET($R$3,0,0,'Données projet'!$E$9+1,1))-AVERAGE(OFFSET($H$3,0,0,'Données projet'!$E$9+1,1))</f>
        <v>265.50419397354284</v>
      </c>
      <c r="T51" s="59">
        <f t="shared" si="34"/>
        <v>156.67965022779907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2.3334969619838288</v>
      </c>
      <c r="AA51" s="21">
        <f>EXP(-LN(2)/25)*AA50+(1-EXP(-LN(2)/25))/(LN(2)/25)*Calculateur!V51*Calculateur!X51*VLOOKUP('Données projet'!$B$9,Paramètres!$A$1:$I$89,3,0)*0.475*44/12</f>
        <v>2.5469690971237466</v>
      </c>
      <c r="AB51" s="21">
        <f>EXP(-LN(2)/2)*AB50+(1-EXP(-LN(2)/2))/(LN(2)/2)*V51*Y51*VLOOKUP('Données projet'!$B$9,Paramètres!$A$1:$I$89,3,0)*0.475*44/12</f>
        <v>1.1919376963816156E-2</v>
      </c>
      <c r="AC51" s="22">
        <f t="shared" si="3"/>
        <v>4.8923854360713923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8.1999999999999993</v>
      </c>
      <c r="AI51" s="13">
        <f>IF('Données projet'!$A$62&gt;35,AI50+AH51-AQ50,IF(A51&lt;'Données projet'!$A$62,$AF$205^A51,IF(A51='Données projet'!$A$62,'Données projet'!$B$62,AI50+AH51-AQ50)))</f>
        <v>161.60000000000002</v>
      </c>
      <c r="AJ51" s="13">
        <f>AI51*VLOOKUP('Données projet'!$B$10,Paramètres!$A$1:$I$89,3,0)*VLOOKUP('Données projet'!$B$10,Paramètres!$A$1:$I$89,5,0)</f>
        <v>163.86240000000004</v>
      </c>
      <c r="AK51" s="13">
        <f t="shared" si="35"/>
        <v>41.712477409029084</v>
      </c>
      <c r="AL51" s="20">
        <f t="shared" si="4"/>
        <v>358.0429114873923</v>
      </c>
      <c r="AM51" s="59">
        <f t="shared" si="5"/>
        <v>651.37624482072556</v>
      </c>
      <c r="AN51" s="59">
        <f ca="1">AVERAGE(OFFSET($AM$3,0,0,'Données projet'!$E$10+1,1))-AVERAGE(OFFSET($H$3,0,0,'Données projet'!$E$10+1,1))</f>
        <v>296.43642006376018</v>
      </c>
      <c r="AO51" s="59">
        <f t="shared" si="36"/>
        <v>179.56041631665812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2.615125905671531</v>
      </c>
      <c r="AV51" s="21">
        <f>EXP(-LN(2)/25)*AV50+(1-EXP(-LN(2)/25))/(LN(2)/25)*Calculateur!AQ51*Calculateur!AS51*VLOOKUP('Données projet'!$B$10,Paramètres!$A$1:$I$89,3,0)*0.475*44/12</f>
        <v>2.8543619191904064</v>
      </c>
      <c r="AW51" s="21">
        <f>EXP(-LN(2)/2)*AW50+(1-EXP(-LN(2)/2))/(LN(2)/2)*AQ51*AT51*VLOOKUP('Données projet'!$B$10,Paramètres!$A$1:$I$89,3,0)*0.475*44/12</f>
        <v>1.3357922459449145E-2</v>
      </c>
      <c r="AX51" s="21">
        <f t="shared" si="6"/>
        <v>5.4828457473213872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10.375</v>
      </c>
      <c r="BD51" s="12">
        <f>IF('Données projet'!$A$88&gt;35,BD50+BC51-BL50,IF(A51&lt;'Données projet'!$A$88,$BA$205^A51,IF(A51='Données projet'!$A$88,'Données projet'!$B$88,BD50+BC51-BL50)))</f>
        <v>228.49999999999991</v>
      </c>
      <c r="BE51" s="13">
        <f>BD51*VLOOKUP('Données projet'!$B$11,Paramètres!$A$1:$I$89,3,0)*VLOOKUP('Données projet'!$B$11,Paramètres!$A$1:$I$89,5,0)</f>
        <v>153.27779999999996</v>
      </c>
      <c r="BF51" s="13">
        <f t="shared" si="37"/>
        <v>39.32253770530393</v>
      </c>
      <c r="BG51" s="20">
        <f t="shared" si="7"/>
        <v>335.44558817007095</v>
      </c>
      <c r="BH51" s="59">
        <f t="shared" si="8"/>
        <v>628.77892150340426</v>
      </c>
      <c r="BI51" s="59">
        <f ca="1">AVERAGE(OFFSET($BH$3,0,0,'Données projet'!$E$11+1,1))-AVERAGE(OFFSET($H$3,0,0,'Données projet'!$E$11+1,1))</f>
        <v>181.32837315090507</v>
      </c>
      <c r="BJ51" s="59">
        <f t="shared" si="38"/>
        <v>175.03267817980338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3.8344003527056123</v>
      </c>
      <c r="BQ51" s="21">
        <f>EXP(-LN(2)/25)*BQ50+(1-EXP(-LN(2)/25))/(LN(2)/25)*Calculateur!BL51*Calculateur!BN51*VLOOKUP('Données projet'!$B$11,Paramètres!$A$1:$I$89,3,0)*0.475*44/12</f>
        <v>4.1297181900665443</v>
      </c>
      <c r="BR51" s="21">
        <f>EXP(-LN(2)/2)*BR50+(1-EXP(-LN(2)/2))/(LN(2)/2)*BL51*BO51*VLOOKUP('Données projet'!$B$11,Paramètres!$A$1:$I$89,3,0)*0.475*44/12</f>
        <v>2.0720765363145171E-3</v>
      </c>
      <c r="BS51" s="22">
        <f t="shared" si="9"/>
        <v>7.9661906193084713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11.5</v>
      </c>
      <c r="BY51" s="12">
        <f>IF('Données projet'!$A$114&gt;35,BY50+BX51-CG50,IF(A51&lt;'Données projet'!$A$114,$BV$205^A51,IF(A51='Données projet'!$A$114,'Données projet'!$B$114,BY50+BX51-CG50)))</f>
        <v>265.49999999999989</v>
      </c>
      <c r="BZ51" s="13">
        <f>BY51*VLOOKUP('Données projet'!$B$12,Paramètres!$A$1:$I$89,3,0)*VLOOKUP('Données projet'!$B$12,Paramètres!$A$1:$I$89,5,0)</f>
        <v>124.25399999999995</v>
      </c>
      <c r="CA51" s="13">
        <f t="shared" si="39"/>
        <v>32.665154397958723</v>
      </c>
      <c r="CB51" s="20">
        <f t="shared" si="10"/>
        <v>273.30086057644468</v>
      </c>
      <c r="CC51" s="59">
        <f t="shared" si="11"/>
        <v>566.63419390977799</v>
      </c>
      <c r="CD51" s="59">
        <f ca="1">AVERAGE(OFFSET($CC$3,0,0,'Données projet'!$E$12+1,1))-AVERAGE(OFFSET($H$3,0,0,'Données projet'!$E$12+1,1))</f>
        <v>226.0452828290525</v>
      </c>
      <c r="CE51" s="59">
        <f t="shared" si="40"/>
        <v>179.89696397462069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6.3545830258922358</v>
      </c>
      <c r="CL51" s="21">
        <f>EXP(-LN(2)/25)*CL50+(1-EXP(-LN(2)/25))/(LN(2)/25)*Calculateur!CG51*Calculateur!CI51*VLOOKUP('Données projet'!$B$12,Paramètres!$A$1:$I$89,3,0)*0.475*44/12</f>
        <v>6.7699379806779936</v>
      </c>
      <c r="CM51" s="21">
        <f>EXP(-LN(2)/2)*CM50+(1-EXP(-LN(2)/2))/(LN(2)/2)*CG51*CJ51*VLOOKUP('Données projet'!$B$12,Paramètres!$A$1:$I$89,3,0)*0.475*44/12</f>
        <v>2.1568610632028057E-2</v>
      </c>
      <c r="CN51" s="22">
        <f t="shared" si="12"/>
        <v>13.146089617202259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-256.625</v>
      </c>
      <c r="CT51" s="12">
        <f>IF('Données projet'!$A$140&gt;35,CT50+CS51-DB50,IF(A51&lt;'Données projet'!$A$140,$CQ$205^A51,IF(A51='Données projet'!$A$140,'Données projet'!$B$140,CT50+CS51-DB50)))</f>
        <v>1850.75</v>
      </c>
      <c r="CU51" s="17">
        <f>CT51*VLOOKUP('Données projet'!$B$13,Paramètres!$A$1:$I$89,3,0)*VLOOKUP('Données projet'!$B$13,Paramètres!$A$1:$I$89,5,0)</f>
        <v>1106.7485000000001</v>
      </c>
      <c r="CV51" s="13">
        <f t="shared" si="41"/>
        <v>225.56603732420112</v>
      </c>
      <c r="CW51" s="20">
        <f t="shared" si="13"/>
        <v>2320.4478191729836</v>
      </c>
      <c r="CX51" s="59">
        <f t="shared" si="14"/>
        <v>2613.7811525063171</v>
      </c>
      <c r="CY51" s="59">
        <f ca="1">AVERAGE(OFFSET($CX$3,0,0,'Données projet'!$E$13+1,1))-AVERAGE(OFFSET($H$3,0,0,'Données projet'!$E$13+1,1))</f>
        <v>482.74318690313885</v>
      </c>
      <c r="CZ51" s="59">
        <f t="shared" si="42"/>
        <v>205.57161411620217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8.0366140081377715</v>
      </c>
      <c r="DG51" s="21">
        <f>EXP(-LN(2)/25)*DG50+(1-EXP(-LN(2)/25))/(LN(2)/25)*Calculateur!DB51*Calculateur!DD51*VLOOKUP('Données projet'!$B$13,Paramètres!$A$1:$I$89,3,0)*0.475*44/12</f>
        <v>5.7231625161674247</v>
      </c>
      <c r="DH51" s="21">
        <f>EXP(-LN(2)/2)*DH50+(1-EXP(-LN(2)/2))/(LN(2)/2)*DB51*DE51*VLOOKUP('Données projet'!$B$13,Paramètres!$A$1:$I$89,3,0)*0.475*44/12</f>
        <v>8.8456961257783826E-3</v>
      </c>
      <c r="DI51" s="22">
        <f t="shared" si="15"/>
        <v>13.768622220430974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3.06</v>
      </c>
      <c r="DO51" s="12">
        <f>IF('Données projet'!$A$166&gt;35,DO50+DN51-DW50,IF(A51&lt;'Données projet'!$A$166,$DL$205^A51,IF(A51='Données projet'!$A$166,'Données projet'!$B$166,DO50+DN51-DW50)))</f>
        <v>146.88000000000008</v>
      </c>
      <c r="DP51" s="17">
        <f>DO51*VLOOKUP('Données projet'!$B$14,Paramètres!$A$1:$I$89,3,0)*VLOOKUP('Données projet'!$B$14,Paramètres!$A$1:$I$89,5,0)</f>
        <v>70.649280000000033</v>
      </c>
      <c r="DQ51" s="13">
        <f t="shared" si="43"/>
        <v>19.834609936159588</v>
      </c>
      <c r="DR51" s="20">
        <f t="shared" si="16"/>
        <v>157.59277497214467</v>
      </c>
      <c r="DS51" s="59">
        <f t="shared" si="17"/>
        <v>450.92610830547801</v>
      </c>
      <c r="DT51" s="59">
        <f ca="1">AVERAGE(OFFSET($DS$3,0,0,'Données projet'!$E$14+1,1))-AVERAGE(OFFSET($H$3,0,0,'Données projet'!$E$14+1,1))</f>
        <v>247.11965163963526</v>
      </c>
      <c r="DU51" s="59">
        <f t="shared" si="44"/>
        <v>61.686311966192704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8.1999999999999993</v>
      </c>
      <c r="N52" s="13">
        <f>IF('Données projet'!$A$36&gt;35,N51+M52-V51,IF(A52&lt;'Données projet'!$A$36,$K$205^A52,IF(A52='Données projet'!$A$36,'Données projet'!$B$36,N51+M52-V51)))</f>
        <v>169.8</v>
      </c>
      <c r="O52" s="13">
        <f>N52*VLOOKUP('Données projet'!$B$9,Paramètres!$A$1:$I$89,3,0)*VLOOKUP('Données projet'!$B$9,Paramètres!$A$1:$I$89,5,0)</f>
        <v>153.63504</v>
      </c>
      <c r="P52" s="13">
        <f t="shared" si="33"/>
        <v>39.403506785222667</v>
      </c>
      <c r="Q52" s="20">
        <f t="shared" si="53"/>
        <v>336.20880231759617</v>
      </c>
      <c r="R52" s="59">
        <f t="shared" si="0"/>
        <v>629.54213565092948</v>
      </c>
      <c r="S52" s="59">
        <f ca="1">AVERAGE(OFFSET($R$3,0,0,'Données projet'!$E$9+1,1))-AVERAGE(OFFSET($H$3,0,0,'Données projet'!$E$9+1,1))</f>
        <v>265.50419397354284</v>
      </c>
      <c r="T52" s="59">
        <f t="shared" si="34"/>
        <v>156.67965022779907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2.2877385098519345</v>
      </c>
      <c r="AA52" s="21">
        <f>EXP(-LN(2)/25)*AA51+(1-EXP(-LN(2)/25))/(LN(2)/25)*Calculateur!V52*Calculateur!X52*VLOOKUP('Données projet'!$B$9,Paramètres!$A$1:$I$89,3,0)*0.475*44/12</f>
        <v>2.4773220932236142</v>
      </c>
      <c r="AB52" s="21">
        <f>EXP(-LN(2)/2)*AB51+(1-EXP(-LN(2)/2))/(LN(2)/2)*V52*Y52*VLOOKUP('Données projet'!$B$9,Paramètres!$A$1:$I$89,3,0)*0.475*44/12</f>
        <v>8.4282722786331258E-3</v>
      </c>
      <c r="AC52" s="22">
        <f t="shared" si="3"/>
        <v>4.7734888753541815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8.1999999999999993</v>
      </c>
      <c r="AI52" s="13">
        <f>IF('Données projet'!$A$62&gt;35,AI51+AH52-AQ51,IF(A52&lt;'Données projet'!$A$62,$AF$205^A52,IF(A52='Données projet'!$A$62,'Données projet'!$B$62,AI51+AH52-AQ51)))</f>
        <v>169.8</v>
      </c>
      <c r="AJ52" s="13">
        <f>AI52*VLOOKUP('Données projet'!$B$10,Paramètres!$A$1:$I$89,3,0)*VLOOKUP('Données projet'!$B$10,Paramètres!$A$1:$I$89,5,0)</f>
        <v>172.1772</v>
      </c>
      <c r="AK52" s="13">
        <f t="shared" si="35"/>
        <v>43.577282221917017</v>
      </c>
      <c r="AL52" s="20">
        <f t="shared" si="4"/>
        <v>375.77238986983883</v>
      </c>
      <c r="AM52" s="59">
        <f t="shared" si="5"/>
        <v>669.10572320317215</v>
      </c>
      <c r="AN52" s="59">
        <f ca="1">AVERAGE(OFFSET($AM$3,0,0,'Données projet'!$E$10+1,1))-AVERAGE(OFFSET($H$3,0,0,'Données projet'!$E$10+1,1))</f>
        <v>296.43642006376018</v>
      </c>
      <c r="AO52" s="59">
        <f t="shared" si="36"/>
        <v>179.56041631665812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2.5638448817306148</v>
      </c>
      <c r="AV52" s="21">
        <f>EXP(-LN(2)/25)*AV51+(1-EXP(-LN(2)/25))/(LN(2)/25)*Calculateur!AQ52*Calculateur!AS52*VLOOKUP('Données projet'!$B$10,Paramètres!$A$1:$I$89,3,0)*0.475*44/12</f>
        <v>2.7763092424057749</v>
      </c>
      <c r="AW52" s="21">
        <f>EXP(-LN(2)/2)*AW51+(1-EXP(-LN(2)/2))/(LN(2)/2)*AQ52*AT52*VLOOKUP('Données projet'!$B$10,Paramètres!$A$1:$I$89,3,0)*0.475*44/12</f>
        <v>9.4454775536405751E-3</v>
      </c>
      <c r="AX52" s="21">
        <f t="shared" si="6"/>
        <v>5.3495996016900307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10.375</v>
      </c>
      <c r="BD52" s="12">
        <f>IF('Données projet'!$A$88&gt;35,BD51+BC52-BL51,IF(A52&lt;'Données projet'!$A$88,$BA$205^A52,IF(A52='Données projet'!$A$88,'Données projet'!$B$88,BD51+BC52-BL51)))</f>
        <v>238.87499999999991</v>
      </c>
      <c r="BE52" s="13">
        <f>BD52*VLOOKUP('Données projet'!$B$11,Paramètres!$A$1:$I$89,3,0)*VLOOKUP('Données projet'!$B$11,Paramètres!$A$1:$I$89,5,0)</f>
        <v>160.23734999999994</v>
      </c>
      <c r="BF52" s="13">
        <f t="shared" si="37"/>
        <v>40.896045742271099</v>
      </c>
      <c r="BG52" s="20">
        <f t="shared" si="7"/>
        <v>350.3073309177887</v>
      </c>
      <c r="BH52" s="59">
        <f t="shared" si="8"/>
        <v>643.64066425112196</v>
      </c>
      <c r="BI52" s="59">
        <f ca="1">AVERAGE(OFFSET($BH$3,0,0,'Données projet'!$E$11+1,1))-AVERAGE(OFFSET($H$3,0,0,'Données projet'!$E$11+1,1))</f>
        <v>181.32837315090507</v>
      </c>
      <c r="BJ52" s="59">
        <f t="shared" si="38"/>
        <v>175.03267817980338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3.7592101005423375</v>
      </c>
      <c r="BQ52" s="21">
        <f>EXP(-LN(2)/25)*BQ51+(1-EXP(-LN(2)/25))/(LN(2)/25)*Calculateur!BL52*Calculateur!BN52*VLOOKUP('Données projet'!$B$11,Paramètres!$A$1:$I$89,3,0)*0.475*44/12</f>
        <v>4.0167908289867338</v>
      </c>
      <c r="BR52" s="21">
        <f>EXP(-LN(2)/2)*BR51+(1-EXP(-LN(2)/2))/(LN(2)/2)*BL52*BO52*VLOOKUP('Données projet'!$B$11,Paramètres!$A$1:$I$89,3,0)*0.475*44/12</f>
        <v>1.4651793699655285E-3</v>
      </c>
      <c r="BS52" s="22">
        <f t="shared" si="9"/>
        <v>7.7774661088990369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11.5</v>
      </c>
      <c r="BY52" s="12">
        <f>IF('Données projet'!$A$114&gt;35,BY51+BX52-CG51,IF(A52&lt;'Données projet'!$A$114,$BV$205^A52,IF(A52='Données projet'!$A$114,'Données projet'!$B$114,BY51+BX52-CG51)))</f>
        <v>276.99999999999989</v>
      </c>
      <c r="BZ52" s="13">
        <f>BY52*VLOOKUP('Données projet'!$B$12,Paramètres!$A$1:$I$89,3,0)*VLOOKUP('Données projet'!$B$12,Paramètres!$A$1:$I$89,5,0)</f>
        <v>129.63599999999994</v>
      </c>
      <c r="CA52" s="13">
        <f t="shared" si="39"/>
        <v>33.912235898830978</v>
      </c>
      <c r="CB52" s="20">
        <f t="shared" si="10"/>
        <v>284.84651085713051</v>
      </c>
      <c r="CC52" s="59">
        <f t="shared" si="11"/>
        <v>578.17984419046388</v>
      </c>
      <c r="CD52" s="59">
        <f ca="1">AVERAGE(OFFSET($CC$3,0,0,'Données projet'!$E$12+1,1))-AVERAGE(OFFSET($H$3,0,0,'Données projet'!$E$12+1,1))</f>
        <v>226.0452828290525</v>
      </c>
      <c r="CE52" s="59">
        <f t="shared" si="40"/>
        <v>179.89696397462069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6.2299735286674203</v>
      </c>
      <c r="CL52" s="21">
        <f>EXP(-LN(2)/25)*CL51+(1-EXP(-LN(2)/25))/(LN(2)/25)*Calculateur!CG52*Calculateur!CI52*VLOOKUP('Données projet'!$B$12,Paramètres!$A$1:$I$89,3,0)*0.475*44/12</f>
        <v>6.5848136705807887</v>
      </c>
      <c r="CM52" s="21">
        <f>EXP(-LN(2)/2)*CM51+(1-EXP(-LN(2)/2))/(LN(2)/2)*CG52*CJ52*VLOOKUP('Données projet'!$B$12,Paramètres!$A$1:$I$89,3,0)*0.475*44/12</f>
        <v>1.5251310838679307E-2</v>
      </c>
      <c r="CN52" s="22">
        <f t="shared" si="12"/>
        <v>12.830038510086887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-256.625</v>
      </c>
      <c r="CT52" s="12">
        <f>IF('Données projet'!$A$140&gt;35,CT51+CS52-DB51,IF(A52&lt;'Données projet'!$A$140,$CQ$205^A52,IF(A52='Données projet'!$A$140,'Données projet'!$B$140,CT51+CS52-DB51)))</f>
        <v>1594.125</v>
      </c>
      <c r="CU52" s="17">
        <f>CT52*VLOOKUP('Données projet'!$B$13,Paramètres!$A$1:$I$89,3,0)*VLOOKUP('Données projet'!$B$13,Paramètres!$A$1:$I$89,5,0)</f>
        <v>953.2867500000001</v>
      </c>
      <c r="CV52" s="13">
        <f t="shared" si="41"/>
        <v>197.69423254293423</v>
      </c>
      <c r="CW52" s="20">
        <f t="shared" si="13"/>
        <v>2004.6252112622769</v>
      </c>
      <c r="CX52" s="59">
        <f t="shared" si="14"/>
        <v>2297.9585445956104</v>
      </c>
      <c r="CY52" s="59">
        <f ca="1">AVERAGE(OFFSET($CX$3,0,0,'Données projet'!$E$13+1,1))-AVERAGE(OFFSET($H$3,0,0,'Données projet'!$E$13+1,1))</f>
        <v>482.74318690313885</v>
      </c>
      <c r="CZ52" s="59">
        <f t="shared" si="42"/>
        <v>205.57161411620217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7.8790209092887169</v>
      </c>
      <c r="DG52" s="21">
        <f>EXP(-LN(2)/25)*DG51+(1-EXP(-LN(2)/25))/(LN(2)/25)*Calculateur!DB52*Calculateur!DD52*VLOOKUP('Données projet'!$B$13,Paramètres!$A$1:$I$89,3,0)*0.475*44/12</f>
        <v>5.5666623361947902</v>
      </c>
      <c r="DH52" s="21">
        <f>EXP(-LN(2)/2)*DH51+(1-EXP(-LN(2)/2))/(LN(2)/2)*DB52*DE52*VLOOKUP('Données projet'!$B$13,Paramètres!$A$1:$I$89,3,0)*0.475*44/12</f>
        <v>6.254851714853466E-3</v>
      </c>
      <c r="DI52" s="22">
        <f t="shared" si="15"/>
        <v>13.451938097198362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3.06</v>
      </c>
      <c r="DO52" s="12">
        <f>IF('Données projet'!$A$166&gt;35,DO51+DN52-DW51,IF(A52&lt;'Données projet'!$A$166,$DL$205^A52,IF(A52='Données projet'!$A$166,'Données projet'!$B$166,DO51+DN52-DW51)))</f>
        <v>149.94000000000008</v>
      </c>
      <c r="DP52" s="17">
        <f>DO52*VLOOKUP('Données projet'!$B$14,Paramètres!$A$1:$I$89,3,0)*VLOOKUP('Données projet'!$B$14,Paramètres!$A$1:$I$89,5,0)</f>
        <v>72.12114000000004</v>
      </c>
      <c r="DQ52" s="13">
        <f t="shared" si="43"/>
        <v>20.199292731728868</v>
      </c>
      <c r="DR52" s="20">
        <f t="shared" si="16"/>
        <v>160.79142034109452</v>
      </c>
      <c r="DS52" s="59">
        <f t="shared" si="17"/>
        <v>454.12475367442784</v>
      </c>
      <c r="DT52" s="59">
        <f ca="1">AVERAGE(OFFSET($DS$3,0,0,'Données projet'!$E$14+1,1))-AVERAGE(OFFSET($H$3,0,0,'Données projet'!$E$14+1,1))</f>
        <v>247.11965163963526</v>
      </c>
      <c r="DU52" s="59">
        <f t="shared" si="44"/>
        <v>61.686311966192704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178</v>
      </c>
      <c r="L53" s="12">
        <f>VLOOKUP(A53,'Données projet'!$A$35:$I$55,9,0)</f>
        <v>8.1999999999999993</v>
      </c>
      <c r="M53" s="12">
        <f t="array" ref="M53">INDEX(L:L,MIN(IF(ISNUMBER(L53:L249),ROW(L53:L249),"")))</f>
        <v>8.1999999999999993</v>
      </c>
      <c r="N53" s="13">
        <f>IF('Données projet'!$A$36&gt;35,N52+M53-V52,IF(A53&lt;'Données projet'!$A$36,$K$205^A53,IF(A53='Données projet'!$A$36,'Données projet'!$B$36,N52+M53-V52)))</f>
        <v>178</v>
      </c>
      <c r="O53" s="13">
        <f>N53*VLOOKUP('Données projet'!$B$9,Paramètres!$A$1:$I$89,3,0)*VLOOKUP('Données projet'!$B$9,Paramètres!$A$1:$I$89,5,0)</f>
        <v>161.05439999999999</v>
      </c>
      <c r="P53" s="13">
        <f t="shared" si="33"/>
        <v>41.080247278685491</v>
      </c>
      <c r="Q53" s="20">
        <f t="shared" si="53"/>
        <v>352.05117734371055</v>
      </c>
      <c r="R53" s="59">
        <f t="shared" si="0"/>
        <v>645.38451067704386</v>
      </c>
      <c r="S53" s="59">
        <f ca="1">AVERAGE(OFFSET($R$3,0,0,'Données projet'!$E$9+1,1))-AVERAGE(OFFSET($H$3,0,0,'Données projet'!$E$9+1,1))</f>
        <v>265.50419397354284</v>
      </c>
      <c r="T53" s="59">
        <f t="shared" si="34"/>
        <v>156.67965022779907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21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2.2428773530564463</v>
      </c>
      <c r="AA53" s="21">
        <f>EXP(-LN(2)/25)*AA52+(1-EXP(-LN(2)/25))/(LN(2)/25)*Calculateur!V53*Calculateur!X53*VLOOKUP('Données projet'!$B$9,Paramètres!$A$1:$I$89,3,0)*0.475*44/12</f>
        <v>2.4095795903077075</v>
      </c>
      <c r="AB53" s="21">
        <f>EXP(-LN(2)/2)*AB52+(1-EXP(-LN(2)/2))/(LN(2)/2)*V53*Y53*VLOOKUP('Données projet'!$B$9,Paramètres!$A$1:$I$89,3,0)*0.475*44/12</f>
        <v>5.959688481908078E-3</v>
      </c>
      <c r="AC53" s="22">
        <f t="shared" si="3"/>
        <v>4.6584166318460616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178</v>
      </c>
      <c r="AG53" s="12">
        <f>VLOOKUP(A53,'Données projet'!$A$61:$I$81,9,0)</f>
        <v>8.1999999999999993</v>
      </c>
      <c r="AH53" s="12">
        <f t="array" ref="AH53">INDEX(AG:AG,MIN(IF(ISNUMBER(AG53:AG249),ROW(AG53:AG249),"")))</f>
        <v>8.1999999999999993</v>
      </c>
      <c r="AI53" s="13">
        <f>IF('Données projet'!$A$62&gt;35,AI52+AH53-AQ52,IF(A53&lt;'Données projet'!$A$62,$AF$205^A53,IF(A53='Données projet'!$A$62,'Données projet'!$B$62,AI52+AH53-AQ52)))</f>
        <v>178</v>
      </c>
      <c r="AJ53" s="13">
        <f>AI53*VLOOKUP('Données projet'!$B$10,Paramètres!$A$1:$I$89,3,0)*VLOOKUP('Données projet'!$B$10,Paramètres!$A$1:$I$89,5,0)</f>
        <v>180.49200000000002</v>
      </c>
      <c r="AK53" s="13">
        <f t="shared" si="35"/>
        <v>45.431629706642653</v>
      </c>
      <c r="AL53" s="20">
        <f t="shared" si="4"/>
        <v>393.4836550724026</v>
      </c>
      <c r="AM53" s="59">
        <f t="shared" si="5"/>
        <v>686.81698840573586</v>
      </c>
      <c r="AN53" s="59">
        <f ca="1">AVERAGE(OFFSET($AM$3,0,0,'Données projet'!$E$10+1,1))-AVERAGE(OFFSET($H$3,0,0,'Données projet'!$E$10+1,1))</f>
        <v>296.43642006376018</v>
      </c>
      <c r="AO53" s="59">
        <f t="shared" si="36"/>
        <v>179.56041631665812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21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2.5135694473908439</v>
      </c>
      <c r="AV53" s="21">
        <f>EXP(-LN(2)/25)*AV52+(1-EXP(-LN(2)/25))/(LN(2)/25)*Calculateur!AQ53*Calculateur!AS53*VLOOKUP('Données projet'!$B$10,Paramètres!$A$1:$I$89,3,0)*0.475*44/12</f>
        <v>2.7003909201724312</v>
      </c>
      <c r="AW53" s="21">
        <f>EXP(-LN(2)/2)*AW52+(1-EXP(-LN(2)/2))/(LN(2)/2)*AQ53*AT53*VLOOKUP('Données projet'!$B$10,Paramètres!$A$1:$I$89,3,0)*0.475*44/12</f>
        <v>6.6789612297245725E-3</v>
      </c>
      <c r="AX53" s="21">
        <f t="shared" si="6"/>
        <v>5.2206393287929993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10.375</v>
      </c>
      <c r="BD53" s="12">
        <f>IF('Données projet'!$A$88&gt;35,BD52+BC53-BL52,IF(A53&lt;'Données projet'!$A$88,$BA$205^A53,IF(A53='Données projet'!$A$88,'Données projet'!$B$88,BD52+BC53-BL52)))</f>
        <v>249.24999999999991</v>
      </c>
      <c r="BE53" s="13">
        <f>BD53*VLOOKUP('Données projet'!$B$11,Paramètres!$A$1:$I$89,3,0)*VLOOKUP('Données projet'!$B$11,Paramètres!$A$1:$I$89,5,0)</f>
        <v>167.19689999999994</v>
      </c>
      <c r="BF53" s="13">
        <f t="shared" si="37"/>
        <v>42.461616233804868</v>
      </c>
      <c r="BG53" s="20">
        <f t="shared" si="7"/>
        <v>365.15524910721001</v>
      </c>
      <c r="BH53" s="59">
        <f t="shared" si="8"/>
        <v>658.48858244054327</v>
      </c>
      <c r="BI53" s="59">
        <f ca="1">AVERAGE(OFFSET($BH$3,0,0,'Données projet'!$E$11+1,1))-AVERAGE(OFFSET($H$3,0,0,'Données projet'!$E$11+1,1))</f>
        <v>181.32837315090507</v>
      </c>
      <c r="BJ53" s="59">
        <f t="shared" si="38"/>
        <v>175.03267817980338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3.6854942833624595</v>
      </c>
      <c r="BQ53" s="21">
        <f>EXP(-LN(2)/25)*BQ52+(1-EXP(-LN(2)/25))/(LN(2)/25)*Calculateur!BL53*Calculateur!BN53*VLOOKUP('Données projet'!$B$11,Paramètres!$A$1:$I$89,3,0)*0.475*44/12</f>
        <v>3.9069514725342422</v>
      </c>
      <c r="BR53" s="21">
        <f>EXP(-LN(2)/2)*BR52+(1-EXP(-LN(2)/2))/(LN(2)/2)*BL53*BO53*VLOOKUP('Données projet'!$B$11,Paramètres!$A$1:$I$89,3,0)*0.475*44/12</f>
        <v>1.0360382681572585E-3</v>
      </c>
      <c r="BS53" s="22">
        <f t="shared" si="9"/>
        <v>7.5934817941648589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288.5</v>
      </c>
      <c r="BW53" s="12">
        <f>VLOOKUP(A53,'Données projet'!$A$113:$I$133,9,0)</f>
        <v>11.5</v>
      </c>
      <c r="BX53" s="12">
        <f t="array" ref="BX53">INDEX(BW:BW,MIN(IF(ISNUMBER(BW53:BW249),ROW(BW53:BW249),"")))</f>
        <v>11.5</v>
      </c>
      <c r="BY53" s="12">
        <f>IF('Données projet'!$A$114&gt;35,BY52+BX53-CG52,IF(A53&lt;'Données projet'!$A$114,$BV$205^A53,IF(A53='Données projet'!$A$114,'Données projet'!$B$114,BY52+BX53-CG52)))</f>
        <v>288.49999999999989</v>
      </c>
      <c r="BZ53" s="13">
        <f>BY53*VLOOKUP('Données projet'!$B$12,Paramètres!$A$1:$I$89,3,0)*VLOOKUP('Données projet'!$B$12,Paramètres!$A$1:$I$89,5,0)</f>
        <v>135.01799999999994</v>
      </c>
      <c r="CA53" s="13">
        <f t="shared" si="39"/>
        <v>35.153303603250578</v>
      </c>
      <c r="CB53" s="20">
        <f t="shared" si="10"/>
        <v>296.38168710899464</v>
      </c>
      <c r="CC53" s="59">
        <f t="shared" si="11"/>
        <v>589.71502044232795</v>
      </c>
      <c r="CD53" s="59">
        <f ca="1">AVERAGE(OFFSET($CC$3,0,0,'Données projet'!$E$12+1,1))-AVERAGE(OFFSET($H$3,0,0,'Données projet'!$E$12+1,1))</f>
        <v>226.0452828290525</v>
      </c>
      <c r="CE53" s="59">
        <f t="shared" si="40"/>
        <v>179.89696397462069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75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6.1078075476788944</v>
      </c>
      <c r="CL53" s="21">
        <f>EXP(-LN(2)/25)*CL52+(1-EXP(-LN(2)/25))/(LN(2)/25)*Calculateur!CG53*Calculateur!CI53*VLOOKUP('Données projet'!$B$12,Paramètres!$A$1:$I$89,3,0)*0.475*44/12</f>
        <v>6.4047515944784559</v>
      </c>
      <c r="CM53" s="21">
        <f>EXP(-LN(2)/2)*CM52+(1-EXP(-LN(2)/2))/(LN(2)/2)*CG53*CJ53*VLOOKUP('Données projet'!$B$12,Paramètres!$A$1:$I$89,3,0)*0.475*44/12</f>
        <v>1.078430531601403E-2</v>
      </c>
      <c r="CN53" s="22">
        <f t="shared" si="12"/>
        <v>12.523343447473364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-256.625</v>
      </c>
      <c r="CT53" s="12">
        <f>IF('Données projet'!$A$140&gt;35,CT52+CS53-DB52,IF(A53&lt;'Données projet'!$A$140,$CQ$205^A53,IF(A53='Données projet'!$A$140,'Données projet'!$B$140,CT52+CS53-DB52)))</f>
        <v>1337.5</v>
      </c>
      <c r="CU53" s="17">
        <f>CT53*VLOOKUP('Données projet'!$B$13,Paramètres!$A$1:$I$89,3,0)*VLOOKUP('Données projet'!$B$13,Paramètres!$A$1:$I$89,5,0)</f>
        <v>799.82500000000005</v>
      </c>
      <c r="CV53" s="13">
        <f t="shared" si="41"/>
        <v>169.29277524015691</v>
      </c>
      <c r="CW53" s="20">
        <f t="shared" si="13"/>
        <v>1687.8801252099399</v>
      </c>
      <c r="CX53" s="59">
        <f t="shared" si="14"/>
        <v>1981.2134585432732</v>
      </c>
      <c r="CY53" s="59">
        <f ca="1">AVERAGE(OFFSET($CX$3,0,0,'Données projet'!$E$13+1,1))-AVERAGE(OFFSET($H$3,0,0,'Données projet'!$E$13+1,1))</f>
        <v>482.74318690313885</v>
      </c>
      <c r="CZ53" s="59">
        <f t="shared" si="42"/>
        <v>205.57161411620217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7.724518114985794</v>
      </c>
      <c r="DG53" s="21">
        <f>EXP(-LN(2)/25)*DG52+(1-EXP(-LN(2)/25))/(LN(2)/25)*Calculateur!DB53*Calculateur!DD53*VLOOKUP('Données projet'!$B$13,Paramètres!$A$1:$I$89,3,0)*0.475*44/12</f>
        <v>5.4144416618734938</v>
      </c>
      <c r="DH53" s="21">
        <f>EXP(-LN(2)/2)*DH52+(1-EXP(-LN(2)/2))/(LN(2)/2)*DB53*DE53*VLOOKUP('Données projet'!$B$13,Paramètres!$A$1:$I$89,3,0)*0.475*44/12</f>
        <v>4.4228480628891913E-3</v>
      </c>
      <c r="DI53" s="22">
        <f t="shared" si="15"/>
        <v>13.143382624922177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153</v>
      </c>
      <c r="DM53" s="12">
        <f>VLOOKUP(A53,'Données projet'!$A$165:$I$185,9,0)</f>
        <v>3.06</v>
      </c>
      <c r="DN53" s="12">
        <f t="array" ref="DN53">INDEX(DM:DM,MIN(IF(ISNUMBER(DM53:DM249),ROW(DM53:DM249),"")))</f>
        <v>3.06</v>
      </c>
      <c r="DO53" s="12">
        <f>IF('Données projet'!$A$166&gt;35,DO52+DN53-DW52,IF(A53&lt;'Données projet'!$A$166,$DL$205^A53,IF(A53='Données projet'!$A$166,'Données projet'!$B$166,DO52+DN53-DW52)))</f>
        <v>153.00000000000009</v>
      </c>
      <c r="DP53" s="17">
        <f>DO53*VLOOKUP('Données projet'!$B$14,Paramètres!$A$1:$I$89,3,0)*VLOOKUP('Données projet'!$B$14,Paramètres!$A$1:$I$89,5,0)</f>
        <v>73.593000000000032</v>
      </c>
      <c r="DQ53" s="13">
        <f t="shared" si="43"/>
        <v>20.563110184247964</v>
      </c>
      <c r="DR53" s="20">
        <f t="shared" si="16"/>
        <v>163.98855857089856</v>
      </c>
      <c r="DS53" s="59">
        <f t="shared" si="17"/>
        <v>457.32189190423185</v>
      </c>
      <c r="DT53" s="59">
        <f ca="1">AVERAGE(OFFSET($DS$3,0,0,'Données projet'!$E$14+1,1))-AVERAGE(OFFSET($H$3,0,0,'Données projet'!$E$14+1,1))</f>
        <v>247.11965163963526</v>
      </c>
      <c r="DU53" s="59">
        <f t="shared" si="44"/>
        <v>61.686311966192704</v>
      </c>
      <c r="DV53" s="15">
        <f>IF(ISNA(VLOOKUP(A53,'Données projet'!$A$165:$I$185,3,0)),0,VLOOKUP(A53,'Données projet'!$A$165:$I$185,3,0))</f>
        <v>1</v>
      </c>
      <c r="DW53" s="15">
        <f>IF(ISNA(VLOOKUP(A53,'Données projet'!$A$165:$I$185,4,0)),0,VLOOKUP(A53,'Données projet'!$A$165:$I$185,4,0))</f>
        <v>24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</v>
      </c>
      <c r="N54" s="13">
        <f>IF('Données projet'!$A$36&gt;35,N53+M54-V53,IF(A54&lt;'Données projet'!$A$36,$K$205^A54,IF(A54='Données projet'!$A$36,'Données projet'!$B$36,N53+M54-V53)))</f>
        <v>165</v>
      </c>
      <c r="O54" s="13">
        <f>N54*VLOOKUP('Données projet'!$B$9,Paramètres!$A$1:$I$89,3,0)*VLOOKUP('Données projet'!$B$9,Paramètres!$A$1:$I$89,5,0)</f>
        <v>149.29199999999997</v>
      </c>
      <c r="P54" s="13">
        <f t="shared" si="33"/>
        <v>38.417645803815411</v>
      </c>
      <c r="Q54" s="20">
        <f t="shared" si="53"/>
        <v>326.9276331083118</v>
      </c>
      <c r="R54" s="59">
        <f t="shared" si="0"/>
        <v>620.26096644164511</v>
      </c>
      <c r="S54" s="59">
        <f ca="1">AVERAGE(OFFSET($R$3,0,0,'Données projet'!$E$9+1,1))-AVERAGE(OFFSET($H$3,0,0,'Données projet'!$E$9+1,1))</f>
        <v>265.50419397354284</v>
      </c>
      <c r="T54" s="59">
        <f t="shared" si="34"/>
        <v>156.67965022779907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2.1988958961831142</v>
      </c>
      <c r="AA54" s="21">
        <f>EXP(-LN(2)/25)*AA53+(1-EXP(-LN(2)/25))/(LN(2)/25)*Calculateur!V54*Calculateur!X54*VLOOKUP('Données projet'!$B$9,Paramètres!$A$1:$I$89,3,0)*0.475*44/12</f>
        <v>2.3436895096964596</v>
      </c>
      <c r="AB54" s="21">
        <f>EXP(-LN(2)/2)*AB53+(1-EXP(-LN(2)/2))/(LN(2)/2)*V54*Y54*VLOOKUP('Données projet'!$B$9,Paramètres!$A$1:$I$89,3,0)*0.475*44/12</f>
        <v>4.2141361393165629E-3</v>
      </c>
      <c r="AC54" s="22">
        <f t="shared" si="3"/>
        <v>4.5467995420188911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</v>
      </c>
      <c r="AI54" s="13">
        <f>IF('Données projet'!$A$62&gt;35,AI53+AH54-AQ53,IF(A54&lt;'Données projet'!$A$62,$AF$205^A54,IF(A54='Données projet'!$A$62,'Données projet'!$B$62,AI53+AH54-AQ53)))</f>
        <v>165</v>
      </c>
      <c r="AJ54" s="13">
        <f>AI54*VLOOKUP('Données projet'!$B$10,Paramètres!$A$1:$I$89,3,0)*VLOOKUP('Données projet'!$B$10,Paramètres!$A$1:$I$89,5,0)</f>
        <v>167.31</v>
      </c>
      <c r="AK54" s="13">
        <f t="shared" si="35"/>
        <v>42.486994942347515</v>
      </c>
      <c r="AL54" s="20">
        <f t="shared" si="4"/>
        <v>365.39643285792187</v>
      </c>
      <c r="AM54" s="59">
        <f t="shared" si="5"/>
        <v>658.72976619125518</v>
      </c>
      <c r="AN54" s="59">
        <f ca="1">AVERAGE(OFFSET($AM$3,0,0,'Données projet'!$E$10+1,1))-AVERAGE(OFFSET($H$3,0,0,'Données projet'!$E$10+1,1))</f>
        <v>296.43642006376018</v>
      </c>
      <c r="AO54" s="59">
        <f t="shared" si="36"/>
        <v>179.56041631665812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2.4642798836534889</v>
      </c>
      <c r="AV54" s="21">
        <f>EXP(-LN(2)/25)*AV53+(1-EXP(-LN(2)/25))/(LN(2)/25)*Calculateur!AQ54*Calculateur!AS54*VLOOKUP('Données projet'!$B$10,Paramètres!$A$1:$I$89,3,0)*0.475*44/12</f>
        <v>2.6265485884529296</v>
      </c>
      <c r="AW54" s="21">
        <f>EXP(-LN(2)/2)*AW53+(1-EXP(-LN(2)/2))/(LN(2)/2)*AQ54*AT54*VLOOKUP('Données projet'!$B$10,Paramètres!$A$1:$I$89,3,0)*0.475*44/12</f>
        <v>4.7227387768202875E-3</v>
      </c>
      <c r="AX54" s="21">
        <f t="shared" si="6"/>
        <v>5.0955512108832384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10.375</v>
      </c>
      <c r="BD54" s="12">
        <f>IF('Données projet'!$A$88&gt;35,BD53+BC54-BL53,IF(A54&lt;'Données projet'!$A$88,$BA$205^A54,IF(A54='Données projet'!$A$88,'Données projet'!$B$88,BD53+BC54-BL53)))</f>
        <v>259.62499999999989</v>
      </c>
      <c r="BE54" s="13">
        <f>BD54*VLOOKUP('Données projet'!$B$11,Paramètres!$A$1:$I$89,3,0)*VLOOKUP('Données projet'!$B$11,Paramètres!$A$1:$I$89,5,0)</f>
        <v>174.15644999999992</v>
      </c>
      <c r="BF54" s="13">
        <f t="shared" si="37"/>
        <v>44.019617362421101</v>
      </c>
      <c r="BG54" s="20">
        <f t="shared" si="7"/>
        <v>379.9899839895499</v>
      </c>
      <c r="BH54" s="59">
        <f t="shared" si="8"/>
        <v>673.32331732288321</v>
      </c>
      <c r="BI54" s="59">
        <f ca="1">AVERAGE(OFFSET($BH$3,0,0,'Données projet'!$E$11+1,1))-AVERAGE(OFFSET($H$3,0,0,'Données projet'!$E$11+1,1))</f>
        <v>181.32837315090507</v>
      </c>
      <c r="BJ54" s="59">
        <f t="shared" si="38"/>
        <v>175.03267817980338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3.6132239883952701</v>
      </c>
      <c r="BQ54" s="21">
        <f>EXP(-LN(2)/25)*BQ53+(1-EXP(-LN(2)/25))/(LN(2)/25)*Calculateur!BL54*Calculateur!BN54*VLOOKUP('Données projet'!$B$11,Paramètres!$A$1:$I$89,3,0)*0.475*44/12</f>
        <v>3.8001156790601449</v>
      </c>
      <c r="BR54" s="21">
        <f>EXP(-LN(2)/2)*BR53+(1-EXP(-LN(2)/2))/(LN(2)/2)*BL54*BO54*VLOOKUP('Données projet'!$B$11,Paramètres!$A$1:$I$89,3,0)*0.475*44/12</f>
        <v>7.3258968498276426E-4</v>
      </c>
      <c r="BS54" s="22">
        <f t="shared" si="9"/>
        <v>7.4140722571403979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13.5</v>
      </c>
      <c r="BY54" s="12">
        <f>IF('Données projet'!$A$114&gt;35,BY53+BX54-CG53,IF(A54&lt;'Données projet'!$A$114,$BV$205^A54,IF(A54='Données projet'!$A$114,'Données projet'!$B$114,BY53+BX54-CG53)))</f>
        <v>226.99999999999989</v>
      </c>
      <c r="BZ54" s="13">
        <f>BY54*VLOOKUP('Données projet'!$B$12,Paramètres!$A$1:$I$89,3,0)*VLOOKUP('Données projet'!$B$12,Paramètres!$A$1:$I$89,5,0)</f>
        <v>106.23599999999995</v>
      </c>
      <c r="CA54" s="13">
        <f t="shared" si="39"/>
        <v>28.442367793282852</v>
      </c>
      <c r="CB54" s="20">
        <f t="shared" si="10"/>
        <v>234.56482390663419</v>
      </c>
      <c r="CC54" s="59">
        <f t="shared" si="11"/>
        <v>527.89815723996753</v>
      </c>
      <c r="CD54" s="59">
        <f ca="1">AVERAGE(OFFSET($CC$3,0,0,'Données projet'!$E$12+1,1))-AVERAGE(OFFSET($H$3,0,0,'Données projet'!$E$12+1,1))</f>
        <v>226.0452828290525</v>
      </c>
      <c r="CE54" s="59">
        <f t="shared" si="40"/>
        <v>179.89696397462069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5.9880371670636636</v>
      </c>
      <c r="CL54" s="21">
        <f>EXP(-LN(2)/25)*CL53+(1-EXP(-LN(2)/25))/(LN(2)/25)*Calculateur!CG54*Calculateur!CI54*VLOOKUP('Données projet'!$B$12,Paramètres!$A$1:$I$89,3,0)*0.475*44/12</f>
        <v>6.2296133253161941</v>
      </c>
      <c r="CM54" s="21">
        <f>EXP(-LN(2)/2)*CM53+(1-EXP(-LN(2)/2))/(LN(2)/2)*CG54*CJ54*VLOOKUP('Données projet'!$B$12,Paramètres!$A$1:$I$89,3,0)*0.475*44/12</f>
        <v>7.6256554193396544E-3</v>
      </c>
      <c r="CN54" s="22">
        <f t="shared" si="12"/>
        <v>12.225276147799196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-256.625</v>
      </c>
      <c r="CT54" s="12">
        <f>IF('Données projet'!$A$140&gt;35,CT53+CS54-DB53,IF(A54&lt;'Données projet'!$A$140,$CQ$205^A54,IF(A54='Données projet'!$A$140,'Données projet'!$B$140,CT53+CS54-DB53)))</f>
        <v>1080.875</v>
      </c>
      <c r="CU54" s="17">
        <f>CT54*VLOOKUP('Données projet'!$B$13,Paramètres!$A$1:$I$89,3,0)*VLOOKUP('Données projet'!$B$13,Paramètres!$A$1:$I$89,5,0)</f>
        <v>646.36325000000011</v>
      </c>
      <c r="CV54" s="13">
        <f t="shared" si="41"/>
        <v>140.24559783539871</v>
      </c>
      <c r="CW54" s="20">
        <f t="shared" si="13"/>
        <v>1370.0104099799862</v>
      </c>
      <c r="CX54" s="59">
        <f t="shared" si="14"/>
        <v>1663.3437433133195</v>
      </c>
      <c r="CY54" s="59">
        <f ca="1">AVERAGE(OFFSET($CX$3,0,0,'Données projet'!$E$13+1,1))-AVERAGE(OFFSET($H$3,0,0,'Données projet'!$E$13+1,1))</f>
        <v>482.74318690313885</v>
      </c>
      <c r="CZ54" s="59">
        <f t="shared" si="42"/>
        <v>205.57161411620217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7.5730450262417515</v>
      </c>
      <c r="DG54" s="21">
        <f>EXP(-LN(2)/25)*DG53+(1-EXP(-LN(2)/25))/(LN(2)/25)*Calculateur!DB54*Calculateur!DD54*VLOOKUP('Données projet'!$B$13,Paramètres!$A$1:$I$89,3,0)*0.475*44/12</f>
        <v>5.2663834698964509</v>
      </c>
      <c r="DH54" s="21">
        <f>EXP(-LN(2)/2)*DH53+(1-EXP(-LN(2)/2))/(LN(2)/2)*DB54*DE54*VLOOKUP('Données projet'!$B$13,Paramètres!$A$1:$I$89,3,0)*0.475*44/12</f>
        <v>3.127425857426733E-3</v>
      </c>
      <c r="DI54" s="22">
        <f t="shared" si="15"/>
        <v>12.842555921995629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27.266666666666666</v>
      </c>
      <c r="DO54" s="12">
        <f>IF('Données projet'!$A$166&gt;35,DO53+DN54-DW53,IF(A54&lt;'Données projet'!$A$166,$DL$205^A54,IF(A54='Données projet'!$A$166,'Données projet'!$B$166,DO53+DN54-DW53)))</f>
        <v>156.26666666666677</v>
      </c>
      <c r="DP54" s="17">
        <f>DO54*VLOOKUP('Données projet'!$B$14,Paramètres!$A$1:$I$89,3,0)*VLOOKUP('Données projet'!$B$14,Paramètres!$A$1:$I$89,5,0)</f>
        <v>75.16426666666672</v>
      </c>
      <c r="DQ54" s="13">
        <f t="shared" si="43"/>
        <v>20.95056596876395</v>
      </c>
      <c r="DR54" s="20">
        <f t="shared" si="16"/>
        <v>167.40000017337508</v>
      </c>
      <c r="DS54" s="59">
        <f t="shared" si="17"/>
        <v>460.73333350670839</v>
      </c>
      <c r="DT54" s="59">
        <f ca="1">AVERAGE(OFFSET($DS$3,0,0,'Données projet'!$E$14+1,1))-AVERAGE(OFFSET($H$3,0,0,'Données projet'!$E$14+1,1))</f>
        <v>247.11965163963526</v>
      </c>
      <c r="DU54" s="59">
        <f t="shared" si="44"/>
        <v>61.686311966192704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</v>
      </c>
      <c r="N55" s="13">
        <f>IF('Données projet'!$A$36&gt;35,N54+M55-V54,IF(A55&lt;'Données projet'!$A$36,$K$205^A55,IF(A55='Données projet'!$A$36,'Données projet'!$B$36,N54+M55-V54)))</f>
        <v>173</v>
      </c>
      <c r="O55" s="13">
        <f>N55*VLOOKUP('Données projet'!$B$9,Paramètres!$A$1:$I$89,3,0)*VLOOKUP('Données projet'!$B$9,Paramètres!$A$1:$I$89,5,0)</f>
        <v>156.53039999999999</v>
      </c>
      <c r="P55" s="13">
        <f t="shared" si="33"/>
        <v>40.058941713182037</v>
      </c>
      <c r="Q55" s="20">
        <f t="shared" si="53"/>
        <v>342.393103483792</v>
      </c>
      <c r="R55" s="59">
        <f t="shared" si="0"/>
        <v>635.72643681712532</v>
      </c>
      <c r="S55" s="59">
        <f ca="1">AVERAGE(OFFSET($R$3,0,0,'Données projet'!$E$9+1,1))-AVERAGE(OFFSET($H$3,0,0,'Données projet'!$E$9+1,1))</f>
        <v>265.50419397354284</v>
      </c>
      <c r="T55" s="59">
        <f t="shared" si="34"/>
        <v>156.67965022779907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2.155776888853028</v>
      </c>
      <c r="AA55" s="21">
        <f>EXP(-LN(2)/25)*AA54+(1-EXP(-LN(2)/25))/(LN(2)/25)*Calculateur!V55*Calculateur!X55*VLOOKUP('Données projet'!$B$9,Paramètres!$A$1:$I$89,3,0)*0.475*44/12</f>
        <v>2.2796011968045353</v>
      </c>
      <c r="AB55" s="21">
        <f>EXP(-LN(2)/2)*AB54+(1-EXP(-LN(2)/2))/(LN(2)/2)*V55*Y55*VLOOKUP('Données projet'!$B$9,Paramètres!$A$1:$I$89,3,0)*0.475*44/12</f>
        <v>2.979844240954039E-3</v>
      </c>
      <c r="AC55" s="22">
        <f t="shared" si="3"/>
        <v>4.4383579298985172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</v>
      </c>
      <c r="AI55" s="13">
        <f>IF('Données projet'!$A$62&gt;35,AI54+AH55-AQ54,IF(A55&lt;'Données projet'!$A$62,$AF$205^A55,IF(A55='Données projet'!$A$62,'Données projet'!$B$62,AI54+AH55-AQ54)))</f>
        <v>173</v>
      </c>
      <c r="AJ55" s="13">
        <f>AI55*VLOOKUP('Données projet'!$B$10,Paramètres!$A$1:$I$89,3,0)*VLOOKUP('Données projet'!$B$10,Paramètres!$A$1:$I$89,5,0)</f>
        <v>175.422</v>
      </c>
      <c r="AK55" s="13">
        <f t="shared" si="35"/>
        <v>44.302143412304737</v>
      </c>
      <c r="AL55" s="20">
        <f t="shared" si="4"/>
        <v>382.68621644309741</v>
      </c>
      <c r="AM55" s="59">
        <f t="shared" si="5"/>
        <v>676.01954977643072</v>
      </c>
      <c r="AN55" s="59">
        <f ca="1">AVERAGE(OFFSET($AM$3,0,0,'Données projet'!$E$10+1,1))-AVERAGE(OFFSET($H$3,0,0,'Données projet'!$E$10+1,1))</f>
        <v>296.43642006376018</v>
      </c>
      <c r="AO55" s="59">
        <f t="shared" si="36"/>
        <v>179.56041631665812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2.4159568581973581</v>
      </c>
      <c r="AV55" s="21">
        <f>EXP(-LN(2)/25)*AV54+(1-EXP(-LN(2)/25))/(LN(2)/25)*Calculateur!AQ55*Calculateur!AS55*VLOOKUP('Données projet'!$B$10,Paramètres!$A$1:$I$89,3,0)*0.475*44/12</f>
        <v>2.5547254791774971</v>
      </c>
      <c r="AW55" s="21">
        <f>EXP(-LN(2)/2)*AW54+(1-EXP(-LN(2)/2))/(LN(2)/2)*AQ55*AT55*VLOOKUP('Données projet'!$B$10,Paramètres!$A$1:$I$89,3,0)*0.475*44/12</f>
        <v>3.3394806148622862E-3</v>
      </c>
      <c r="AX55" s="21">
        <f t="shared" si="6"/>
        <v>4.9740218179897173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>
        <f>VLOOKUP(A55,'Données projet'!$A$87:$I$107,2,0)</f>
        <v>270</v>
      </c>
      <c r="BB55" s="12">
        <f>VLOOKUP(A55,'Données projet'!$A$87:$I$107,9,0)</f>
        <v>10.375</v>
      </c>
      <c r="BC55" s="12">
        <f t="array" ref="BC55">INDEX(BB:BB,MIN(IF(ISNUMBER(BB55:BB251),ROW(BB55:BB251),"")))</f>
        <v>10.375</v>
      </c>
      <c r="BD55" s="12">
        <f>IF('Données projet'!$A$88&gt;35,BD54+BC55-BL54,IF(A55&lt;'Données projet'!$A$88,$BA$205^A55,IF(A55='Données projet'!$A$88,'Données projet'!$B$88,BD54+BC55-BL54)))</f>
        <v>269.99999999999989</v>
      </c>
      <c r="BE55" s="13">
        <f>BD55*VLOOKUP('Données projet'!$B$11,Paramètres!$A$1:$I$89,3,0)*VLOOKUP('Données projet'!$B$11,Paramètres!$A$1:$I$89,5,0)</f>
        <v>181.11599999999993</v>
      </c>
      <c r="BF55" s="13">
        <f t="shared" si="37"/>
        <v>45.570386218758216</v>
      </c>
      <c r="BG55" s="20">
        <f t="shared" si="7"/>
        <v>394.81212266433704</v>
      </c>
      <c r="BH55" s="59">
        <f t="shared" si="8"/>
        <v>688.1454559976703</v>
      </c>
      <c r="BI55" s="59">
        <f ca="1">AVERAGE(OFFSET($BH$3,0,0,'Données projet'!$E$11+1,1))-AVERAGE(OFFSET($H$3,0,0,'Données projet'!$E$11+1,1))</f>
        <v>181.32837315090507</v>
      </c>
      <c r="BJ55" s="59">
        <f t="shared" si="38"/>
        <v>175.03267817980338</v>
      </c>
      <c r="BK55" s="15">
        <f>IF(ISNA(VLOOKUP(A55,'Données projet'!$A$87:$I$107,3,0)),0,VLOOKUP(A55,'Données projet'!$A$87:$I$107,3,0))</f>
        <v>8</v>
      </c>
      <c r="BL55" s="15">
        <f>IF(ISNA(VLOOKUP(A55,'Données projet'!$A$87:$I$107,4,0)),0,VLOOKUP(A55,'Données projet'!$A$87:$I$107,4,0))</f>
        <v>48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3.5423708698318599</v>
      </c>
      <c r="BQ55" s="21">
        <f>EXP(-LN(2)/25)*BQ54+(1-EXP(-LN(2)/25))/(LN(2)/25)*Calculateur!BL55*Calculateur!BN55*VLOOKUP('Données projet'!$B$11,Paramètres!$A$1:$I$89,3,0)*0.475*44/12</f>
        <v>3.6962013159768468</v>
      </c>
      <c r="BR55" s="21">
        <f>EXP(-LN(2)/2)*BR54+(1-EXP(-LN(2)/2))/(LN(2)/2)*BL55*BO55*VLOOKUP('Données projet'!$B$11,Paramètres!$A$1:$I$89,3,0)*0.475*44/12</f>
        <v>5.1801913407862926E-4</v>
      </c>
      <c r="BS55" s="22">
        <f t="shared" si="9"/>
        <v>7.2390902049427854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13.5</v>
      </c>
      <c r="BY55" s="12">
        <f>IF('Données projet'!$A$114&gt;35,BY54+BX55-CG54,IF(A55&lt;'Données projet'!$A$114,$BV$205^A55,IF(A55='Données projet'!$A$114,'Données projet'!$B$114,BY54+BX55-CG54)))</f>
        <v>240.49999999999989</v>
      </c>
      <c r="BZ55" s="13">
        <f>BY55*VLOOKUP('Données projet'!$B$12,Paramètres!$A$1:$I$89,3,0)*VLOOKUP('Données projet'!$B$12,Paramètres!$A$1:$I$89,5,0)</f>
        <v>112.55399999999995</v>
      </c>
      <c r="CA55" s="13">
        <f t="shared" si="39"/>
        <v>29.931920700323165</v>
      </c>
      <c r="CB55" s="20">
        <f t="shared" si="10"/>
        <v>248.16297855306274</v>
      </c>
      <c r="CC55" s="59">
        <f t="shared" si="11"/>
        <v>541.49631188639603</v>
      </c>
      <c r="CD55" s="59">
        <f ca="1">AVERAGE(OFFSET($CC$3,0,0,'Données projet'!$E$12+1,1))-AVERAGE(OFFSET($H$3,0,0,'Données projet'!$E$12+1,1))</f>
        <v>226.0452828290525</v>
      </c>
      <c r="CE55" s="59">
        <f t="shared" si="40"/>
        <v>179.89696397462069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5.8706154105595783</v>
      </c>
      <c r="CL55" s="21">
        <f>EXP(-LN(2)/25)*CL54+(1-EXP(-LN(2)/25))/(LN(2)/25)*Calculateur!CG55*Calculateur!CI55*VLOOKUP('Données projet'!$B$12,Paramètres!$A$1:$I$89,3,0)*0.475*44/12</f>
        <v>6.0592642213342955</v>
      </c>
      <c r="CM55" s="21">
        <f>EXP(-LN(2)/2)*CM54+(1-EXP(-LN(2)/2))/(LN(2)/2)*CG55*CJ55*VLOOKUP('Données projet'!$B$12,Paramètres!$A$1:$I$89,3,0)*0.475*44/12</f>
        <v>5.3921526580070159E-3</v>
      </c>
      <c r="CN55" s="22">
        <f t="shared" si="12"/>
        <v>11.935271784551881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-256.625</v>
      </c>
      <c r="CT55" s="12">
        <f>IF('Données projet'!$A$140&gt;35,CT54+CS55-DB54,IF(A55&lt;'Données projet'!$A$140,$CQ$205^A55,IF(A55='Données projet'!$A$140,'Données projet'!$B$140,CT54+CS55-DB54)))</f>
        <v>824.25</v>
      </c>
      <c r="CU55" s="17">
        <f>CT55*VLOOKUP('Données projet'!$B$13,Paramètres!$A$1:$I$89,3,0)*VLOOKUP('Données projet'!$B$13,Paramètres!$A$1:$I$89,5,0)</f>
        <v>492.90150000000006</v>
      </c>
      <c r="CV55" s="13">
        <f t="shared" si="41"/>
        <v>110.37606941207491</v>
      </c>
      <c r="CW55" s="20">
        <f t="shared" si="13"/>
        <v>1050.7084333926971</v>
      </c>
      <c r="CX55" s="59">
        <f t="shared" si="14"/>
        <v>1344.0417667260303</v>
      </c>
      <c r="CY55" s="59">
        <f ca="1">AVERAGE(OFFSET($CX$3,0,0,'Données projet'!$E$13+1,1))-AVERAGE(OFFSET($H$3,0,0,'Données projet'!$E$13+1,1))</f>
        <v>482.74318690313885</v>
      </c>
      <c r="CZ55" s="59">
        <f t="shared" si="42"/>
        <v>205.57161411620217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7.424542232378518</v>
      </c>
      <c r="DG55" s="21">
        <f>EXP(-LN(2)/25)*DG54+(1-EXP(-LN(2)/25))/(LN(2)/25)*Calculateur!DB55*Calculateur!DD55*VLOOKUP('Données projet'!$B$13,Paramètres!$A$1:$I$89,3,0)*0.475*44/12</f>
        <v>5.1223739369650625</v>
      </c>
      <c r="DH55" s="21">
        <f>EXP(-LN(2)/2)*DH54+(1-EXP(-LN(2)/2))/(LN(2)/2)*DB55*DE55*VLOOKUP('Données projet'!$B$13,Paramètres!$A$1:$I$89,3,0)*0.475*44/12</f>
        <v>2.2114240314445957E-3</v>
      </c>
      <c r="DI55" s="22">
        <f t="shared" si="15"/>
        <v>12.549127593375026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27.266666666666666</v>
      </c>
      <c r="DO55" s="12">
        <f>IF('Données projet'!$A$166&gt;35,DO54+DN55-DW54,IF(A55&lt;'Données projet'!$A$166,$DL$205^A55,IF(A55='Données projet'!$A$166,'Données projet'!$B$166,DO54+DN55-DW54)))</f>
        <v>183.53333333333342</v>
      </c>
      <c r="DP55" s="17">
        <f>DO55*VLOOKUP('Données projet'!$B$14,Paramètres!$A$1:$I$89,3,0)*VLOOKUP('Données projet'!$B$14,Paramètres!$A$1:$I$89,5,0)</f>
        <v>88.27953333333339</v>
      </c>
      <c r="DQ55" s="13">
        <f t="shared" si="43"/>
        <v>24.149824901261375</v>
      </c>
      <c r="DR55" s="20">
        <f t="shared" si="16"/>
        <v>195.8144655919192</v>
      </c>
      <c r="DS55" s="59">
        <f t="shared" si="17"/>
        <v>489.14779892525252</v>
      </c>
      <c r="DT55" s="59">
        <f ca="1">AVERAGE(OFFSET($DS$3,0,0,'Données projet'!$E$14+1,1))-AVERAGE(OFFSET($H$3,0,0,'Données projet'!$E$14+1,1))</f>
        <v>247.11965163963526</v>
      </c>
      <c r="DU55" s="59">
        <f t="shared" si="44"/>
        <v>61.686311966192704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</v>
      </c>
      <c r="N56" s="13">
        <f>IF('Données projet'!$A$36&gt;35,N55+M56-V55,IF(A56&lt;'Données projet'!$A$36,$K$205^A56,IF(A56='Données projet'!$A$36,'Données projet'!$B$36,N55+M56-V55)))</f>
        <v>181</v>
      </c>
      <c r="O56" s="13">
        <f>N56*VLOOKUP('Données projet'!$B$9,Paramètres!$A$1:$I$89,3,0)*VLOOKUP('Données projet'!$B$9,Paramètres!$A$1:$I$89,5,0)</f>
        <v>163.7688</v>
      </c>
      <c r="P56" s="13">
        <f t="shared" si="33"/>
        <v>41.691423503509803</v>
      </c>
      <c r="Q56" s="20">
        <f t="shared" si="53"/>
        <v>357.84322260194625</v>
      </c>
      <c r="R56" s="59">
        <f t="shared" si="0"/>
        <v>651.17655593527957</v>
      </c>
      <c r="S56" s="59">
        <f ca="1">AVERAGE(OFFSET($R$3,0,0,'Données projet'!$E$9+1,1))-AVERAGE(OFFSET($H$3,0,0,'Données projet'!$E$9+1,1))</f>
        <v>265.50419397354284</v>
      </c>
      <c r="T56" s="59">
        <f t="shared" si="34"/>
        <v>156.67965022779907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2.1135034189566873</v>
      </c>
      <c r="AA56" s="21">
        <f>EXP(-LN(2)/25)*AA55+(1-EXP(-LN(2)/25))/(LN(2)/25)*Calculateur!V56*Calculateur!X56*VLOOKUP('Données projet'!$B$9,Paramètres!$A$1:$I$89,3,0)*0.475*44/12</f>
        <v>2.2172653821988986</v>
      </c>
      <c r="AB56" s="21">
        <f>EXP(-LN(2)/2)*AB55+(1-EXP(-LN(2)/2))/(LN(2)/2)*V56*Y56*VLOOKUP('Données projet'!$B$9,Paramètres!$A$1:$I$89,3,0)*0.475*44/12</f>
        <v>2.1070680696582814E-3</v>
      </c>
      <c r="AC56" s="22">
        <f t="shared" si="3"/>
        <v>4.3328758692252434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</v>
      </c>
      <c r="AI56" s="13">
        <f>IF('Données projet'!$A$62&gt;35,AI55+AH56-AQ55,IF(A56&lt;'Données projet'!$A$62,$AF$205^A56,IF(A56='Données projet'!$A$62,'Données projet'!$B$62,AI55+AH56-AQ55)))</f>
        <v>181</v>
      </c>
      <c r="AJ56" s="13">
        <f>AI56*VLOOKUP('Données projet'!$B$10,Paramètres!$A$1:$I$89,3,0)*VLOOKUP('Données projet'!$B$10,Paramètres!$A$1:$I$89,5,0)</f>
        <v>183.53400000000002</v>
      </c>
      <c r="AK56" s="13">
        <f t="shared" si="35"/>
        <v>46.107544136839593</v>
      </c>
      <c r="AL56" s="20">
        <f t="shared" si="4"/>
        <v>399.95902270499568</v>
      </c>
      <c r="AM56" s="59">
        <f t="shared" si="5"/>
        <v>693.29235603832899</v>
      </c>
      <c r="AN56" s="59">
        <f ca="1">AVERAGE(OFFSET($AM$3,0,0,'Données projet'!$E$10+1,1))-AVERAGE(OFFSET($H$3,0,0,'Données projet'!$E$10+1,1))</f>
        <v>296.43642006376018</v>
      </c>
      <c r="AO56" s="59">
        <f t="shared" si="36"/>
        <v>179.56041631665812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2.3685814177962867</v>
      </c>
      <c r="AV56" s="21">
        <f>EXP(-LN(2)/25)*AV55+(1-EXP(-LN(2)/25))/(LN(2)/25)*Calculateur!AQ56*Calculateur!AS56*VLOOKUP('Données projet'!$B$10,Paramètres!$A$1:$I$89,3,0)*0.475*44/12</f>
        <v>2.4848663766022145</v>
      </c>
      <c r="AW56" s="21">
        <f>EXP(-LN(2)/2)*AW55+(1-EXP(-LN(2)/2))/(LN(2)/2)*AQ56*AT56*VLOOKUP('Données projet'!$B$10,Paramètres!$A$1:$I$89,3,0)*0.475*44/12</f>
        <v>2.3613693884101438E-3</v>
      </c>
      <c r="AX56" s="21">
        <f t="shared" si="6"/>
        <v>4.8558091637869119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9.375</v>
      </c>
      <c r="BD56" s="12">
        <f>IF('Données projet'!$A$88&gt;35,BD55+BC56-BL55,IF(A56&lt;'Données projet'!$A$88,$BA$205^A56,IF(A56='Données projet'!$A$88,'Données projet'!$B$88,BD55+BC56-BL55)))</f>
        <v>231.37499999999989</v>
      </c>
      <c r="BE56" s="13">
        <f>BD56*VLOOKUP('Données projet'!$B$11,Paramètres!$A$1:$I$89,3,0)*VLOOKUP('Données projet'!$B$11,Paramètres!$A$1:$I$89,5,0)</f>
        <v>155.20634999999993</v>
      </c>
      <c r="BF56" s="13">
        <f t="shared" si="37"/>
        <v>39.759387594463078</v>
      </c>
      <c r="BG56" s="20">
        <f t="shared" si="7"/>
        <v>339.5653263103564</v>
      </c>
      <c r="BH56" s="59">
        <f t="shared" si="8"/>
        <v>632.89865964368971</v>
      </c>
      <c r="BI56" s="59">
        <f ca="1">AVERAGE(OFFSET($BH$3,0,0,'Données projet'!$E$11+1,1))-AVERAGE(OFFSET($H$3,0,0,'Données projet'!$E$11+1,1))</f>
        <v>181.32837315090507</v>
      </c>
      <c r="BJ56" s="59">
        <f t="shared" si="38"/>
        <v>175.03267817980338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3.4729071377073431</v>
      </c>
      <c r="BQ56" s="21">
        <f>EXP(-LN(2)/25)*BQ55+(1-EXP(-LN(2)/25))/(LN(2)/25)*Calculateur!BL56*Calculateur!BN56*VLOOKUP('Données projet'!$B$11,Paramètres!$A$1:$I$89,3,0)*0.475*44/12</f>
        <v>3.5951284966166805</v>
      </c>
      <c r="BR56" s="21">
        <f>EXP(-LN(2)/2)*BR55+(1-EXP(-LN(2)/2))/(LN(2)/2)*BL56*BO56*VLOOKUP('Données projet'!$B$11,Paramètres!$A$1:$I$89,3,0)*0.475*44/12</f>
        <v>3.6629484249138213E-4</v>
      </c>
      <c r="BS56" s="22">
        <f t="shared" si="9"/>
        <v>7.068401929166515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13.5</v>
      </c>
      <c r="BY56" s="12">
        <f>IF('Données projet'!$A$114&gt;35,BY55+BX56-CG55,IF(A56&lt;'Données projet'!$A$114,$BV$205^A56,IF(A56='Données projet'!$A$114,'Données projet'!$B$114,BY55+BX56-CG55)))</f>
        <v>253.99999999999989</v>
      </c>
      <c r="BZ56" s="13">
        <f>BY56*VLOOKUP('Données projet'!$B$12,Paramètres!$A$1:$I$89,3,0)*VLOOKUP('Données projet'!$B$12,Paramètres!$A$1:$I$89,5,0)</f>
        <v>118.87199999999994</v>
      </c>
      <c r="CA56" s="13">
        <f t="shared" si="39"/>
        <v>31.411767382096219</v>
      </c>
      <c r="CB56" s="20">
        <f t="shared" si="10"/>
        <v>261.74422819048414</v>
      </c>
      <c r="CC56" s="59">
        <f t="shared" si="11"/>
        <v>555.07756152381739</v>
      </c>
      <c r="CD56" s="59">
        <f ca="1">AVERAGE(OFFSET($CC$3,0,0,'Données projet'!$E$12+1,1))-AVERAGE(OFFSET($H$3,0,0,'Données projet'!$E$12+1,1))</f>
        <v>226.0452828290525</v>
      </c>
      <c r="CE56" s="59">
        <f t="shared" si="40"/>
        <v>179.89696397462069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5.7554962230803381</v>
      </c>
      <c r="CL56" s="21">
        <f>EXP(-LN(2)/25)*CL55+(1-EXP(-LN(2)/25))/(LN(2)/25)*Calculateur!CG56*Calculateur!CI56*VLOOKUP('Données projet'!$B$12,Paramètres!$A$1:$I$89,3,0)*0.475*44/12</f>
        <v>5.8935733225590523</v>
      </c>
      <c r="CM56" s="21">
        <f>EXP(-LN(2)/2)*CM55+(1-EXP(-LN(2)/2))/(LN(2)/2)*CG56*CJ56*VLOOKUP('Données projet'!$B$12,Paramètres!$A$1:$I$89,3,0)*0.475*44/12</f>
        <v>3.8128277096698281E-3</v>
      </c>
      <c r="CN56" s="22">
        <f t="shared" si="12"/>
        <v>11.65288237334906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-256.625</v>
      </c>
      <c r="CT56" s="12">
        <f>IF('Données projet'!$A$140&gt;35,CT55+CS56-DB55,IF(A56&lt;'Données projet'!$A$140,$CQ$205^A56,IF(A56='Données projet'!$A$140,'Données projet'!$B$140,CT55+CS56-DB55)))</f>
        <v>567.625</v>
      </c>
      <c r="CU56" s="17">
        <f>CT56*VLOOKUP('Données projet'!$B$13,Paramètres!$A$1:$I$89,3,0)*VLOOKUP('Données projet'!$B$13,Paramètres!$A$1:$I$89,5,0)</f>
        <v>339.43975000000006</v>
      </c>
      <c r="CV56" s="13">
        <f t="shared" si="41"/>
        <v>79.384184117117783</v>
      </c>
      <c r="CW56" s="20">
        <f t="shared" si="13"/>
        <v>729.45168525398014</v>
      </c>
      <c r="CX56" s="59">
        <f t="shared" si="14"/>
        <v>1022.7850185873135</v>
      </c>
      <c r="CY56" s="59">
        <f ca="1">AVERAGE(OFFSET($CX$3,0,0,'Données projet'!$E$13+1,1))-AVERAGE(OFFSET($H$3,0,0,'Données projet'!$E$13+1,1))</f>
        <v>482.74318690313885</v>
      </c>
      <c r="CZ56" s="59">
        <f t="shared" si="42"/>
        <v>205.57161411620217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7.2789514877251822</v>
      </c>
      <c r="DG56" s="21">
        <f>EXP(-LN(2)/25)*DG55+(1-EXP(-LN(2)/25))/(LN(2)/25)*Calculateur!DB56*Calculateur!DD56*VLOOKUP('Données projet'!$B$13,Paramètres!$A$1:$I$89,3,0)*0.475*44/12</f>
        <v>4.9823023522848144</v>
      </c>
      <c r="DH56" s="21">
        <f>EXP(-LN(2)/2)*DH55+(1-EXP(-LN(2)/2))/(LN(2)/2)*DB56*DE56*VLOOKUP('Données projet'!$B$13,Paramètres!$A$1:$I$89,3,0)*0.475*44/12</f>
        <v>1.5637129287133665E-3</v>
      </c>
      <c r="DI56" s="22">
        <f t="shared" si="15"/>
        <v>12.262817552938708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27.266666666666666</v>
      </c>
      <c r="DO56" s="12">
        <f>IF('Données projet'!$A$166&gt;35,DO55+DN56-DW55,IF(A56&lt;'Données projet'!$A$166,$DL$205^A56,IF(A56='Données projet'!$A$166,'Données projet'!$B$166,DO55+DN56-DW55)))</f>
        <v>210.80000000000007</v>
      </c>
      <c r="DP56" s="17">
        <f>DO56*VLOOKUP('Données projet'!$B$14,Paramètres!$A$1:$I$89,3,0)*VLOOKUP('Données projet'!$B$14,Paramètres!$A$1:$I$89,5,0)</f>
        <v>101.39480000000003</v>
      </c>
      <c r="DQ56" s="13">
        <f t="shared" si="43"/>
        <v>27.294021058640777</v>
      </c>
      <c r="DR56" s="20">
        <f t="shared" si="16"/>
        <v>224.13303001046606</v>
      </c>
      <c r="DS56" s="59">
        <f t="shared" si="17"/>
        <v>517.46636334379934</v>
      </c>
      <c r="DT56" s="59">
        <f ca="1">AVERAGE(OFFSET($DS$3,0,0,'Données projet'!$E$14+1,1))-AVERAGE(OFFSET($H$3,0,0,'Données projet'!$E$14+1,1))</f>
        <v>247.11965163963526</v>
      </c>
      <c r="DU56" s="59">
        <f t="shared" si="44"/>
        <v>61.686311966192704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</v>
      </c>
      <c r="N57" s="13">
        <f>IF('Données projet'!$A$36&gt;35,N56+M57-V56,IF(A57&lt;'Données projet'!$A$36,$K$205^A57,IF(A57='Données projet'!$A$36,'Données projet'!$B$36,N56+M57-V56)))</f>
        <v>189</v>
      </c>
      <c r="O57" s="13">
        <f>N57*VLOOKUP('Données projet'!$B$9,Paramètres!$A$1:$I$89,3,0)*VLOOKUP('Données projet'!$B$9,Paramètres!$A$1:$I$89,5,0)</f>
        <v>171.00719999999998</v>
      </c>
      <c r="P57" s="13">
        <f t="shared" si="33"/>
        <v>43.315525267338089</v>
      </c>
      <c r="Q57" s="20">
        <f t="shared" si="53"/>
        <v>373.27874650728046</v>
      </c>
      <c r="R57" s="59">
        <f t="shared" si="0"/>
        <v>666.61207984061377</v>
      </c>
      <c r="S57" s="59">
        <f ca="1">AVERAGE(OFFSET($R$3,0,0,'Données projet'!$E$9+1,1))-AVERAGE(OFFSET($H$3,0,0,'Données projet'!$E$9+1,1))</f>
        <v>265.50419397354284</v>
      </c>
      <c r="T57" s="59">
        <f t="shared" si="34"/>
        <v>156.67965022779907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2.0720589060207431</v>
      </c>
      <c r="AA57" s="21">
        <f>EXP(-LN(2)/25)*AA56+(1-EXP(-LN(2)/25))/(LN(2)/25)*Calculateur!V57*Calculateur!X57*VLOOKUP('Données projet'!$B$9,Paramètres!$A$1:$I$89,3,0)*0.475*44/12</f>
        <v>2.1566341437217509</v>
      </c>
      <c r="AB57" s="21">
        <f>EXP(-LN(2)/2)*AB56+(1-EXP(-LN(2)/2))/(LN(2)/2)*V57*Y57*VLOOKUP('Données projet'!$B$9,Paramètres!$A$1:$I$89,3,0)*0.475*44/12</f>
        <v>1.4899221204770195E-3</v>
      </c>
      <c r="AC57" s="22">
        <f t="shared" si="3"/>
        <v>4.2301829718629715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</v>
      </c>
      <c r="AI57" s="13">
        <f>IF('Données projet'!$A$62&gt;35,AI56+AH57-AQ56,IF(A57&lt;'Données projet'!$A$62,$AF$205^A57,IF(A57='Données projet'!$A$62,'Données projet'!$B$62,AI56+AH57-AQ56)))</f>
        <v>189</v>
      </c>
      <c r="AJ57" s="13">
        <f>AI57*VLOOKUP('Données projet'!$B$10,Paramètres!$A$1:$I$89,3,0)*VLOOKUP('Données projet'!$B$10,Paramètres!$A$1:$I$89,5,0)</f>
        <v>191.64600000000002</v>
      </c>
      <c r="AK57" s="13">
        <f t="shared" si="35"/>
        <v>47.903677189291635</v>
      </c>
      <c r="AL57" s="20">
        <f t="shared" si="4"/>
        <v>417.21568777134962</v>
      </c>
      <c r="AM57" s="59">
        <f t="shared" si="5"/>
        <v>710.54902110468288</v>
      </c>
      <c r="AN57" s="59">
        <f ca="1">AVERAGE(OFFSET($AM$3,0,0,'Données projet'!$E$10+1,1))-AVERAGE(OFFSET($H$3,0,0,'Données projet'!$E$10+1,1))</f>
        <v>296.43642006376018</v>
      </c>
      <c r="AO57" s="59">
        <f t="shared" si="36"/>
        <v>179.56041631665812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2.3221349808853149</v>
      </c>
      <c r="AV57" s="21">
        <f>EXP(-LN(2)/25)*AV56+(1-EXP(-LN(2)/25))/(LN(2)/25)*Calculateur!AQ57*Calculateur!AS57*VLOOKUP('Données projet'!$B$10,Paramètres!$A$1:$I$89,3,0)*0.475*44/12</f>
        <v>2.4169175748605833</v>
      </c>
      <c r="AW57" s="21">
        <f>EXP(-LN(2)/2)*AW56+(1-EXP(-LN(2)/2))/(LN(2)/2)*AQ57*AT57*VLOOKUP('Données projet'!$B$10,Paramètres!$A$1:$I$89,3,0)*0.475*44/12</f>
        <v>1.6697403074311431E-3</v>
      </c>
      <c r="AX57" s="21">
        <f t="shared" si="6"/>
        <v>4.7407222960533293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9.375</v>
      </c>
      <c r="BD57" s="12">
        <f>IF('Données projet'!$A$88&gt;35,BD56+BC57-BL56,IF(A57&lt;'Données projet'!$A$88,$BA$205^A57,IF(A57='Données projet'!$A$88,'Données projet'!$B$88,BD56+BC57-BL56)))</f>
        <v>240.74999999999989</v>
      </c>
      <c r="BE57" s="13">
        <f>BD57*VLOOKUP('Données projet'!$B$11,Paramètres!$A$1:$I$89,3,0)*VLOOKUP('Données projet'!$B$11,Paramètres!$A$1:$I$89,5,0)</f>
        <v>161.49509999999992</v>
      </c>
      <c r="BF57" s="13">
        <f t="shared" si="37"/>
        <v>41.179556622845517</v>
      </c>
      <c r="BG57" s="20">
        <f t="shared" si="7"/>
        <v>352.9916936181225</v>
      </c>
      <c r="BH57" s="59">
        <f t="shared" si="8"/>
        <v>646.32502695145581</v>
      </c>
      <c r="BI57" s="59">
        <f ca="1">AVERAGE(OFFSET($BH$3,0,0,'Données projet'!$E$11+1,1))-AVERAGE(OFFSET($H$3,0,0,'Données projet'!$E$11+1,1))</f>
        <v>181.32837315090507</v>
      </c>
      <c r="BJ57" s="59">
        <f t="shared" si="38"/>
        <v>175.03267817980338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3.4048055470010947</v>
      </c>
      <c r="BQ57" s="21">
        <f>EXP(-LN(2)/25)*BQ56+(1-EXP(-LN(2)/25))/(LN(2)/25)*Calculateur!BL57*Calculateur!BN57*VLOOKUP('Données projet'!$B$11,Paramètres!$A$1:$I$89,3,0)*0.475*44/12</f>
        <v>3.4968195188171065</v>
      </c>
      <c r="BR57" s="21">
        <f>EXP(-LN(2)/2)*BR56+(1-EXP(-LN(2)/2))/(LN(2)/2)*BL57*BO57*VLOOKUP('Données projet'!$B$11,Paramètres!$A$1:$I$89,3,0)*0.475*44/12</f>
        <v>2.5900956703931463E-4</v>
      </c>
      <c r="BS57" s="22">
        <f t="shared" si="9"/>
        <v>6.9018840753852411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13.5</v>
      </c>
      <c r="BY57" s="12">
        <f>IF('Données projet'!$A$114&gt;35,BY56+BX57-CG56,IF(A57&lt;'Données projet'!$A$114,$BV$205^A57,IF(A57='Données projet'!$A$114,'Données projet'!$B$114,BY56+BX57-CG56)))</f>
        <v>267.49999999999989</v>
      </c>
      <c r="BZ57" s="13">
        <f>BY57*VLOOKUP('Données projet'!$B$12,Paramètres!$A$1:$I$89,3,0)*VLOOKUP('Données projet'!$B$12,Paramètres!$A$1:$I$89,5,0)</f>
        <v>125.18999999999994</v>
      </c>
      <c r="CA57" s="13">
        <f t="shared" si="39"/>
        <v>32.882482546564304</v>
      </c>
      <c r="CB57" s="20">
        <f t="shared" si="10"/>
        <v>275.30957376859936</v>
      </c>
      <c r="CC57" s="59">
        <f t="shared" si="11"/>
        <v>568.64290710193268</v>
      </c>
      <c r="CD57" s="59">
        <f ca="1">AVERAGE(OFFSET($CC$3,0,0,'Données projet'!$E$12+1,1))-AVERAGE(OFFSET($H$3,0,0,'Données projet'!$E$12+1,1))</f>
        <v>226.0452828290525</v>
      </c>
      <c r="CE57" s="59">
        <f t="shared" si="40"/>
        <v>179.89696397462069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5.6426344526517953</v>
      </c>
      <c r="CL57" s="21">
        <f>EXP(-LN(2)/25)*CL56+(1-EXP(-LN(2)/25))/(LN(2)/25)*Calculateur!CG57*Calculateur!CI57*VLOOKUP('Données projet'!$B$12,Paramètres!$A$1:$I$89,3,0)*0.475*44/12</f>
        <v>5.7324132501241243</v>
      </c>
      <c r="CM57" s="21">
        <f>EXP(-LN(2)/2)*CM56+(1-EXP(-LN(2)/2))/(LN(2)/2)*CG57*CJ57*VLOOKUP('Données projet'!$B$12,Paramètres!$A$1:$I$89,3,0)*0.475*44/12</f>
        <v>2.6960763290035084E-3</v>
      </c>
      <c r="CN57" s="22">
        <f t="shared" si="12"/>
        <v>11.377743779104923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>
        <f>VLOOKUP(A57,'Données projet'!$A$139:$I$159,2,0)</f>
        <v>311</v>
      </c>
      <c r="CR57" s="12">
        <f>VLOOKUP(A57,'Données projet'!$A$139:$I$159,9,0)</f>
        <v>-256.625</v>
      </c>
      <c r="CS57" s="12">
        <f t="array" ref="CS57">INDEX(CR:CR,MIN(IF(ISNUMBER(CR57:CR253),ROW(CR57:CR253),"")))</f>
        <v>-256.625</v>
      </c>
      <c r="CT57" s="12">
        <f>IF('Données projet'!$A$140&gt;35,CT56+CS57-DB56,IF(A57&lt;'Données projet'!$A$140,$CQ$205^A57,IF(A57='Données projet'!$A$140,'Données projet'!$B$140,CT56+CS57-DB56)))</f>
        <v>311</v>
      </c>
      <c r="CU57" s="17">
        <f>CT57*VLOOKUP('Données projet'!$B$13,Paramètres!$A$1:$I$89,3,0)*VLOOKUP('Données projet'!$B$13,Paramètres!$A$1:$I$89,5,0)</f>
        <v>185.97800000000001</v>
      </c>
      <c r="CV57" s="13">
        <f t="shared" si="41"/>
        <v>46.649641523668571</v>
      </c>
      <c r="CW57" s="20">
        <f t="shared" si="13"/>
        <v>405.15980898705612</v>
      </c>
      <c r="CX57" s="59">
        <f t="shared" si="14"/>
        <v>698.49314232038944</v>
      </c>
      <c r="CY57" s="59">
        <f ca="1">AVERAGE(OFFSET($CX$3,0,0,'Données projet'!$E$13+1,1))-AVERAGE(OFFSET($H$3,0,0,'Données projet'!$E$13+1,1))</f>
        <v>482.74318690313885</v>
      </c>
      <c r="CZ57" s="59">
        <f t="shared" si="42"/>
        <v>205.57161411620217</v>
      </c>
      <c r="DA57" s="15">
        <f>IF(ISNA(VLOOKUP(A57,'Données projet'!$A$139:$I$159,3,0)),0,VLOOKUP(A57,'Données projet'!$A$139:$I$159,3,0))</f>
        <v>9</v>
      </c>
      <c r="DB57" s="15">
        <f>IF(ISNA(VLOOKUP(A57,'Données projet'!$A$139:$I$159,4,0)),0,VLOOKUP(A57,'Données projet'!$A$139:$I$159,4,0))</f>
        <v>16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7.1362156887729125</v>
      </c>
      <c r="DG57" s="21">
        <f>EXP(-LN(2)/25)*DG56+(1-EXP(-LN(2)/25))/(LN(2)/25)*Calculateur!DB57*Calculateur!DD57*VLOOKUP('Données projet'!$B$13,Paramètres!$A$1:$I$89,3,0)*0.475*44/12</f>
        <v>4.8460610324536928</v>
      </c>
      <c r="DH57" s="21">
        <f>EXP(-LN(2)/2)*DH56+(1-EXP(-LN(2)/2))/(LN(2)/2)*DB57*DE57*VLOOKUP('Données projet'!$B$13,Paramètres!$A$1:$I$89,3,0)*0.475*44/12</f>
        <v>1.1057120157222978E-3</v>
      </c>
      <c r="DI57" s="22">
        <f t="shared" si="15"/>
        <v>11.983382433242326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27.266666666666666</v>
      </c>
      <c r="DO57" s="12">
        <f>IF('Données projet'!$A$166&gt;35,DO56+DN57-DW56,IF(A57&lt;'Données projet'!$A$166,$DL$205^A57,IF(A57='Données projet'!$A$166,'Données projet'!$B$166,DO56+DN57-DW56)))</f>
        <v>238.06666666666672</v>
      </c>
      <c r="DP57" s="17">
        <f>DO57*VLOOKUP('Données projet'!$B$14,Paramètres!$A$1:$I$89,3,0)*VLOOKUP('Données projet'!$B$14,Paramètres!$A$1:$I$89,5,0)</f>
        <v>114.5100666666667</v>
      </c>
      <c r="DQ57" s="13">
        <f t="shared" si="43"/>
        <v>30.391093695871298</v>
      </c>
      <c r="DR57" s="20">
        <f t="shared" si="16"/>
        <v>252.36952096475366</v>
      </c>
      <c r="DS57" s="59">
        <f t="shared" si="17"/>
        <v>545.702854298087</v>
      </c>
      <c r="DT57" s="59">
        <f ca="1">AVERAGE(OFFSET($DS$3,0,0,'Données projet'!$E$14+1,1))-AVERAGE(OFFSET($H$3,0,0,'Données projet'!$E$14+1,1))</f>
        <v>247.11965163963526</v>
      </c>
      <c r="DU57" s="59">
        <f t="shared" si="44"/>
        <v>61.686311966192704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197</v>
      </c>
      <c r="L58" s="12">
        <f>VLOOKUP(A58,'Données projet'!$A$35:$I$55,9,0)</f>
        <v>8</v>
      </c>
      <c r="M58" s="12">
        <f t="array" ref="M58">INDEX(L:L,MIN(IF(ISNUMBER(L58:L254),ROW(L58:L254),"")))</f>
        <v>8</v>
      </c>
      <c r="N58" s="13">
        <f>IF('Données projet'!$A$36&gt;35,N57+M58-V57,IF(A58&lt;'Données projet'!$A$36,$K$205^A58,IF(A58='Données projet'!$A$36,'Données projet'!$B$36,N57+M58-V57)))</f>
        <v>197</v>
      </c>
      <c r="O58" s="13">
        <f>N58*VLOOKUP('Données projet'!$B$9,Paramètres!$A$1:$I$89,3,0)*VLOOKUP('Données projet'!$B$9,Paramètres!$A$1:$I$89,5,0)</f>
        <v>178.2456</v>
      </c>
      <c r="P58" s="13">
        <f t="shared" si="33"/>
        <v>44.931642269910427</v>
      </c>
      <c r="Q58" s="20">
        <f t="shared" si="53"/>
        <v>388.70036362009404</v>
      </c>
      <c r="R58" s="59">
        <f t="shared" si="0"/>
        <v>682.03369695342735</v>
      </c>
      <c r="S58" s="59">
        <f ca="1">AVERAGE(OFFSET($R$3,0,0,'Données projet'!$E$9+1,1))-AVERAGE(OFFSET($H$3,0,0,'Données projet'!$E$9+1,1))</f>
        <v>265.50419397354284</v>
      </c>
      <c r="T58" s="59">
        <f t="shared" si="34"/>
        <v>156.67965022779907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21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2.0314270947048159</v>
      </c>
      <c r="AA58" s="21">
        <f>EXP(-LN(2)/25)*AA57+(1-EXP(-LN(2)/25))/(LN(2)/25)*Calculateur!V58*Calculateur!X58*VLOOKUP('Données projet'!$B$9,Paramètres!$A$1:$I$89,3,0)*0.475*44/12</f>
        <v>2.0976608696492192</v>
      </c>
      <c r="AB58" s="21">
        <f>EXP(-LN(2)/2)*AB57+(1-EXP(-LN(2)/2))/(LN(2)/2)*V58*Y58*VLOOKUP('Données projet'!$B$9,Paramètres!$A$1:$I$89,3,0)*0.475*44/12</f>
        <v>1.0535340348291407E-3</v>
      </c>
      <c r="AC58" s="22">
        <f t="shared" si="3"/>
        <v>4.1301414983888645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197</v>
      </c>
      <c r="AG58" s="12">
        <f>VLOOKUP(A58,'Données projet'!$A$61:$I$81,9,0)</f>
        <v>8</v>
      </c>
      <c r="AH58" s="12">
        <f t="array" ref="AH58">INDEX(AG:AG,MIN(IF(ISNUMBER(AG58:AG254),ROW(AG58:AG254),"")))</f>
        <v>8</v>
      </c>
      <c r="AI58" s="13">
        <f>IF('Données projet'!$A$62&gt;35,AI57+AH58-AQ57,IF(A58&lt;'Données projet'!$A$62,$AF$205^A58,IF(A58='Données projet'!$A$62,'Données projet'!$B$62,AI57+AH58-AQ57)))</f>
        <v>197</v>
      </c>
      <c r="AJ58" s="13">
        <f>AI58*VLOOKUP('Données projet'!$B$10,Paramètres!$A$1:$I$89,3,0)*VLOOKUP('Données projet'!$B$10,Paramètres!$A$1:$I$89,5,0)</f>
        <v>199.75800000000004</v>
      </c>
      <c r="AK58" s="13">
        <f t="shared" si="35"/>
        <v>49.690979702964015</v>
      </c>
      <c r="AL58" s="20">
        <f t="shared" si="4"/>
        <v>434.45697298266236</v>
      </c>
      <c r="AM58" s="59">
        <f t="shared" si="5"/>
        <v>727.79030631599562</v>
      </c>
      <c r="AN58" s="59">
        <f ca="1">AVERAGE(OFFSET($AM$3,0,0,'Données projet'!$E$10+1,1))-AVERAGE(OFFSET($H$3,0,0,'Données projet'!$E$10+1,1))</f>
        <v>296.43642006376018</v>
      </c>
      <c r="AO58" s="59">
        <f t="shared" si="36"/>
        <v>179.56041631665812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21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2.2765993302726382</v>
      </c>
      <c r="AV58" s="21">
        <f>EXP(-LN(2)/25)*AV57+(1-EXP(-LN(2)/25))/(LN(2)/25)*Calculateur!AQ58*Calculateur!AS58*VLOOKUP('Données projet'!$B$10,Paramètres!$A$1:$I$89,3,0)*0.475*44/12</f>
        <v>2.3508268366758496</v>
      </c>
      <c r="AW58" s="21">
        <f>EXP(-LN(2)/2)*AW57+(1-EXP(-LN(2)/2))/(LN(2)/2)*AQ58*AT58*VLOOKUP('Données projet'!$B$10,Paramètres!$A$1:$I$89,3,0)*0.475*44/12</f>
        <v>1.1806846942050719E-3</v>
      </c>
      <c r="AX58" s="21">
        <f t="shared" si="6"/>
        <v>4.6286068516426928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9.375</v>
      </c>
      <c r="BD58" s="12">
        <f>IF('Données projet'!$A$88&gt;35,BD57+BC58-BL57,IF(A58&lt;'Données projet'!$A$88,$BA$205^A58,IF(A58='Données projet'!$A$88,'Données projet'!$B$88,BD57+BC58-BL57)))</f>
        <v>250.12499999999989</v>
      </c>
      <c r="BE58" s="13">
        <f>BD58*VLOOKUP('Données projet'!$B$11,Paramètres!$A$1:$I$89,3,0)*VLOOKUP('Données projet'!$B$11,Paramètres!$A$1:$I$89,5,0)</f>
        <v>167.78384999999992</v>
      </c>
      <c r="BF58" s="13">
        <f t="shared" si="37"/>
        <v>42.593301288598774</v>
      </c>
      <c r="BG58" s="20">
        <f t="shared" si="7"/>
        <v>366.40687182764276</v>
      </c>
      <c r="BH58" s="59">
        <f t="shared" si="8"/>
        <v>659.74020516097607</v>
      </c>
      <c r="BI58" s="59">
        <f ca="1">AVERAGE(OFFSET($BH$3,0,0,'Données projet'!$E$11+1,1))-AVERAGE(OFFSET($H$3,0,0,'Données projet'!$E$11+1,1))</f>
        <v>181.32837315090507</v>
      </c>
      <c r="BJ58" s="59">
        <f t="shared" si="38"/>
        <v>175.03267817980338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3.3380393869507272</v>
      </c>
      <c r="BQ58" s="21">
        <f>EXP(-LN(2)/25)*BQ57+(1-EXP(-LN(2)/25))/(LN(2)/25)*Calculateur!BL58*Calculateur!BN58*VLOOKUP('Données projet'!$B$11,Paramètres!$A$1:$I$89,3,0)*0.475*44/12</f>
        <v>3.4011988051853064</v>
      </c>
      <c r="BR58" s="21">
        <f>EXP(-LN(2)/2)*BR57+(1-EXP(-LN(2)/2))/(LN(2)/2)*BL58*BO58*VLOOKUP('Données projet'!$B$11,Paramètres!$A$1:$I$89,3,0)*0.475*44/12</f>
        <v>1.8314742124569107E-4</v>
      </c>
      <c r="BS58" s="22">
        <f t="shared" si="9"/>
        <v>6.7394213395572793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13.5</v>
      </c>
      <c r="BY58" s="12">
        <f>IF('Données projet'!$A$114&gt;35,BY57+BX58-CG57,IF(A58&lt;'Données projet'!$A$114,$BV$205^A58,IF(A58='Données projet'!$A$114,'Données projet'!$B$114,BY57+BX58-CG57)))</f>
        <v>280.99999999999989</v>
      </c>
      <c r="BZ58" s="13">
        <f>BY58*VLOOKUP('Données projet'!$B$12,Paramètres!$A$1:$I$89,3,0)*VLOOKUP('Données projet'!$B$12,Paramètres!$A$1:$I$89,5,0)</f>
        <v>131.50799999999995</v>
      </c>
      <c r="CA58" s="13">
        <f t="shared" si="39"/>
        <v>34.344579617082481</v>
      </c>
      <c r="CB58" s="20">
        <f t="shared" si="10"/>
        <v>288.85990949975189</v>
      </c>
      <c r="CC58" s="59">
        <f t="shared" si="11"/>
        <v>582.19324283308515</v>
      </c>
      <c r="CD58" s="59">
        <f ca="1">AVERAGE(OFFSET($CC$3,0,0,'Données projet'!$E$12+1,1))-AVERAGE(OFFSET($H$3,0,0,'Données projet'!$E$12+1,1))</f>
        <v>226.0452828290525</v>
      </c>
      <c r="CE58" s="59">
        <f t="shared" si="40"/>
        <v>179.89696397462069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5.5319858327024729</v>
      </c>
      <c r="CL58" s="21">
        <f>EXP(-LN(2)/25)*CL57+(1-EXP(-LN(2)/25))/(LN(2)/25)*Calculateur!CG58*Calculateur!CI58*VLOOKUP('Données projet'!$B$12,Paramètres!$A$1:$I$89,3,0)*0.475*44/12</f>
        <v>5.5756601083449686</v>
      </c>
      <c r="CM58" s="21">
        <f>EXP(-LN(2)/2)*CM57+(1-EXP(-LN(2)/2))/(LN(2)/2)*CG58*CJ58*VLOOKUP('Données projet'!$B$12,Paramètres!$A$1:$I$89,3,0)*0.475*44/12</f>
        <v>1.9064138548349143E-3</v>
      </c>
      <c r="CN58" s="22">
        <f t="shared" si="12"/>
        <v>11.109552354902275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2.625</v>
      </c>
      <c r="CT58" s="12">
        <f>IF('Données projet'!$A$140&gt;35,CT57+CS58-DB57,IF(A58&lt;'Données projet'!$A$140,$CQ$205^A58,IF(A58='Données projet'!$A$140,'Données projet'!$B$140,CT57+CS58-DB57)))</f>
        <v>297.625</v>
      </c>
      <c r="CU58" s="17">
        <f>CT58*VLOOKUP('Données projet'!$B$13,Paramètres!$A$1:$I$89,3,0)*VLOOKUP('Données projet'!$B$13,Paramètres!$A$1:$I$89,5,0)</f>
        <v>177.97975</v>
      </c>
      <c r="CV58" s="13">
        <f t="shared" si="41"/>
        <v>44.87242292972973</v>
      </c>
      <c r="CW58" s="20">
        <f t="shared" si="13"/>
        <v>388.13420118594587</v>
      </c>
      <c r="CX58" s="59">
        <f t="shared" si="14"/>
        <v>681.46753451927918</v>
      </c>
      <c r="CY58" s="59">
        <f ca="1">AVERAGE(OFFSET($CX$3,0,0,'Données projet'!$E$13+1,1))-AVERAGE(OFFSET($H$3,0,0,'Données projet'!$E$13+1,1))</f>
        <v>482.74318690313885</v>
      </c>
      <c r="CZ58" s="59">
        <f t="shared" si="42"/>
        <v>205.57161411620217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6.9962788517778565</v>
      </c>
      <c r="DG58" s="21">
        <f>EXP(-LN(2)/25)*DG57+(1-EXP(-LN(2)/25))/(LN(2)/25)*Calculateur!DB58*Calculateur!DD58*VLOOKUP('Données projet'!$B$13,Paramètres!$A$1:$I$89,3,0)*0.475*44/12</f>
        <v>4.7135452386779724</v>
      </c>
      <c r="DH58" s="21">
        <f>EXP(-LN(2)/2)*DH57+(1-EXP(-LN(2)/2))/(LN(2)/2)*DB58*DE58*VLOOKUP('Données projet'!$B$13,Paramètres!$A$1:$I$89,3,0)*0.475*44/12</f>
        <v>7.8185646435668325E-4</v>
      </c>
      <c r="DI58" s="22">
        <f t="shared" si="15"/>
        <v>11.710605946920186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27.266666666666666</v>
      </c>
      <c r="DO58" s="12">
        <f>IF('Données projet'!$A$166&gt;35,DO57+DN58-DW57,IF(A58&lt;'Données projet'!$A$166,$DL$205^A58,IF(A58='Données projet'!$A$166,'Données projet'!$B$166,DO57+DN58-DW57)))</f>
        <v>265.33333333333337</v>
      </c>
      <c r="DP58" s="17">
        <f>DO58*VLOOKUP('Données projet'!$B$14,Paramètres!$A$1:$I$89,3,0)*VLOOKUP('Données projet'!$B$14,Paramètres!$A$1:$I$89,5,0)</f>
        <v>127.62533333333336</v>
      </c>
      <c r="DQ58" s="13">
        <f t="shared" si="43"/>
        <v>33.447056232757319</v>
      </c>
      <c r="DR58" s="20">
        <f t="shared" si="16"/>
        <v>280.53441182760793</v>
      </c>
      <c r="DS58" s="59">
        <f t="shared" si="17"/>
        <v>573.86774516094124</v>
      </c>
      <c r="DT58" s="59">
        <f ca="1">AVERAGE(OFFSET($DS$3,0,0,'Données projet'!$E$14+1,1))-AVERAGE(OFFSET($H$3,0,0,'Données projet'!$E$14+1,1))</f>
        <v>247.11965163963526</v>
      </c>
      <c r="DU58" s="59">
        <f t="shared" si="44"/>
        <v>61.686311966192704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7.6</v>
      </c>
      <c r="N59" s="13">
        <f>IF('Données projet'!$A$36&gt;35,N58+M59-V58,IF(A59&lt;'Données projet'!$A$36,$K$205^A59,IF(A59='Données projet'!$A$36,'Données projet'!$B$36,N58+M59-V58)))</f>
        <v>183.6</v>
      </c>
      <c r="O59" s="13">
        <f>N59*VLOOKUP('Données projet'!$B$9,Paramètres!$A$1:$I$89,3,0)*VLOOKUP('Données projet'!$B$9,Paramètres!$A$1:$I$89,5,0)</f>
        <v>166.12127999999998</v>
      </c>
      <c r="P59" s="13">
        <f t="shared" si="33"/>
        <v>42.220155874487318</v>
      </c>
      <c r="Q59" s="20">
        <f t="shared" si="53"/>
        <v>362.8613341480654</v>
      </c>
      <c r="R59" s="59">
        <f t="shared" si="0"/>
        <v>656.19466748139871</v>
      </c>
      <c r="S59" s="59">
        <f ca="1">AVERAGE(OFFSET($R$3,0,0,'Données projet'!$E$9+1,1))-AVERAGE(OFFSET($H$3,0,0,'Données projet'!$E$9+1,1))</f>
        <v>265.50419397354284</v>
      </c>
      <c r="T59" s="59">
        <f t="shared" si="34"/>
        <v>156.67965022779907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1.9915920484258363</v>
      </c>
      <c r="AA59" s="21">
        <f>EXP(-LN(2)/25)*AA58+(1-EXP(-LN(2)/25))/(LN(2)/25)*Calculateur!V59*Calculateur!X59*VLOOKUP('Données projet'!$B$9,Paramètres!$A$1:$I$89,3,0)*0.475*44/12</f>
        <v>2.0403002228574705</v>
      </c>
      <c r="AB59" s="21">
        <f>EXP(-LN(2)/2)*AB58+(1-EXP(-LN(2)/2))/(LN(2)/2)*V59*Y59*VLOOKUP('Données projet'!$B$9,Paramètres!$A$1:$I$89,3,0)*0.475*44/12</f>
        <v>7.4496106023850975E-4</v>
      </c>
      <c r="AC59" s="22">
        <f t="shared" si="3"/>
        <v>4.0326372323435455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7.6</v>
      </c>
      <c r="AI59" s="13">
        <f>IF('Données projet'!$A$62&gt;35,AI58+AH59-AQ58,IF(A59&lt;'Données projet'!$A$62,$AF$205^A59,IF(A59='Données projet'!$A$62,'Données projet'!$B$62,AI58+AH59-AQ58)))</f>
        <v>183.6</v>
      </c>
      <c r="AJ59" s="13">
        <f>AI59*VLOOKUP('Données projet'!$B$10,Paramètres!$A$1:$I$89,3,0)*VLOOKUP('Données projet'!$B$10,Paramètres!$A$1:$I$89,5,0)</f>
        <v>186.1704</v>
      </c>
      <c r="AK59" s="13">
        <f t="shared" si="35"/>
        <v>46.692281933796018</v>
      </c>
      <c r="AL59" s="20">
        <f t="shared" si="4"/>
        <v>405.56917103469476</v>
      </c>
      <c r="AM59" s="59">
        <f t="shared" si="5"/>
        <v>698.90250436802808</v>
      </c>
      <c r="AN59" s="59">
        <f ca="1">AVERAGE(OFFSET($AM$3,0,0,'Données projet'!$E$10+1,1))-AVERAGE(OFFSET($H$3,0,0,'Données projet'!$E$10+1,1))</f>
        <v>296.43642006376018</v>
      </c>
      <c r="AO59" s="59">
        <f t="shared" si="36"/>
        <v>179.56041631665812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2.2319566059944713</v>
      </c>
      <c r="AV59" s="21">
        <f>EXP(-LN(2)/25)*AV58+(1-EXP(-LN(2)/25))/(LN(2)/25)*Calculateur!AQ59*Calculateur!AS59*VLOOKUP('Données projet'!$B$10,Paramètres!$A$1:$I$89,3,0)*0.475*44/12</f>
        <v>2.286543353202338</v>
      </c>
      <c r="AW59" s="21">
        <f>EXP(-LN(2)/2)*AW58+(1-EXP(-LN(2)/2))/(LN(2)/2)*AQ59*AT59*VLOOKUP('Données projet'!$B$10,Paramètres!$A$1:$I$89,3,0)*0.475*44/12</f>
        <v>8.3487015371557156E-4</v>
      </c>
      <c r="AX59" s="21">
        <f t="shared" si="6"/>
        <v>4.5193348293505249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9.375</v>
      </c>
      <c r="BD59" s="12">
        <f>IF('Données projet'!$A$88&gt;35,BD58+BC59-BL58,IF(A59&lt;'Données projet'!$A$88,$BA$205^A59,IF(A59='Données projet'!$A$88,'Données projet'!$B$88,BD58+BC59-BL58)))</f>
        <v>259.49999999999989</v>
      </c>
      <c r="BE59" s="13">
        <f>BD59*VLOOKUP('Données projet'!$B$11,Paramètres!$A$1:$I$89,3,0)*VLOOKUP('Données projet'!$B$11,Paramètres!$A$1:$I$89,5,0)</f>
        <v>174.07259999999994</v>
      </c>
      <c r="BF59" s="13">
        <f t="shared" si="37"/>
        <v>44.000889955583666</v>
      </c>
      <c r="BG59" s="20">
        <f t="shared" si="7"/>
        <v>379.81132833930809</v>
      </c>
      <c r="BH59" s="59">
        <f t="shared" si="8"/>
        <v>673.1446616726414</v>
      </c>
      <c r="BI59" s="59">
        <f ca="1">AVERAGE(OFFSET($BH$3,0,0,'Données projet'!$E$11+1,1))-AVERAGE(OFFSET($H$3,0,0,'Données projet'!$E$11+1,1))</f>
        <v>181.32837315090507</v>
      </c>
      <c r="BJ59" s="59">
        <f t="shared" si="38"/>
        <v>175.03267817980338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3.2725824705756108</v>
      </c>
      <c r="BQ59" s="21">
        <f>EXP(-LN(2)/25)*BQ58+(1-EXP(-LN(2)/25))/(LN(2)/25)*Calculateur!BL59*Calculateur!BN59*VLOOKUP('Données projet'!$B$11,Paramètres!$A$1:$I$89,3,0)*0.475*44/12</f>
        <v>3.3081928449962423</v>
      </c>
      <c r="BR59" s="21">
        <f>EXP(-LN(2)/2)*BR58+(1-EXP(-LN(2)/2))/(LN(2)/2)*BL59*BO59*VLOOKUP('Données projet'!$B$11,Paramètres!$A$1:$I$89,3,0)*0.475*44/12</f>
        <v>1.2950478351965732E-4</v>
      </c>
      <c r="BS59" s="22">
        <f t="shared" si="9"/>
        <v>6.5809048203553724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13.5</v>
      </c>
      <c r="BY59" s="12">
        <f>IF('Données projet'!$A$114&gt;35,BY58+BX59-CG58,IF(A59&lt;'Données projet'!$A$114,$BV$205^A59,IF(A59='Données projet'!$A$114,'Données projet'!$B$114,BY58+BX59-CG58)))</f>
        <v>294.49999999999989</v>
      </c>
      <c r="BZ59" s="13">
        <f>BY59*VLOOKUP('Données projet'!$B$12,Paramètres!$A$1:$I$89,3,0)*VLOOKUP('Données projet'!$B$12,Paramètres!$A$1:$I$89,5,0)</f>
        <v>137.82599999999994</v>
      </c>
      <c r="CA59" s="13">
        <f t="shared" si="39"/>
        <v>35.798519897115497</v>
      </c>
      <c r="CB59" s="20">
        <f t="shared" si="10"/>
        <v>302.39603882080934</v>
      </c>
      <c r="CC59" s="59">
        <f t="shared" si="11"/>
        <v>595.72937215414265</v>
      </c>
      <c r="CD59" s="59">
        <f ca="1">AVERAGE(OFFSET($CC$3,0,0,'Données projet'!$E$12+1,1))-AVERAGE(OFFSET($H$3,0,0,'Données projet'!$E$12+1,1))</f>
        <v>226.0452828290525</v>
      </c>
      <c r="CE59" s="59">
        <f t="shared" si="40"/>
        <v>179.89696397462069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5.423506964701363</v>
      </c>
      <c r="CL59" s="21">
        <f>EXP(-LN(2)/25)*CL58+(1-EXP(-LN(2)/25))/(LN(2)/25)*Calculateur!CG59*Calculateur!CI59*VLOOKUP('Données projet'!$B$12,Paramètres!$A$1:$I$89,3,0)*0.475*44/12</f>
        <v>5.423193389471054</v>
      </c>
      <c r="CM59" s="21">
        <f>EXP(-LN(2)/2)*CM58+(1-EXP(-LN(2)/2))/(LN(2)/2)*CG59*CJ59*VLOOKUP('Données projet'!$B$12,Paramètres!$A$1:$I$89,3,0)*0.475*44/12</f>
        <v>1.3480381645017544E-3</v>
      </c>
      <c r="CN59" s="22">
        <f t="shared" si="12"/>
        <v>10.848048392336917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2.625</v>
      </c>
      <c r="CT59" s="12">
        <f>IF('Données projet'!$A$140&gt;35,CT58+CS59-DB58,IF(A59&lt;'Données projet'!$A$140,$CQ$205^A59,IF(A59='Données projet'!$A$140,'Données projet'!$B$140,CT58+CS59-DB58)))</f>
        <v>300.25</v>
      </c>
      <c r="CU59" s="17">
        <f>CT59*VLOOKUP('Données projet'!$B$13,Paramètres!$A$1:$I$89,3,0)*VLOOKUP('Données projet'!$B$13,Paramètres!$A$1:$I$89,5,0)</f>
        <v>179.54950000000002</v>
      </c>
      <c r="CV59" s="13">
        <f t="shared" si="41"/>
        <v>45.221943603548368</v>
      </c>
      <c r="CW59" s="20">
        <f t="shared" si="13"/>
        <v>391.47693094284676</v>
      </c>
      <c r="CX59" s="59">
        <f t="shared" si="14"/>
        <v>684.81026427618008</v>
      </c>
      <c r="CY59" s="59">
        <f ca="1">AVERAGE(OFFSET($CX$3,0,0,'Données projet'!$E$13+1,1))-AVERAGE(OFFSET($H$3,0,0,'Données projet'!$E$13+1,1))</f>
        <v>482.74318690313885</v>
      </c>
      <c r="CZ59" s="59">
        <f t="shared" si="42"/>
        <v>205.57161411620217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6.8590860908032303</v>
      </c>
      <c r="DG59" s="21">
        <f>EXP(-LN(2)/25)*DG58+(1-EXP(-LN(2)/25))/(LN(2)/25)*Calculateur!DB59*Calculateur!DD59*VLOOKUP('Données projet'!$B$13,Paramètres!$A$1:$I$89,3,0)*0.475*44/12</f>
        <v>4.5846530962517518</v>
      </c>
      <c r="DH59" s="21">
        <f>EXP(-LN(2)/2)*DH58+(1-EXP(-LN(2)/2))/(LN(2)/2)*DB59*DE59*VLOOKUP('Données projet'!$B$13,Paramètres!$A$1:$I$89,3,0)*0.475*44/12</f>
        <v>5.5285600786114891E-4</v>
      </c>
      <c r="DI59" s="22">
        <f t="shared" si="15"/>
        <v>11.444292043062843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27.266666666666666</v>
      </c>
      <c r="DO59" s="12">
        <f>IF('Données projet'!$A$166&gt;35,DO58+DN59-DW58,IF(A59&lt;'Données projet'!$A$166,$DL$205^A59,IF(A59='Données projet'!$A$166,'Données projet'!$B$166,DO58+DN59-DW58)))</f>
        <v>292.60000000000002</v>
      </c>
      <c r="DP59" s="17">
        <f>DO59*VLOOKUP('Données projet'!$B$14,Paramètres!$A$1:$I$89,3,0)*VLOOKUP('Données projet'!$B$14,Paramètres!$A$1:$I$89,5,0)</f>
        <v>140.7406</v>
      </c>
      <c r="DQ59" s="13">
        <f t="shared" si="43"/>
        <v>36.466614422795139</v>
      </c>
      <c r="DR59" s="20">
        <f t="shared" si="16"/>
        <v>308.63589845303488</v>
      </c>
      <c r="DS59" s="59">
        <f t="shared" si="17"/>
        <v>601.96923178636825</v>
      </c>
      <c r="DT59" s="59">
        <f ca="1">AVERAGE(OFFSET($DS$3,0,0,'Données projet'!$E$14+1,1))-AVERAGE(OFFSET($H$3,0,0,'Données projet'!$E$14+1,1))</f>
        <v>247.11965163963526</v>
      </c>
      <c r="DU59" s="59">
        <f t="shared" si="44"/>
        <v>61.686311966192704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7.6</v>
      </c>
      <c r="N60" s="13">
        <f>IF('Données projet'!$A$36&gt;35,N59+M60-V59,IF(A60&lt;'Données projet'!$A$36,$K$205^A60,IF(A60='Données projet'!$A$36,'Données projet'!$B$36,N59+M60-V59)))</f>
        <v>191.2</v>
      </c>
      <c r="O60" s="13">
        <f>N60*VLOOKUP('Données projet'!$B$9,Paramètres!$A$1:$I$89,3,0)*VLOOKUP('Données projet'!$B$9,Paramètres!$A$1:$I$89,5,0)</f>
        <v>172.99775999999997</v>
      </c>
      <c r="P60" s="13">
        <f t="shared" si="33"/>
        <v>43.760737531919609</v>
      </c>
      <c r="Q60" s="20">
        <f t="shared" si="53"/>
        <v>377.52104986809326</v>
      </c>
      <c r="R60" s="59">
        <f t="shared" si="0"/>
        <v>670.85438320142657</v>
      </c>
      <c r="S60" s="59">
        <f ca="1">AVERAGE(OFFSET($R$3,0,0,'Données projet'!$E$9+1,1))-AVERAGE(OFFSET($H$3,0,0,'Données projet'!$E$9+1,1))</f>
        <v>265.50419397354284</v>
      </c>
      <c r="T60" s="59">
        <f t="shared" si="34"/>
        <v>156.67965022779907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1.9525381431074085</v>
      </c>
      <c r="AA60" s="21">
        <f>EXP(-LN(2)/25)*AA59+(1-EXP(-LN(2)/25))/(LN(2)/25)*Calculateur!V60*Calculateur!X60*VLOOKUP('Données projet'!$B$9,Paramètres!$A$1:$I$89,3,0)*0.475*44/12</f>
        <v>1.9845081059687073</v>
      </c>
      <c r="AB60" s="21">
        <f>EXP(-LN(2)/2)*AB59+(1-EXP(-LN(2)/2))/(LN(2)/2)*V60*Y60*VLOOKUP('Données projet'!$B$9,Paramètres!$A$1:$I$89,3,0)*0.475*44/12</f>
        <v>5.2676701741457036E-4</v>
      </c>
      <c r="AC60" s="22">
        <f t="shared" si="3"/>
        <v>3.9375730160935305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7.6</v>
      </c>
      <c r="AI60" s="13">
        <f>IF('Données projet'!$A$62&gt;35,AI59+AH60-AQ59,IF(A60&lt;'Données projet'!$A$62,$AF$205^A60,IF(A60='Données projet'!$A$62,'Données projet'!$B$62,AI59+AH60-AQ59)))</f>
        <v>191.2</v>
      </c>
      <c r="AJ60" s="13">
        <f>AI60*VLOOKUP('Données projet'!$B$10,Paramètres!$A$1:$I$89,3,0)*VLOOKUP('Données projet'!$B$10,Paramètres!$A$1:$I$89,5,0)</f>
        <v>193.8768</v>
      </c>
      <c r="AK60" s="13">
        <f t="shared" si="35"/>
        <v>48.396048099527611</v>
      </c>
      <c r="AL60" s="20">
        <f t="shared" si="4"/>
        <v>421.95854377334393</v>
      </c>
      <c r="AM60" s="59">
        <f t="shared" si="5"/>
        <v>715.29187710667725</v>
      </c>
      <c r="AN60" s="59">
        <f ca="1">AVERAGE(OFFSET($AM$3,0,0,'Données projet'!$E$10+1,1))-AVERAGE(OFFSET($H$3,0,0,'Données projet'!$E$10+1,1))</f>
        <v>296.43642006376018</v>
      </c>
      <c r="AO60" s="59">
        <f t="shared" si="36"/>
        <v>179.56041631665812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2.1881892983100264</v>
      </c>
      <c r="AV60" s="21">
        <f>EXP(-LN(2)/25)*AV59+(1-EXP(-LN(2)/25))/(LN(2)/25)*Calculateur!AQ60*Calculateur!AS60*VLOOKUP('Données projet'!$B$10,Paramètres!$A$1:$I$89,3,0)*0.475*44/12</f>
        <v>2.2240177049649312</v>
      </c>
      <c r="AW60" s="21">
        <f>EXP(-LN(2)/2)*AW59+(1-EXP(-LN(2)/2))/(LN(2)/2)*AQ60*AT60*VLOOKUP('Données projet'!$B$10,Paramètres!$A$1:$I$89,3,0)*0.475*44/12</f>
        <v>5.9034234710253594E-4</v>
      </c>
      <c r="AX60" s="21">
        <f t="shared" si="6"/>
        <v>4.4127973456220602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9.375</v>
      </c>
      <c r="BD60" s="12">
        <f>IF('Données projet'!$A$88&gt;35,BD59+BC60-BL59,IF(A60&lt;'Données projet'!$A$88,$BA$205^A60,IF(A60='Données projet'!$A$88,'Données projet'!$B$88,BD59+BC60-BL59)))</f>
        <v>268.87499999999989</v>
      </c>
      <c r="BE60" s="13">
        <f>BD60*VLOOKUP('Données projet'!$B$11,Paramètres!$A$1:$I$89,3,0)*VLOOKUP('Données projet'!$B$11,Paramètres!$A$1:$I$89,5,0)</f>
        <v>180.36134999999993</v>
      </c>
      <c r="BF60" s="13">
        <f t="shared" si="37"/>
        <v>45.402570498174285</v>
      </c>
      <c r="BG60" s="20">
        <f t="shared" si="7"/>
        <v>393.20549486765344</v>
      </c>
      <c r="BH60" s="59">
        <f t="shared" si="8"/>
        <v>686.5388282009867</v>
      </c>
      <c r="BI60" s="59">
        <f ca="1">AVERAGE(OFFSET($BH$3,0,0,'Données projet'!$E$11+1,1))-AVERAGE(OFFSET($H$3,0,0,'Données projet'!$E$11+1,1))</f>
        <v>181.32837315090507</v>
      </c>
      <c r="BJ60" s="59">
        <f t="shared" si="38"/>
        <v>175.03267817980338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3.2084091244058337</v>
      </c>
      <c r="BQ60" s="21">
        <f>EXP(-LN(2)/25)*BQ59+(1-EXP(-LN(2)/25))/(LN(2)/25)*Calculateur!BL60*Calculateur!BN60*VLOOKUP('Données projet'!$B$11,Paramètres!$A$1:$I$89,3,0)*0.475*44/12</f>
        <v>3.2177301376795193</v>
      </c>
      <c r="BR60" s="21">
        <f>EXP(-LN(2)/2)*BR59+(1-EXP(-LN(2)/2))/(LN(2)/2)*BL60*BO60*VLOOKUP('Données projet'!$B$11,Paramètres!$A$1:$I$89,3,0)*0.475*44/12</f>
        <v>9.1573710622845533E-5</v>
      </c>
      <c r="BS60" s="22">
        <f t="shared" si="9"/>
        <v>6.4262308357959759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13.5</v>
      </c>
      <c r="BY60" s="12">
        <f>IF('Données projet'!$A$114&gt;35,BY59+BX60-CG59,IF(A60&lt;'Données projet'!$A$114,$BV$205^A60,IF(A60='Données projet'!$A$114,'Données projet'!$B$114,BY59+BX60-CG59)))</f>
        <v>307.99999999999989</v>
      </c>
      <c r="BZ60" s="13">
        <f>BY60*VLOOKUP('Données projet'!$B$12,Paramètres!$A$1:$I$89,3,0)*VLOOKUP('Données projet'!$B$12,Paramètres!$A$1:$I$89,5,0)</f>
        <v>144.14399999999995</v>
      </c>
      <c r="CA60" s="13">
        <f t="shared" si="39"/>
        <v>37.244720006976216</v>
      </c>
      <c r="CB60" s="20">
        <f t="shared" si="10"/>
        <v>315.91868734548348</v>
      </c>
      <c r="CC60" s="59">
        <f t="shared" si="11"/>
        <v>609.25202067881673</v>
      </c>
      <c r="CD60" s="59">
        <f ca="1">AVERAGE(OFFSET($CC$3,0,0,'Données projet'!$E$12+1,1))-AVERAGE(OFFSET($H$3,0,0,'Données projet'!$E$12+1,1))</f>
        <v>226.0452828290525</v>
      </c>
      <c r="CE60" s="59">
        <f t="shared" si="40"/>
        <v>179.89696397462069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5.3171553011361787</v>
      </c>
      <c r="CL60" s="21">
        <f>EXP(-LN(2)/25)*CL59+(1-EXP(-LN(2)/25))/(LN(2)/25)*Calculateur!CG60*Calculateur!CI60*VLOOKUP('Données projet'!$B$12,Paramètres!$A$1:$I$89,3,0)*0.475*44/12</f>
        <v>5.2748958810426227</v>
      </c>
      <c r="CM60" s="21">
        <f>EXP(-LN(2)/2)*CM59+(1-EXP(-LN(2)/2))/(LN(2)/2)*CG60*CJ60*VLOOKUP('Données projet'!$B$12,Paramètres!$A$1:$I$89,3,0)*0.475*44/12</f>
        <v>9.5320692741745724E-4</v>
      </c>
      <c r="CN60" s="22">
        <f t="shared" si="12"/>
        <v>10.59300438910622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2.625</v>
      </c>
      <c r="CT60" s="12">
        <f>IF('Données projet'!$A$140&gt;35,CT59+CS60-DB59,IF(A60&lt;'Données projet'!$A$140,$CQ$205^A60,IF(A60='Données projet'!$A$140,'Données projet'!$B$140,CT59+CS60-DB59)))</f>
        <v>302.875</v>
      </c>
      <c r="CU60" s="17">
        <f>CT60*VLOOKUP('Données projet'!$B$13,Paramètres!$A$1:$I$89,3,0)*VLOOKUP('Données projet'!$B$13,Paramètres!$A$1:$I$89,5,0)</f>
        <v>181.11925000000002</v>
      </c>
      <c r="CV60" s="13">
        <f t="shared" si="41"/>
        <v>45.571108763102352</v>
      </c>
      <c r="CW60" s="20">
        <f t="shared" si="13"/>
        <v>394.81904151240332</v>
      </c>
      <c r="CX60" s="59">
        <f t="shared" si="14"/>
        <v>688.15237484573663</v>
      </c>
      <c r="CY60" s="59">
        <f ca="1">AVERAGE(OFFSET($CX$3,0,0,'Données projet'!$E$13+1,1))-AVERAGE(OFFSET($H$3,0,0,'Données projet'!$E$13+1,1))</f>
        <v>482.74318690313885</v>
      </c>
      <c r="CZ60" s="59">
        <f t="shared" si="42"/>
        <v>205.57161411620217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6.7245835961919953</v>
      </c>
      <c r="DG60" s="21">
        <f>EXP(-LN(2)/25)*DG59+(1-EXP(-LN(2)/25))/(LN(2)/25)*Calculateur!DB60*Calculateur!DD60*VLOOKUP('Données projet'!$B$13,Paramètres!$A$1:$I$89,3,0)*0.475*44/12</f>
        <v>4.45928551623832</v>
      </c>
      <c r="DH60" s="21">
        <f>EXP(-LN(2)/2)*DH59+(1-EXP(-LN(2)/2))/(LN(2)/2)*DB60*DE60*VLOOKUP('Données projet'!$B$13,Paramètres!$A$1:$I$89,3,0)*0.475*44/12</f>
        <v>3.9092823217834162E-4</v>
      </c>
      <c r="DI60" s="22">
        <f t="shared" si="15"/>
        <v>11.184260040662494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27.266666666666666</v>
      </c>
      <c r="DO60" s="12">
        <f>IF('Données projet'!$A$166&gt;35,DO59+DN60-DW59,IF(A60&lt;'Données projet'!$A$166,$DL$205^A60,IF(A60='Données projet'!$A$166,'Données projet'!$B$166,DO59+DN60-DW59)))</f>
        <v>319.86666666666667</v>
      </c>
      <c r="DP60" s="17">
        <f>DO60*VLOOKUP('Données projet'!$B$14,Paramètres!$A$1:$I$89,3,0)*VLOOKUP('Données projet'!$B$14,Paramètres!$A$1:$I$89,5,0)</f>
        <v>153.85586666666669</v>
      </c>
      <c r="DQ60" s="13">
        <f t="shared" si="43"/>
        <v>39.453546578661218</v>
      </c>
      <c r="DR60" s="20">
        <f t="shared" si="16"/>
        <v>336.68056140227941</v>
      </c>
      <c r="DS60" s="59">
        <f t="shared" si="17"/>
        <v>630.01389473561267</v>
      </c>
      <c r="DT60" s="59">
        <f ca="1">AVERAGE(OFFSET($DS$3,0,0,'Données projet'!$E$14+1,1))-AVERAGE(OFFSET($H$3,0,0,'Données projet'!$E$14+1,1))</f>
        <v>247.11965163963526</v>
      </c>
      <c r="DU60" s="59">
        <f t="shared" si="44"/>
        <v>61.686311966192704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7.6</v>
      </c>
      <c r="N61" s="13">
        <f>IF('Données projet'!$A$36&gt;35,N60+M61-V60,IF(A61&lt;'Données projet'!$A$36,$K$205^A61,IF(A61='Données projet'!$A$36,'Données projet'!$B$36,N60+M61-V60)))</f>
        <v>198.79999999999998</v>
      </c>
      <c r="O61" s="13">
        <f>N61*VLOOKUP('Données projet'!$B$9,Paramètres!$A$1:$I$89,3,0)*VLOOKUP('Données projet'!$B$9,Paramètres!$A$1:$I$89,5,0)</f>
        <v>179.87423999999999</v>
      </c>
      <c r="P61" s="13">
        <f t="shared" si="33"/>
        <v>45.294205745553846</v>
      </c>
      <c r="Q61" s="20">
        <f t="shared" si="53"/>
        <v>392.16837634017293</v>
      </c>
      <c r="R61" s="59">
        <f t="shared" si="0"/>
        <v>685.50170967350618</v>
      </c>
      <c r="S61" s="59">
        <f ca="1">AVERAGE(OFFSET($R$3,0,0,'Données projet'!$E$9+1,1))-AVERAGE(OFFSET($H$3,0,0,'Données projet'!$E$9+1,1))</f>
        <v>265.50419397354284</v>
      </c>
      <c r="T61" s="59">
        <f t="shared" si="34"/>
        <v>156.67965022779907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1.9142500610517448</v>
      </c>
      <c r="AA61" s="21">
        <f>EXP(-LN(2)/25)*AA60+(1-EXP(-LN(2)/25))/(LN(2)/25)*Calculateur!V61*Calculateur!X61*VLOOKUP('Données projet'!$B$9,Paramètres!$A$1:$I$89,3,0)*0.475*44/12</f>
        <v>1.9302416274502474</v>
      </c>
      <c r="AB61" s="21">
        <f>EXP(-LN(2)/2)*AB60+(1-EXP(-LN(2)/2))/(LN(2)/2)*V61*Y61*VLOOKUP('Données projet'!$B$9,Paramètres!$A$1:$I$89,3,0)*0.475*44/12</f>
        <v>3.7248053011925487E-4</v>
      </c>
      <c r="AC61" s="22">
        <f t="shared" si="3"/>
        <v>3.8448641690321113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7.6</v>
      </c>
      <c r="AI61" s="13">
        <f>IF('Données projet'!$A$62&gt;35,AI60+AH61-AQ60,IF(A61&lt;'Données projet'!$A$62,$AF$205^A61,IF(A61='Données projet'!$A$62,'Données projet'!$B$62,AI60+AH61-AQ60)))</f>
        <v>198.79999999999998</v>
      </c>
      <c r="AJ61" s="13">
        <f>AI61*VLOOKUP('Données projet'!$B$10,Paramètres!$A$1:$I$89,3,0)*VLOOKUP('Données projet'!$B$10,Paramètres!$A$1:$I$89,5,0)</f>
        <v>201.58320000000001</v>
      </c>
      <c r="AK61" s="13">
        <f t="shared" si="35"/>
        <v>50.091947337331924</v>
      </c>
      <c r="AL61" s="20">
        <f t="shared" si="4"/>
        <v>438.33421494585309</v>
      </c>
      <c r="AM61" s="59">
        <f t="shared" si="5"/>
        <v>731.66754827918635</v>
      </c>
      <c r="AN61" s="59">
        <f ca="1">AVERAGE(OFFSET($AM$3,0,0,'Données projet'!$E$10+1,1))-AVERAGE(OFFSET($H$3,0,0,'Données projet'!$E$10+1,1))</f>
        <v>296.43642006376018</v>
      </c>
      <c r="AO61" s="59">
        <f t="shared" si="36"/>
        <v>179.56041631665812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2.1452802408338516</v>
      </c>
      <c r="AV61" s="21">
        <f>EXP(-LN(2)/25)*AV60+(1-EXP(-LN(2)/25))/(LN(2)/25)*Calculateur!AQ61*Calculateur!AS61*VLOOKUP('Données projet'!$B$10,Paramètres!$A$1:$I$89,3,0)*0.475*44/12</f>
        <v>2.163201823866657</v>
      </c>
      <c r="AW61" s="21">
        <f>EXP(-LN(2)/2)*AW60+(1-EXP(-LN(2)/2))/(LN(2)/2)*AQ61*AT61*VLOOKUP('Données projet'!$B$10,Paramètres!$A$1:$I$89,3,0)*0.475*44/12</f>
        <v>4.1743507685778578E-4</v>
      </c>
      <c r="AX61" s="21">
        <f t="shared" si="6"/>
        <v>4.3088994997773664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9.375</v>
      </c>
      <c r="BD61" s="12">
        <f>IF('Données projet'!$A$88&gt;35,BD60+BC61-BL60,IF(A61&lt;'Données projet'!$A$88,$BA$205^A61,IF(A61='Données projet'!$A$88,'Données projet'!$B$88,BD60+BC61-BL60)))</f>
        <v>278.24999999999989</v>
      </c>
      <c r="BE61" s="13">
        <f>BD61*VLOOKUP('Données projet'!$B$11,Paramètres!$A$1:$I$89,3,0)*VLOOKUP('Données projet'!$B$11,Paramètres!$A$1:$I$89,5,0)</f>
        <v>186.65009999999992</v>
      </c>
      <c r="BF61" s="13">
        <f t="shared" si="37"/>
        <v>46.798572525002349</v>
      </c>
      <c r="BG61" s="20">
        <f t="shared" si="7"/>
        <v>406.58977131437899</v>
      </c>
      <c r="BH61" s="59">
        <f t="shared" si="8"/>
        <v>699.92310464771231</v>
      </c>
      <c r="BI61" s="59">
        <f ca="1">AVERAGE(OFFSET($BH$3,0,0,'Données projet'!$E$11+1,1))-AVERAGE(OFFSET($H$3,0,0,'Données projet'!$E$11+1,1))</f>
        <v>181.32837315090507</v>
      </c>
      <c r="BJ61" s="59">
        <f t="shared" si="38"/>
        <v>175.03267817980338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3.1454941784125698</v>
      </c>
      <c r="BQ61" s="21">
        <f>EXP(-LN(2)/25)*BQ60+(1-EXP(-LN(2)/25))/(LN(2)/25)*Calculateur!BL61*Calculateur!BN61*VLOOKUP('Données projet'!$B$11,Paramètres!$A$1:$I$89,3,0)*0.475*44/12</f>
        <v>3.1297411378515991</v>
      </c>
      <c r="BR61" s="21">
        <f>EXP(-LN(2)/2)*BR60+(1-EXP(-LN(2)/2))/(LN(2)/2)*BL61*BO61*VLOOKUP('Données projet'!$B$11,Paramètres!$A$1:$I$89,3,0)*0.475*44/12</f>
        <v>6.4752391759828658E-5</v>
      </c>
      <c r="BS61" s="22">
        <f t="shared" si="9"/>
        <v>6.2753000686559286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13.5</v>
      </c>
      <c r="BY61" s="12">
        <f>IF('Données projet'!$A$114&gt;35,BY60+BX61-CG60,IF(A61&lt;'Données projet'!$A$114,$BV$205^A61,IF(A61='Données projet'!$A$114,'Données projet'!$B$114,BY60+BX61-CG60)))</f>
        <v>321.49999999999989</v>
      </c>
      <c r="BZ61" s="13">
        <f>BY61*VLOOKUP('Données projet'!$B$12,Paramètres!$A$1:$I$89,3,0)*VLOOKUP('Données projet'!$B$12,Paramètres!$A$1:$I$89,5,0)</f>
        <v>150.46199999999993</v>
      </c>
      <c r="CA61" s="13">
        <f t="shared" si="39"/>
        <v>38.683557979918994</v>
      </c>
      <c r="CB61" s="20">
        <f t="shared" si="10"/>
        <v>329.42851348169211</v>
      </c>
      <c r="CC61" s="59">
        <f t="shared" si="11"/>
        <v>622.76184681502536</v>
      </c>
      <c r="CD61" s="59">
        <f ca="1">AVERAGE(OFFSET($CC$3,0,0,'Données projet'!$E$12+1,1))-AVERAGE(OFFSET($H$3,0,0,'Données projet'!$E$12+1,1))</f>
        <v>226.0452828290525</v>
      </c>
      <c r="CE61" s="59">
        <f t="shared" si="40"/>
        <v>179.89696397462069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5.212889128825398</v>
      </c>
      <c r="CL61" s="21">
        <f>EXP(-LN(2)/25)*CL60+(1-EXP(-LN(2)/25))/(LN(2)/25)*Calculateur!CG61*Calculateur!CI61*VLOOKUP('Données projet'!$B$12,Paramètres!$A$1:$I$89,3,0)*0.475*44/12</f>
        <v>5.1306535757807934</v>
      </c>
      <c r="CM61" s="21">
        <f>EXP(-LN(2)/2)*CM60+(1-EXP(-LN(2)/2))/(LN(2)/2)*CG61*CJ61*VLOOKUP('Données projet'!$B$12,Paramètres!$A$1:$I$89,3,0)*0.475*44/12</f>
        <v>6.7401908225087732E-4</v>
      </c>
      <c r="CN61" s="22">
        <f t="shared" si="12"/>
        <v>10.344216723688442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2.625</v>
      </c>
      <c r="CT61" s="12">
        <f>IF('Données projet'!$A$140&gt;35,CT60+CS61-DB60,IF(A61&lt;'Données projet'!$A$140,$CQ$205^A61,IF(A61='Données projet'!$A$140,'Données projet'!$B$140,CT60+CS61-DB60)))</f>
        <v>305.5</v>
      </c>
      <c r="CU61" s="17">
        <f>CT61*VLOOKUP('Données projet'!$B$13,Paramètres!$A$1:$I$89,3,0)*VLOOKUP('Données projet'!$B$13,Paramètres!$A$1:$I$89,5,0)</f>
        <v>182.68900000000002</v>
      </c>
      <c r="CV61" s="13">
        <f t="shared" si="41"/>
        <v>45.919921846619154</v>
      </c>
      <c r="CW61" s="20">
        <f t="shared" si="13"/>
        <v>398.16053888286166</v>
      </c>
      <c r="CX61" s="59">
        <f t="shared" si="14"/>
        <v>691.49387221619497</v>
      </c>
      <c r="CY61" s="59">
        <f ca="1">AVERAGE(OFFSET($CX$3,0,0,'Données projet'!$E$13+1,1))-AVERAGE(OFFSET($H$3,0,0,'Données projet'!$E$13+1,1))</f>
        <v>482.74318690313885</v>
      </c>
      <c r="CZ61" s="59">
        <f t="shared" si="42"/>
        <v>205.57161411620217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6.5927186134616651</v>
      </c>
      <c r="DG61" s="21">
        <f>EXP(-LN(2)/25)*DG60+(1-EXP(-LN(2)/25))/(LN(2)/25)*Calculateur!DB61*Calculateur!DD61*VLOOKUP('Données projet'!$B$13,Paramètres!$A$1:$I$89,3,0)*0.475*44/12</f>
        <v>4.3373461192931497</v>
      </c>
      <c r="DH61" s="21">
        <f>EXP(-LN(2)/2)*DH60+(1-EXP(-LN(2)/2))/(LN(2)/2)*DB61*DE61*VLOOKUP('Données projet'!$B$13,Paramètres!$A$1:$I$89,3,0)*0.475*44/12</f>
        <v>2.7642800393057446E-4</v>
      </c>
      <c r="DI61" s="22">
        <f t="shared" si="15"/>
        <v>10.930341160758745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27.266666666666666</v>
      </c>
      <c r="DO61" s="12">
        <f>IF('Données projet'!$A$166&gt;35,DO60+DN61-DW60,IF(A61&lt;'Données projet'!$A$166,$DL$205^A61,IF(A61='Données projet'!$A$166,'Données projet'!$B$166,DO60+DN61-DW60)))</f>
        <v>347.13333333333333</v>
      </c>
      <c r="DP61" s="17">
        <f>DO61*VLOOKUP('Données projet'!$B$14,Paramètres!$A$1:$I$89,3,0)*VLOOKUP('Données projet'!$B$14,Paramètres!$A$1:$I$89,5,0)</f>
        <v>166.97113333333334</v>
      </c>
      <c r="DQ61" s="13">
        <f t="shared" si="43"/>
        <v>42.410950075693997</v>
      </c>
      <c r="DR61" s="20">
        <f t="shared" si="16"/>
        <v>364.67379527072262</v>
      </c>
      <c r="DS61" s="59">
        <f t="shared" si="17"/>
        <v>658.00712860405588</v>
      </c>
      <c r="DT61" s="59">
        <f ca="1">AVERAGE(OFFSET($DS$3,0,0,'Données projet'!$E$14+1,1))-AVERAGE(OFFSET($H$3,0,0,'Données projet'!$E$14+1,1))</f>
        <v>247.11965163963526</v>
      </c>
      <c r="DU61" s="59">
        <f t="shared" si="44"/>
        <v>61.686311966192704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7.6</v>
      </c>
      <c r="N62" s="13">
        <f>IF('Données projet'!$A$36&gt;35,N61+M62-V61,IF(A62&lt;'Données projet'!$A$36,$K$205^A62,IF(A62='Données projet'!$A$36,'Données projet'!$B$36,N61+M62-V61)))</f>
        <v>206.39999999999998</v>
      </c>
      <c r="O62" s="13">
        <f>N62*VLOOKUP('Données projet'!$B$9,Paramètres!$A$1:$I$89,3,0)*VLOOKUP('Données projet'!$B$9,Paramètres!$A$1:$I$89,5,0)</f>
        <v>186.75071999999997</v>
      </c>
      <c r="P62" s="13">
        <f t="shared" si="33"/>
        <v>46.820863587839391</v>
      </c>
      <c r="Q62" s="20">
        <f t="shared" si="53"/>
        <v>406.80384141548689</v>
      </c>
      <c r="R62" s="59">
        <f t="shared" si="0"/>
        <v>700.13717474882014</v>
      </c>
      <c r="S62" s="59">
        <f ca="1">AVERAGE(OFFSET($R$3,0,0,'Données projet'!$E$9+1,1))-AVERAGE(OFFSET($H$3,0,0,'Données projet'!$E$9+1,1))</f>
        <v>265.50419397354284</v>
      </c>
      <c r="T62" s="59">
        <f t="shared" si="34"/>
        <v>156.67965022779907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1.8767127849317686</v>
      </c>
      <c r="AA62" s="21">
        <f>EXP(-LN(2)/25)*AA61+(1-EXP(-LN(2)/25))/(LN(2)/25)*Calculateur!V62*Calculateur!X62*VLOOKUP('Données projet'!$B$9,Paramètres!$A$1:$I$89,3,0)*0.475*44/12</f>
        <v>1.8774590686406247</v>
      </c>
      <c r="AB62" s="21">
        <f>EXP(-LN(2)/2)*AB61+(1-EXP(-LN(2)/2))/(LN(2)/2)*V62*Y62*VLOOKUP('Données projet'!$B$9,Paramètres!$A$1:$I$89,3,0)*0.475*44/12</f>
        <v>2.6338350870728518E-4</v>
      </c>
      <c r="AC62" s="22">
        <f t="shared" si="3"/>
        <v>3.7544352370811009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7.6</v>
      </c>
      <c r="AI62" s="13">
        <f>IF('Données projet'!$A$62&gt;35,AI61+AH62-AQ61,IF(A62&lt;'Données projet'!$A$62,$AF$205^A62,IF(A62='Données projet'!$A$62,'Données projet'!$B$62,AI61+AH62-AQ61)))</f>
        <v>206.39999999999998</v>
      </c>
      <c r="AJ62" s="13">
        <f>AI62*VLOOKUP('Données projet'!$B$10,Paramètres!$A$1:$I$89,3,0)*VLOOKUP('Données projet'!$B$10,Paramètres!$A$1:$I$89,5,0)</f>
        <v>209.28960000000001</v>
      </c>
      <c r="AK62" s="13">
        <f t="shared" si="35"/>
        <v>51.780314822292169</v>
      </c>
      <c r="AL62" s="20">
        <f t="shared" si="4"/>
        <v>454.69676831549214</v>
      </c>
      <c r="AM62" s="59">
        <f t="shared" si="5"/>
        <v>748.03010164882539</v>
      </c>
      <c r="AN62" s="59">
        <f ca="1">AVERAGE(OFFSET($AM$3,0,0,'Données projet'!$E$10+1,1))-AVERAGE(OFFSET($H$3,0,0,'Données projet'!$E$10+1,1))</f>
        <v>296.43642006376018</v>
      </c>
      <c r="AO62" s="59">
        <f t="shared" si="36"/>
        <v>179.56041631665812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2.1032126038028438</v>
      </c>
      <c r="AV62" s="21">
        <f>EXP(-LN(2)/25)*AV61+(1-EXP(-LN(2)/25))/(LN(2)/25)*Calculateur!AQ62*Calculateur!AS62*VLOOKUP('Données projet'!$B$10,Paramètres!$A$1:$I$89,3,0)*0.475*44/12</f>
        <v>2.1040489562351836</v>
      </c>
      <c r="AW62" s="21">
        <f>EXP(-LN(2)/2)*AW61+(1-EXP(-LN(2)/2))/(LN(2)/2)*AQ62*AT62*VLOOKUP('Données projet'!$B$10,Paramètres!$A$1:$I$89,3,0)*0.475*44/12</f>
        <v>2.9517117355126797E-4</v>
      </c>
      <c r="AX62" s="21">
        <f t="shared" si="6"/>
        <v>4.2075567312115787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9.375</v>
      </c>
      <c r="BD62" s="12">
        <f>IF('Données projet'!$A$88&gt;35,BD61+BC62-BL61,IF(A62&lt;'Données projet'!$A$88,$BA$205^A62,IF(A62='Données projet'!$A$88,'Données projet'!$B$88,BD61+BC62-BL61)))</f>
        <v>287.62499999999989</v>
      </c>
      <c r="BE62" s="13">
        <f>BD62*VLOOKUP('Données projet'!$B$11,Paramètres!$A$1:$I$89,3,0)*VLOOKUP('Données projet'!$B$11,Paramètres!$A$1:$I$89,5,0)</f>
        <v>192.93884999999992</v>
      </c>
      <c r="BF62" s="13">
        <f t="shared" si="37"/>
        <v>48.18910929458665</v>
      </c>
      <c r="BG62" s="20">
        <f t="shared" si="7"/>
        <v>419.96452910473823</v>
      </c>
      <c r="BH62" s="59">
        <f t="shared" si="8"/>
        <v>713.29786243807155</v>
      </c>
      <c r="BI62" s="59">
        <f ca="1">AVERAGE(OFFSET($BH$3,0,0,'Données projet'!$E$11+1,1))-AVERAGE(OFFSET($H$3,0,0,'Données projet'!$E$11+1,1))</f>
        <v>181.32837315090507</v>
      </c>
      <c r="BJ62" s="59">
        <f t="shared" si="38"/>
        <v>175.03267817980338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3.083812956135906</v>
      </c>
      <c r="BQ62" s="21">
        <f>EXP(-LN(2)/25)*BQ61+(1-EXP(-LN(2)/25))/(LN(2)/25)*Calculateur!BL62*Calculateur!BN62*VLOOKUP('Données projet'!$B$11,Paramètres!$A$1:$I$89,3,0)*0.475*44/12</f>
        <v>3.044158201851114</v>
      </c>
      <c r="BR62" s="21">
        <f>EXP(-LN(2)/2)*BR61+(1-EXP(-LN(2)/2))/(LN(2)/2)*BL62*BO62*VLOOKUP('Données projet'!$B$11,Paramètres!$A$1:$I$89,3,0)*0.475*44/12</f>
        <v>4.5786855311422767E-5</v>
      </c>
      <c r="BS62" s="22">
        <f t="shared" si="9"/>
        <v>6.1280169448423312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13.5</v>
      </c>
      <c r="BY62" s="12">
        <f>IF('Données projet'!$A$114&gt;35,BY61+BX62-CG61,IF(A62&lt;'Données projet'!$A$114,$BV$205^A62,IF(A62='Données projet'!$A$114,'Données projet'!$B$114,BY61+BX62-CG61)))</f>
        <v>334.99999999999989</v>
      </c>
      <c r="BZ62" s="13">
        <f>BY62*VLOOKUP('Données projet'!$B$12,Paramètres!$A$1:$I$89,3,0)*VLOOKUP('Données projet'!$B$12,Paramètres!$A$1:$I$89,5,0)</f>
        <v>156.77999999999994</v>
      </c>
      <c r="CA62" s="13">
        <f t="shared" si="39"/>
        <v>40.115378305457938</v>
      </c>
      <c r="CB62" s="20">
        <f t="shared" si="10"/>
        <v>342.92611721533916</v>
      </c>
      <c r="CC62" s="59">
        <f t="shared" si="11"/>
        <v>636.25945054867248</v>
      </c>
      <c r="CD62" s="59">
        <f ca="1">AVERAGE(OFFSET($CC$3,0,0,'Données projet'!$E$12+1,1))-AVERAGE(OFFSET($H$3,0,0,'Données projet'!$E$12+1,1))</f>
        <v>226.0452828290525</v>
      </c>
      <c r="CE62" s="59">
        <f t="shared" si="40"/>
        <v>179.89696397462069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5.1106675525575458</v>
      </c>
      <c r="CL62" s="21">
        <f>EXP(-LN(2)/25)*CL61+(1-EXP(-LN(2)/25))/(LN(2)/25)*Calculateur!CG62*Calculateur!CI62*VLOOKUP('Données projet'!$B$12,Paramètres!$A$1:$I$89,3,0)*0.475*44/12</f>
        <v>4.9903555839417226</v>
      </c>
      <c r="CM62" s="21">
        <f>EXP(-LN(2)/2)*CM61+(1-EXP(-LN(2)/2))/(LN(2)/2)*CG62*CJ62*VLOOKUP('Données projet'!$B$12,Paramètres!$A$1:$I$89,3,0)*0.475*44/12</f>
        <v>4.7660346370872873E-4</v>
      </c>
      <c r="CN62" s="22">
        <f t="shared" si="12"/>
        <v>10.101499739962977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2.625</v>
      </c>
      <c r="CT62" s="12">
        <f>IF('Données projet'!$A$140&gt;35,CT61+CS62-DB61,IF(A62&lt;'Données projet'!$A$140,$CQ$205^A62,IF(A62='Données projet'!$A$140,'Données projet'!$B$140,CT61+CS62-DB61)))</f>
        <v>308.125</v>
      </c>
      <c r="CU62" s="17">
        <f>CT62*VLOOKUP('Données projet'!$B$13,Paramètres!$A$1:$I$89,3,0)*VLOOKUP('Données projet'!$B$13,Paramètres!$A$1:$I$89,5,0)</f>
        <v>184.25875000000002</v>
      </c>
      <c r="CV62" s="13">
        <f t="shared" si="41"/>
        <v>46.26838622983076</v>
      </c>
      <c r="CW62" s="20">
        <f t="shared" si="13"/>
        <v>401.50142893362187</v>
      </c>
      <c r="CX62" s="59">
        <f t="shared" si="14"/>
        <v>694.83476226695518</v>
      </c>
      <c r="CY62" s="59">
        <f ca="1">AVERAGE(OFFSET($CX$3,0,0,'Données projet'!$E$13+1,1))-AVERAGE(OFFSET($H$3,0,0,'Données projet'!$E$13+1,1))</f>
        <v>482.74318690313885</v>
      </c>
      <c r="CZ62" s="59">
        <f t="shared" si="42"/>
        <v>205.57161411620217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6.4634394226129794</v>
      </c>
      <c r="DG62" s="21">
        <f>EXP(-LN(2)/25)*DG61+(1-EXP(-LN(2)/25))/(LN(2)/25)*Calculateur!DB62*Calculateur!DD62*VLOOKUP('Données projet'!$B$13,Paramètres!$A$1:$I$89,3,0)*0.475*44/12</f>
        <v>4.2187411615699597</v>
      </c>
      <c r="DH62" s="21">
        <f>EXP(-LN(2)/2)*DH61+(1-EXP(-LN(2)/2))/(LN(2)/2)*DB62*DE62*VLOOKUP('Données projet'!$B$13,Paramètres!$A$1:$I$89,3,0)*0.475*44/12</f>
        <v>1.9546411608917081E-4</v>
      </c>
      <c r="DI62" s="22">
        <f t="shared" si="15"/>
        <v>10.682376048299028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27.266666666666666</v>
      </c>
      <c r="DO62" s="12">
        <f>IF('Données projet'!$A$166&gt;35,DO61+DN62-DW61,IF(A62&lt;'Données projet'!$A$166,$DL$205^A62,IF(A62='Données projet'!$A$166,'Données projet'!$B$166,DO61+DN62-DW61)))</f>
        <v>374.4</v>
      </c>
      <c r="DP62" s="17">
        <f>DO62*VLOOKUP('Données projet'!$B$14,Paramètres!$A$1:$I$89,3,0)*VLOOKUP('Données projet'!$B$14,Paramètres!$A$1:$I$89,5,0)</f>
        <v>180.0864</v>
      </c>
      <c r="DQ62" s="13">
        <f t="shared" si="43"/>
        <v>45.341408037837176</v>
      </c>
      <c r="DR62" s="20">
        <f t="shared" si="16"/>
        <v>392.62009899923305</v>
      </c>
      <c r="DS62" s="59">
        <f t="shared" si="17"/>
        <v>685.95343233256631</v>
      </c>
      <c r="DT62" s="59">
        <f ca="1">AVERAGE(OFFSET($DS$3,0,0,'Données projet'!$E$14+1,1))-AVERAGE(OFFSET($H$3,0,0,'Données projet'!$E$14+1,1))</f>
        <v>247.11965163963526</v>
      </c>
      <c r="DU62" s="59">
        <f t="shared" si="44"/>
        <v>61.686311966192704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214</v>
      </c>
      <c r="L63" s="12">
        <f>VLOOKUP(A63,'Données projet'!$A$35:$I$55,9,0)</f>
        <v>7.6</v>
      </c>
      <c r="M63" s="12">
        <f t="array" ref="M63">INDEX(L:L,MIN(IF(ISNUMBER(L63:L259),ROW(L63:L259),"")))</f>
        <v>7.6</v>
      </c>
      <c r="N63" s="13">
        <f>IF('Données projet'!$A$36&gt;35,N62+M63-V62,IF(A63&lt;'Données projet'!$A$36,$K$205^A63,IF(A63='Données projet'!$A$36,'Données projet'!$B$36,N62+M63-V62)))</f>
        <v>213.99999999999997</v>
      </c>
      <c r="O63" s="13">
        <f>N63*VLOOKUP('Données projet'!$B$9,Paramètres!$A$1:$I$89,3,0)*VLOOKUP('Données projet'!$B$9,Paramètres!$A$1:$I$89,5,0)</f>
        <v>193.62719999999996</v>
      </c>
      <c r="P63" s="13">
        <f t="shared" si="33"/>
        <v>48.340990547231193</v>
      </c>
      <c r="Q63" s="20">
        <f t="shared" si="53"/>
        <v>421.42793186976087</v>
      </c>
      <c r="R63" s="59">
        <f t="shared" si="0"/>
        <v>714.76126520309413</v>
      </c>
      <c r="S63" s="59">
        <f ca="1">AVERAGE(OFFSET($R$3,0,0,'Données projet'!$E$9+1,1))-AVERAGE(OFFSET($H$3,0,0,'Données projet'!$E$9+1,1))</f>
        <v>265.50419397354284</v>
      </c>
      <c r="T63" s="59">
        <f t="shared" si="34"/>
        <v>156.67965022779907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21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1.8399115919010276</v>
      </c>
      <c r="AA63" s="21">
        <f>EXP(-LN(2)/25)*AA62+(1-EXP(-LN(2)/25))/(LN(2)/25)*Calculateur!V63*Calculateur!X63*VLOOKUP('Données projet'!$B$9,Paramètres!$A$1:$I$89,3,0)*0.475*44/12</f>
        <v>1.8261198516773653</v>
      </c>
      <c r="AB63" s="21">
        <f>EXP(-LN(2)/2)*AB62+(1-EXP(-LN(2)/2))/(LN(2)/2)*V63*Y63*VLOOKUP('Données projet'!$B$9,Paramètres!$A$1:$I$89,3,0)*0.475*44/12</f>
        <v>1.8624026505962744E-4</v>
      </c>
      <c r="AC63" s="22">
        <f t="shared" si="3"/>
        <v>3.6662176838434526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214</v>
      </c>
      <c r="AG63" s="12">
        <f>VLOOKUP(A63,'Données projet'!$A$61:$I$81,9,0)</f>
        <v>7.6</v>
      </c>
      <c r="AH63" s="12">
        <f t="array" ref="AH63">INDEX(AG:AG,MIN(IF(ISNUMBER(AG63:AG259),ROW(AG63:AG259),"")))</f>
        <v>7.6</v>
      </c>
      <c r="AI63" s="13">
        <f>IF('Données projet'!$A$62&gt;35,AI62+AH63-AQ62,IF(A63&lt;'Données projet'!$A$62,$AF$205^A63,IF(A63='Données projet'!$A$62,'Données projet'!$B$62,AI62+AH63-AQ62)))</f>
        <v>213.99999999999997</v>
      </c>
      <c r="AJ63" s="13">
        <f>AI63*VLOOKUP('Données projet'!$B$10,Paramètres!$A$1:$I$89,3,0)*VLOOKUP('Données projet'!$B$10,Paramètres!$A$1:$I$89,5,0)</f>
        <v>216.99600000000001</v>
      </c>
      <c r="AK63" s="13">
        <f t="shared" si="35"/>
        <v>53.461459647386917</v>
      </c>
      <c r="AL63" s="20">
        <f t="shared" si="4"/>
        <v>471.04674221919896</v>
      </c>
      <c r="AM63" s="59">
        <f t="shared" si="5"/>
        <v>764.38007555253228</v>
      </c>
      <c r="AN63" s="59">
        <f ca="1">AVERAGE(OFFSET($AM$3,0,0,'Données projet'!$E$10+1,1))-AVERAGE(OFFSET($H$3,0,0,'Données projet'!$E$10+1,1))</f>
        <v>296.43642006376018</v>
      </c>
      <c r="AO63" s="59">
        <f t="shared" si="36"/>
        <v>179.56041631665812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21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2.0619698874752892</v>
      </c>
      <c r="AV63" s="21">
        <f>EXP(-LN(2)/25)*AV62+(1-EXP(-LN(2)/25))/(LN(2)/25)*Calculateur!AQ63*Calculateur!AS63*VLOOKUP('Données projet'!$B$10,Paramètres!$A$1:$I$89,3,0)*0.475*44/12</f>
        <v>2.0465136268798068</v>
      </c>
      <c r="AW63" s="21">
        <f>EXP(-LN(2)/2)*AW62+(1-EXP(-LN(2)/2))/(LN(2)/2)*AQ63*AT63*VLOOKUP('Données projet'!$B$10,Paramètres!$A$1:$I$89,3,0)*0.475*44/12</f>
        <v>2.0871753842889289E-4</v>
      </c>
      <c r="AX63" s="21">
        <f t="shared" si="6"/>
        <v>4.1086922318935253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297</v>
      </c>
      <c r="BB63" s="12">
        <f>VLOOKUP(A63,'Données projet'!$A$87:$I$107,9,0)</f>
        <v>9.375</v>
      </c>
      <c r="BC63" s="12">
        <f t="array" ref="BC63">INDEX(BB:BB,MIN(IF(ISNUMBER(BB63:BB259),ROW(BB63:BB259),"")))</f>
        <v>9.375</v>
      </c>
      <c r="BD63" s="12">
        <f>IF('Données projet'!$A$88&gt;35,BD62+BC63-BL62,IF(A63&lt;'Données projet'!$A$88,$BA$205^A63,IF(A63='Données projet'!$A$88,'Données projet'!$B$88,BD62+BC63-BL62)))</f>
        <v>296.99999999999989</v>
      </c>
      <c r="BE63" s="13">
        <f>BD63*VLOOKUP('Données projet'!$B$11,Paramètres!$A$1:$I$89,3,0)*VLOOKUP('Données projet'!$B$11,Paramètres!$A$1:$I$89,5,0)</f>
        <v>199.22759999999994</v>
      </c>
      <c r="BF63" s="13">
        <f t="shared" si="37"/>
        <v>49.574379374190791</v>
      </c>
      <c r="BG63" s="20">
        <f t="shared" si="7"/>
        <v>433.33011407671552</v>
      </c>
      <c r="BH63" s="59">
        <f t="shared" si="8"/>
        <v>726.66344741004878</v>
      </c>
      <c r="BI63" s="59">
        <f ca="1">AVERAGE(OFFSET($BH$3,0,0,'Données projet'!$E$11+1,1))-AVERAGE(OFFSET($H$3,0,0,'Données projet'!$E$11+1,1))</f>
        <v>181.32837315090507</v>
      </c>
      <c r="BJ63" s="59">
        <f t="shared" si="38"/>
        <v>175.03267817980338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47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3.0233412650062568</v>
      </c>
      <c r="BQ63" s="21">
        <f>EXP(-LN(2)/25)*BQ62+(1-EXP(-LN(2)/25))/(LN(2)/25)*Calculateur!BL63*Calculateur!BN63*VLOOKUP('Données projet'!$B$11,Paramètres!$A$1:$I$89,3,0)*0.475*44/12</f>
        <v>2.9609155357361727</v>
      </c>
      <c r="BR63" s="21">
        <f>EXP(-LN(2)/2)*BR62+(1-EXP(-LN(2)/2))/(LN(2)/2)*BL63*BO63*VLOOKUP('Données projet'!$B$11,Paramètres!$A$1:$I$89,3,0)*0.475*44/12</f>
        <v>3.2376195879914329E-5</v>
      </c>
      <c r="BS63" s="22">
        <f t="shared" si="9"/>
        <v>5.9842891769383089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348.5</v>
      </c>
      <c r="BW63" s="12">
        <f>VLOOKUP(A63,'Données projet'!$A$113:$I$133,9,0)</f>
        <v>13.5</v>
      </c>
      <c r="BX63" s="12">
        <f t="array" ref="BX63">INDEX(BW:BW,MIN(IF(ISNUMBER(BW63:BW259),ROW(BW63:BW259),"")))</f>
        <v>13.5</v>
      </c>
      <c r="BY63" s="12">
        <f>IF('Données projet'!$A$114&gt;35,BY62+BX63-CG62,IF(A63&lt;'Données projet'!$A$114,$BV$205^A63,IF(A63='Données projet'!$A$114,'Données projet'!$B$114,BY62+BX63-CG62)))</f>
        <v>348.49999999999989</v>
      </c>
      <c r="BZ63" s="13">
        <f>BY63*VLOOKUP('Données projet'!$B$12,Paramètres!$A$1:$I$89,3,0)*VLOOKUP('Données projet'!$B$12,Paramètres!$A$1:$I$89,5,0)</f>
        <v>163.09799999999993</v>
      </c>
      <c r="CA63" s="13">
        <f t="shared" si="39"/>
        <v>41.540496136845142</v>
      </c>
      <c r="CB63" s="20">
        <f t="shared" si="10"/>
        <v>356.4120474383385</v>
      </c>
      <c r="CC63" s="59">
        <f t="shared" si="11"/>
        <v>649.74538077167176</v>
      </c>
      <c r="CD63" s="59">
        <f ca="1">AVERAGE(OFFSET($CC$3,0,0,'Données projet'!$E$12+1,1))-AVERAGE(OFFSET($H$3,0,0,'Données projet'!$E$12+1,1))</f>
        <v>226.0452828290525</v>
      </c>
      <c r="CE63" s="59">
        <f t="shared" si="40"/>
        <v>179.89696397462069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80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5.0104504790513014</v>
      </c>
      <c r="CL63" s="21">
        <f>EXP(-LN(2)/25)*CL62+(1-EXP(-LN(2)/25))/(LN(2)/25)*Calculateur!CG63*Calculateur!CI63*VLOOKUP('Données projet'!$B$12,Paramètres!$A$1:$I$89,3,0)*0.475*44/12</f>
        <v>4.853894048067442</v>
      </c>
      <c r="CM63" s="21">
        <f>EXP(-LN(2)/2)*CM62+(1-EXP(-LN(2)/2))/(LN(2)/2)*CG63*CJ63*VLOOKUP('Données projet'!$B$12,Paramètres!$A$1:$I$89,3,0)*0.475*44/12</f>
        <v>3.3700954112543871E-4</v>
      </c>
      <c r="CN63" s="22">
        <f t="shared" si="12"/>
        <v>9.8646815366598677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2.625</v>
      </c>
      <c r="CT63" s="12">
        <f>IF('Données projet'!$A$140&gt;35,CT62+CS63-DB62,IF(A63&lt;'Données projet'!$A$140,$CQ$205^A63,IF(A63='Données projet'!$A$140,'Données projet'!$B$140,CT62+CS63-DB62)))</f>
        <v>310.75</v>
      </c>
      <c r="CU63" s="17">
        <f>CT63*VLOOKUP('Données projet'!$B$13,Paramètres!$A$1:$I$89,3,0)*VLOOKUP('Données projet'!$B$13,Paramètres!$A$1:$I$89,5,0)</f>
        <v>185.82849999999999</v>
      </c>
      <c r="CV63" s="13">
        <f t="shared" si="41"/>
        <v>46.616505227631926</v>
      </c>
      <c r="CW63" s="20">
        <f t="shared" si="13"/>
        <v>404.84171743812561</v>
      </c>
      <c r="CX63" s="59">
        <f t="shared" si="14"/>
        <v>698.17505077145893</v>
      </c>
      <c r="CY63" s="59">
        <f ca="1">AVERAGE(OFFSET($CX$3,0,0,'Données projet'!$E$13+1,1))-AVERAGE(OFFSET($H$3,0,0,'Données projet'!$E$13+1,1))</f>
        <v>482.74318690313885</v>
      </c>
      <c r="CZ63" s="59">
        <f t="shared" si="42"/>
        <v>205.57161411620217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6.3366953178443159</v>
      </c>
      <c r="DG63" s="21">
        <f>EXP(-LN(2)/25)*DG62+(1-EXP(-LN(2)/25))/(LN(2)/25)*Calculateur!DB63*Calculateur!DD63*VLOOKUP('Données projet'!$B$13,Paramètres!$A$1:$I$89,3,0)*0.475*44/12</f>
        <v>4.1033794626528737</v>
      </c>
      <c r="DH63" s="21">
        <f>EXP(-LN(2)/2)*DH62+(1-EXP(-LN(2)/2))/(LN(2)/2)*DB63*DE63*VLOOKUP('Données projet'!$B$13,Paramètres!$A$1:$I$89,3,0)*0.475*44/12</f>
        <v>1.3821400196528723E-4</v>
      </c>
      <c r="DI63" s="22">
        <f t="shared" si="15"/>
        <v>10.440212994499156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27.266666666666666</v>
      </c>
      <c r="DO63" s="12">
        <f>IF('Données projet'!$A$166&gt;35,DO62+DN63-DW62,IF(A63&lt;'Données projet'!$A$166,$DL$205^A63,IF(A63='Données projet'!$A$166,'Données projet'!$B$166,DO62+DN63-DW62)))</f>
        <v>401.66666666666663</v>
      </c>
      <c r="DP63" s="17">
        <f>DO63*VLOOKUP('Données projet'!$B$14,Paramètres!$A$1:$I$89,3,0)*VLOOKUP('Données projet'!$B$14,Paramètres!$A$1:$I$89,5,0)</f>
        <v>193.20166666666665</v>
      </c>
      <c r="DQ63" s="13">
        <f t="shared" si="43"/>
        <v>48.247106011446689</v>
      </c>
      <c r="DR63" s="20">
        <f t="shared" si="16"/>
        <v>420.52327908104741</v>
      </c>
      <c r="DS63" s="59">
        <f t="shared" si="17"/>
        <v>713.85661241438072</v>
      </c>
      <c r="DT63" s="59">
        <f ca="1">AVERAGE(OFFSET($DS$3,0,0,'Données projet'!$E$14+1,1))-AVERAGE(OFFSET($H$3,0,0,'Données projet'!$E$14+1,1))</f>
        <v>247.11965163963526</v>
      </c>
      <c r="DU63" s="59">
        <f t="shared" si="44"/>
        <v>61.686311966192704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0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7.2</v>
      </c>
      <c r="N64" s="13">
        <f>IF('Données projet'!$A$36&gt;35,N63+M64-V63,IF(A64&lt;'Données projet'!$A$36,$K$205^A64,IF(A64='Données projet'!$A$36,'Données projet'!$B$36,N63+M64-V63)))</f>
        <v>200.19999999999996</v>
      </c>
      <c r="O64" s="13">
        <f>N64*VLOOKUP('Données projet'!$B$9,Paramètres!$A$1:$I$89,3,0)*VLOOKUP('Données projet'!$B$9,Paramètres!$A$1:$I$89,5,0)</f>
        <v>181.14095999999995</v>
      </c>
      <c r="P64" s="13">
        <f t="shared" si="33"/>
        <v>45.575935320610945</v>
      </c>
      <c r="Q64" s="20">
        <f t="shared" si="53"/>
        <v>394.86525935006392</v>
      </c>
      <c r="R64" s="59">
        <f t="shared" si="0"/>
        <v>688.19859268339724</v>
      </c>
      <c r="S64" s="59">
        <f ca="1">AVERAGE(OFFSET($R$3,0,0,'Données projet'!$E$9+1,1))-AVERAGE(OFFSET($H$3,0,0,'Données projet'!$E$9+1,1))</f>
        <v>265.50419397354284</v>
      </c>
      <c r="T64" s="59">
        <f t="shared" si="34"/>
        <v>156.67965022779907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1.8038320478191079</v>
      </c>
      <c r="AA64" s="21">
        <f>EXP(-LN(2)/25)*AA63+(1-EXP(-LN(2)/25))/(LN(2)/25)*Calculateur!V64*Calculateur!X64*VLOOKUP('Données projet'!$B$9,Paramètres!$A$1:$I$89,3,0)*0.475*44/12</f>
        <v>1.7761845083017784</v>
      </c>
      <c r="AB64" s="21">
        <f>EXP(-LN(2)/2)*AB63+(1-EXP(-LN(2)/2))/(LN(2)/2)*V64*Y64*VLOOKUP('Données projet'!$B$9,Paramètres!$A$1:$I$89,3,0)*0.475*44/12</f>
        <v>1.3169175435364259E-4</v>
      </c>
      <c r="AC64" s="22">
        <f t="shared" si="3"/>
        <v>3.5801482478752398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7.2</v>
      </c>
      <c r="AI64" s="13">
        <f>IF('Données projet'!$A$62&gt;35,AI63+AH64-AQ63,IF(A64&lt;'Données projet'!$A$62,$AF$205^A64,IF(A64='Données projet'!$A$62,'Données projet'!$B$62,AI63+AH64-AQ63)))</f>
        <v>200.19999999999996</v>
      </c>
      <c r="AJ64" s="13">
        <f>AI64*VLOOKUP('Données projet'!$B$10,Paramètres!$A$1:$I$89,3,0)*VLOOKUP('Données projet'!$B$10,Paramètres!$A$1:$I$89,5,0)</f>
        <v>203.00279999999995</v>
      </c>
      <c r="AK64" s="13">
        <f t="shared" si="35"/>
        <v>50.403518824343074</v>
      </c>
      <c r="AL64" s="20">
        <f t="shared" si="4"/>
        <v>441.3493386190641</v>
      </c>
      <c r="AM64" s="59">
        <f t="shared" si="5"/>
        <v>734.68267195239741</v>
      </c>
      <c r="AN64" s="59">
        <f ca="1">AVERAGE(OFFSET($AM$3,0,0,'Données projet'!$E$10+1,1))-AVERAGE(OFFSET($H$3,0,0,'Données projet'!$E$10+1,1))</f>
        <v>296.43642006376018</v>
      </c>
      <c r="AO64" s="59">
        <f t="shared" si="36"/>
        <v>179.56041631665812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2.0215359156593449</v>
      </c>
      <c r="AV64" s="21">
        <f>EXP(-LN(2)/25)*AV63+(1-EXP(-LN(2)/25))/(LN(2)/25)*Calculateur!AQ64*Calculateur!AS64*VLOOKUP('Données projet'!$B$10,Paramètres!$A$1:$I$89,3,0)*0.475*44/12</f>
        <v>1.9905516041313043</v>
      </c>
      <c r="AW64" s="21">
        <f>EXP(-LN(2)/2)*AW63+(1-EXP(-LN(2)/2))/(LN(2)/2)*AQ64*AT64*VLOOKUP('Données projet'!$B$10,Paramètres!$A$1:$I$89,3,0)*0.475*44/12</f>
        <v>1.4758558677563399E-4</v>
      </c>
      <c r="AX64" s="21">
        <f t="shared" si="6"/>
        <v>4.0122351053774246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8.6666666666666661</v>
      </c>
      <c r="BD64" s="12">
        <f>IF('Données projet'!$A$88&gt;35,BD63+BC64-BL63,IF(A64&lt;'Données projet'!$A$88,$BA$205^A64,IF(A64='Données projet'!$A$88,'Données projet'!$B$88,BD63+BC64-BL63)))</f>
        <v>258.66666666666657</v>
      </c>
      <c r="BE64" s="13">
        <f>BD64*VLOOKUP('Données projet'!$B$11,Paramètres!$A$1:$I$89,3,0)*VLOOKUP('Données projet'!$B$11,Paramètres!$A$1:$I$89,5,0)</f>
        <v>173.51359999999994</v>
      </c>
      <c r="BF64" s="13">
        <f t="shared" si="37"/>
        <v>43.876013714412544</v>
      </c>
      <c r="BG64" s="20">
        <f t="shared" si="7"/>
        <v>378.62024388593505</v>
      </c>
      <c r="BH64" s="59">
        <f t="shared" si="8"/>
        <v>671.95357721926837</v>
      </c>
      <c r="BI64" s="59">
        <f ca="1">AVERAGE(OFFSET($BH$3,0,0,'Données projet'!$E$11+1,1))-AVERAGE(OFFSET($H$3,0,0,'Données projet'!$E$11+1,1))</f>
        <v>181.32837315090507</v>
      </c>
      <c r="BJ64" s="59">
        <f t="shared" si="38"/>
        <v>175.03267817980338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2.9640553868555704</v>
      </c>
      <c r="BQ64" s="21">
        <f>EXP(-LN(2)/25)*BQ63+(1-EXP(-LN(2)/25))/(LN(2)/25)*Calculateur!BL64*Calculateur!BN64*VLOOKUP('Données projet'!$B$11,Paramètres!$A$1:$I$89,3,0)*0.475*44/12</f>
        <v>2.8799491447036862</v>
      </c>
      <c r="BR64" s="21">
        <f>EXP(-LN(2)/2)*BR63+(1-EXP(-LN(2)/2))/(LN(2)/2)*BL64*BO64*VLOOKUP('Données projet'!$B$11,Paramètres!$A$1:$I$89,3,0)*0.475*44/12</f>
        <v>2.2893427655711383E-5</v>
      </c>
      <c r="BS64" s="22">
        <f t="shared" si="9"/>
        <v>5.8440274249869129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15.5</v>
      </c>
      <c r="BY64" s="12">
        <f>IF('Données projet'!$A$114&gt;35,BY63+BX64-CG63,IF(A64&lt;'Données projet'!$A$114,$BV$205^A64,IF(A64='Données projet'!$A$114,'Données projet'!$B$114,BY63+BX64-CG63)))</f>
        <v>283.99999999999989</v>
      </c>
      <c r="BZ64" s="13">
        <f>BY64*VLOOKUP('Données projet'!$B$12,Paramètres!$A$1:$I$89,3,0)*VLOOKUP('Données projet'!$B$12,Paramètres!$A$1:$I$89,5,0)</f>
        <v>132.91199999999995</v>
      </c>
      <c r="CA64" s="13">
        <f t="shared" si="39"/>
        <v>34.668367043546574</v>
      </c>
      <c r="CB64" s="20">
        <f t="shared" si="10"/>
        <v>291.86913926751021</v>
      </c>
      <c r="CC64" s="59">
        <f t="shared" si="11"/>
        <v>585.20247260084352</v>
      </c>
      <c r="CD64" s="59">
        <f ca="1">AVERAGE(OFFSET($CC$3,0,0,'Données projet'!$E$12+1,1))-AVERAGE(OFFSET($H$3,0,0,'Données projet'!$E$12+1,1))</f>
        <v>226.0452828290525</v>
      </c>
      <c r="CE64" s="59">
        <f t="shared" si="40"/>
        <v>179.89696397462069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4.9121986012301351</v>
      </c>
      <c r="CL64" s="21">
        <f>EXP(-LN(2)/25)*CL63+(1-EXP(-LN(2)/25))/(LN(2)/25)*Calculateur!CG64*Calculateur!CI64*VLOOKUP('Données projet'!$B$12,Paramètres!$A$1:$I$89,3,0)*0.475*44/12</f>
        <v>4.7211640600678431</v>
      </c>
      <c r="CM64" s="21">
        <f>EXP(-LN(2)/2)*CM63+(1-EXP(-LN(2)/2))/(LN(2)/2)*CG64*CJ64*VLOOKUP('Données projet'!$B$12,Paramètres!$A$1:$I$89,3,0)*0.475*44/12</f>
        <v>2.3830173185436439E-4</v>
      </c>
      <c r="CN64" s="22">
        <f t="shared" si="12"/>
        <v>9.6336009630298332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2.625</v>
      </c>
      <c r="CT64" s="12">
        <f>IF('Données projet'!$A$140&gt;35,CT63+CS64-DB63,IF(A64&lt;'Données projet'!$A$140,$CQ$205^A64,IF(A64='Données projet'!$A$140,'Données projet'!$B$140,CT63+CS64-DB63)))</f>
        <v>313.375</v>
      </c>
      <c r="CU64" s="17">
        <f>CT64*VLOOKUP('Données projet'!$B$13,Paramètres!$A$1:$I$89,3,0)*VLOOKUP('Données projet'!$B$13,Paramètres!$A$1:$I$89,5,0)</f>
        <v>187.39825000000002</v>
      </c>
      <c r="CV64" s="13">
        <f t="shared" si="41"/>
        <v>46.964282095681376</v>
      </c>
      <c r="CW64" s="20">
        <f t="shared" si="13"/>
        <v>408.18141006664501</v>
      </c>
      <c r="CX64" s="59">
        <f t="shared" si="14"/>
        <v>701.51474339997833</v>
      </c>
      <c r="CY64" s="59">
        <f ca="1">AVERAGE(OFFSET($CX$3,0,0,'Données projet'!$E$13+1,1))-AVERAGE(OFFSET($H$3,0,0,'Données projet'!$E$13+1,1))</f>
        <v>482.74318690313885</v>
      </c>
      <c r="CZ64" s="59">
        <f t="shared" si="42"/>
        <v>205.57161411620217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6.2124365876638956</v>
      </c>
      <c r="DG64" s="21">
        <f>EXP(-LN(2)/25)*DG63+(1-EXP(-LN(2)/25))/(LN(2)/25)*Calculateur!DB64*Calculateur!DD64*VLOOKUP('Données projet'!$B$13,Paramètres!$A$1:$I$89,3,0)*0.475*44/12</f>
        <v>3.9911723354592832</v>
      </c>
      <c r="DH64" s="21">
        <f>EXP(-LN(2)/2)*DH63+(1-EXP(-LN(2)/2))/(LN(2)/2)*DB64*DE64*VLOOKUP('Données projet'!$B$13,Paramètres!$A$1:$I$89,3,0)*0.475*44/12</f>
        <v>9.7732058044585406E-5</v>
      </c>
      <c r="DI64" s="22">
        <f t="shared" si="15"/>
        <v>10.203706655181223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27.266666666666666</v>
      </c>
      <c r="DO64" s="12">
        <f>IF('Données projet'!$A$166&gt;35,DO63+DN64-DW63,IF(A64&lt;'Données projet'!$A$166,$DL$205^A64,IF(A64='Données projet'!$A$166,'Données projet'!$B$166,DO63+DN64-DW63)))</f>
        <v>428.93333333333328</v>
      </c>
      <c r="DP64" s="17">
        <f>DO64*VLOOKUP('Données projet'!$B$14,Paramètres!$A$1:$I$89,3,0)*VLOOKUP('Données projet'!$B$14,Paramètres!$A$1:$I$89,5,0)</f>
        <v>206.31693333333331</v>
      </c>
      <c r="DQ64" s="13">
        <f t="shared" si="43"/>
        <v>51.129916023246061</v>
      </c>
      <c r="DR64" s="20">
        <f t="shared" si="16"/>
        <v>448.38659596270901</v>
      </c>
      <c r="DS64" s="59">
        <f t="shared" si="17"/>
        <v>741.71992929604232</v>
      </c>
      <c r="DT64" s="59">
        <f ca="1">AVERAGE(OFFSET($DS$3,0,0,'Données projet'!$E$14+1,1))-AVERAGE(OFFSET($H$3,0,0,'Données projet'!$E$14+1,1))</f>
        <v>247.11965163963526</v>
      </c>
      <c r="DU64" s="59">
        <f t="shared" si="44"/>
        <v>61.686311966192704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0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7.2</v>
      </c>
      <c r="N65" s="13">
        <f>IF('Données projet'!$A$36&gt;35,N64+M65-V64,IF(A65&lt;'Données projet'!$A$36,$K$205^A65,IF(A65='Données projet'!$A$36,'Données projet'!$B$36,N64+M65-V64)))</f>
        <v>207.39999999999995</v>
      </c>
      <c r="O65" s="13">
        <f>N65*VLOOKUP('Données projet'!$B$9,Paramètres!$A$1:$I$89,3,0)*VLOOKUP('Données projet'!$B$9,Paramètres!$A$1:$I$89,5,0)</f>
        <v>187.65551999999994</v>
      </c>
      <c r="P65" s="13">
        <f t="shared" si="33"/>
        <v>47.021247649900147</v>
      </c>
      <c r="Q65" s="20">
        <f t="shared" si="53"/>
        <v>408.72870365690932</v>
      </c>
      <c r="R65" s="59">
        <f t="shared" si="0"/>
        <v>702.06203699024263</v>
      </c>
      <c r="S65" s="59">
        <f ca="1">AVERAGE(OFFSET($R$3,0,0,'Données projet'!$E$9+1,1))-AVERAGE(OFFSET($H$3,0,0,'Données projet'!$E$9+1,1))</f>
        <v>265.50419397354284</v>
      </c>
      <c r="T65" s="59">
        <f t="shared" si="34"/>
        <v>156.67965022779907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1.7684600015902858</v>
      </c>
      <c r="AA65" s="21">
        <f>EXP(-LN(2)/25)*AA64+(1-EXP(-LN(2)/25))/(LN(2)/25)*Calculateur!V65*Calculateur!X65*VLOOKUP('Données projet'!$B$9,Paramètres!$A$1:$I$89,3,0)*0.475*44/12</f>
        <v>1.7276146495167826</v>
      </c>
      <c r="AB65" s="21">
        <f>EXP(-LN(2)/2)*AB64+(1-EXP(-LN(2)/2))/(LN(2)/2)*V65*Y65*VLOOKUP('Données projet'!$B$9,Paramètres!$A$1:$I$89,3,0)*0.475*44/12</f>
        <v>9.3120132529813719E-5</v>
      </c>
      <c r="AC65" s="22">
        <f t="shared" si="3"/>
        <v>3.4961677712395982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7.2</v>
      </c>
      <c r="AI65" s="13">
        <f>IF('Données projet'!$A$62&gt;35,AI64+AH65-AQ64,IF(A65&lt;'Données projet'!$A$62,$AF$205^A65,IF(A65='Données projet'!$A$62,'Données projet'!$B$62,AI64+AH65-AQ64)))</f>
        <v>207.39999999999995</v>
      </c>
      <c r="AJ65" s="13">
        <f>AI65*VLOOKUP('Données projet'!$B$10,Paramètres!$A$1:$I$89,3,0)*VLOOKUP('Données projet'!$B$10,Paramètres!$A$1:$I$89,5,0)</f>
        <v>210.30359999999996</v>
      </c>
      <c r="AK65" s="13">
        <f t="shared" si="35"/>
        <v>52.001924357524459</v>
      </c>
      <c r="AL65" s="20">
        <f t="shared" si="4"/>
        <v>456.84878825602163</v>
      </c>
      <c r="AM65" s="59">
        <f t="shared" si="5"/>
        <v>750.18212158935489</v>
      </c>
      <c r="AN65" s="59">
        <f ca="1">AVERAGE(OFFSET($AM$3,0,0,'Données projet'!$E$10+1,1))-AVERAGE(OFFSET($H$3,0,0,'Données projet'!$E$10+1,1))</f>
        <v>296.43642006376018</v>
      </c>
      <c r="AO65" s="59">
        <f t="shared" si="36"/>
        <v>179.56041631665812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1.9818948293684235</v>
      </c>
      <c r="AV65" s="21">
        <f>EXP(-LN(2)/25)*AV64+(1-EXP(-LN(2)/25))/(LN(2)/25)*Calculateur!AQ65*Calculateur!AS65*VLOOKUP('Données projet'!$B$10,Paramètres!$A$1:$I$89,3,0)*0.475*44/12</f>
        <v>1.9361198658377743</v>
      </c>
      <c r="AW65" s="21">
        <f>EXP(-LN(2)/2)*AW64+(1-EXP(-LN(2)/2))/(LN(2)/2)*AQ65*AT65*VLOOKUP('Données projet'!$B$10,Paramètres!$A$1:$I$89,3,0)*0.475*44/12</f>
        <v>1.0435876921444644E-4</v>
      </c>
      <c r="AX65" s="21">
        <f t="shared" si="6"/>
        <v>3.9181190539754125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8.6666666666666661</v>
      </c>
      <c r="BD65" s="12">
        <f>IF('Données projet'!$A$88&gt;35,BD64+BC65-BL64,IF(A65&lt;'Données projet'!$A$88,$BA$205^A65,IF(A65='Données projet'!$A$88,'Données projet'!$B$88,BD64+BC65-BL64)))</f>
        <v>267.33333333333326</v>
      </c>
      <c r="BE65" s="13">
        <f>BD65*VLOOKUP('Données projet'!$B$11,Paramètres!$A$1:$I$89,3,0)*VLOOKUP('Données projet'!$B$11,Paramètres!$A$1:$I$89,5,0)</f>
        <v>179.32719999999995</v>
      </c>
      <c r="BF65" s="13">
        <f t="shared" si="37"/>
        <v>45.172467954379158</v>
      </c>
      <c r="BG65" s="20">
        <f t="shared" si="7"/>
        <v>391.00358835387692</v>
      </c>
      <c r="BH65" s="59">
        <f t="shared" si="8"/>
        <v>684.33692168721018</v>
      </c>
      <c r="BI65" s="59">
        <f ca="1">AVERAGE(OFFSET($BH$3,0,0,'Données projet'!$E$11+1,1))-AVERAGE(OFFSET($H$3,0,0,'Données projet'!$E$11+1,1))</f>
        <v>181.32837315090507</v>
      </c>
      <c r="BJ65" s="59">
        <f t="shared" si="38"/>
        <v>175.03267817980338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2.9059320686146037</v>
      </c>
      <c r="BQ65" s="21">
        <f>EXP(-LN(2)/25)*BQ64+(1-EXP(-LN(2)/25))/(LN(2)/25)*Calculateur!BL65*Calculateur!BN65*VLOOKUP('Données projet'!$B$11,Paramètres!$A$1:$I$89,3,0)*0.475*44/12</f>
        <v>2.8011967838918208</v>
      </c>
      <c r="BR65" s="21">
        <f>EXP(-LN(2)/2)*BR64+(1-EXP(-LN(2)/2))/(LN(2)/2)*BL65*BO65*VLOOKUP('Données projet'!$B$11,Paramètres!$A$1:$I$89,3,0)*0.475*44/12</f>
        <v>1.6188097939957164E-5</v>
      </c>
      <c r="BS65" s="22">
        <f t="shared" si="9"/>
        <v>5.7071450406043649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15.5</v>
      </c>
      <c r="BY65" s="12">
        <f>IF('Données projet'!$A$114&gt;35,BY64+BX65-CG64,IF(A65&lt;'Données projet'!$A$114,$BV$205^A65,IF(A65='Données projet'!$A$114,'Données projet'!$B$114,BY64+BX65-CG64)))</f>
        <v>299.49999999999989</v>
      </c>
      <c r="BZ65" s="13">
        <f>BY65*VLOOKUP('Données projet'!$B$12,Paramètres!$A$1:$I$89,3,0)*VLOOKUP('Données projet'!$B$12,Paramètres!$A$1:$I$89,5,0)</f>
        <v>140.16599999999994</v>
      </c>
      <c r="CA65" s="13">
        <f t="shared" si="39"/>
        <v>36.33503114084008</v>
      </c>
      <c r="CB65" s="20">
        <f t="shared" si="10"/>
        <v>307.40596257029637</v>
      </c>
      <c r="CC65" s="59">
        <f t="shared" si="11"/>
        <v>600.73929590362968</v>
      </c>
      <c r="CD65" s="59">
        <f ca="1">AVERAGE(OFFSET($CC$3,0,0,'Données projet'!$E$12+1,1))-AVERAGE(OFFSET($H$3,0,0,'Données projet'!$E$12+1,1))</f>
        <v>226.0452828290525</v>
      </c>
      <c r="CE65" s="59">
        <f t="shared" si="40"/>
        <v>179.89696397462069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4.8158733828053144</v>
      </c>
      <c r="CL65" s="21">
        <f>EXP(-LN(2)/25)*CL64+(1-EXP(-LN(2)/25))/(LN(2)/25)*Calculateur!CG65*Calculateur!CI65*VLOOKUP('Données projet'!$B$12,Paramètres!$A$1:$I$89,3,0)*0.475*44/12</f>
        <v>4.59206358057006</v>
      </c>
      <c r="CM65" s="21">
        <f>EXP(-LN(2)/2)*CM64+(1-EXP(-LN(2)/2))/(LN(2)/2)*CG65*CJ65*VLOOKUP('Données projet'!$B$12,Paramètres!$A$1:$I$89,3,0)*0.475*44/12</f>
        <v>1.6850477056271938E-4</v>
      </c>
      <c r="CN65" s="22">
        <f t="shared" si="12"/>
        <v>9.4081054681459371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>
        <f>VLOOKUP(A65,'Données projet'!$A$139:$I$159,2,0)</f>
        <v>316</v>
      </c>
      <c r="CR65" s="12">
        <f>VLOOKUP(A65,'Données projet'!$A$139:$I$159,9,0)</f>
        <v>2.625</v>
      </c>
      <c r="CS65" s="12">
        <f t="array" ref="CS65">INDEX(CR:CR,MIN(IF(ISNUMBER(CR65:CR261),ROW(CR65:CR261),"")))</f>
        <v>2.625</v>
      </c>
      <c r="CT65" s="12">
        <f>IF('Données projet'!$A$140&gt;35,CT64+CS65-DB64,IF(A65&lt;'Données projet'!$A$140,$CQ$205^A65,IF(A65='Données projet'!$A$140,'Données projet'!$B$140,CT64+CS65-DB64)))</f>
        <v>316</v>
      </c>
      <c r="CU65" s="17">
        <f>CT65*VLOOKUP('Données projet'!$B$13,Paramètres!$A$1:$I$89,3,0)*VLOOKUP('Données projet'!$B$13,Paramètres!$A$1:$I$89,5,0)</f>
        <v>188.96800000000002</v>
      </c>
      <c r="CV65" s="13">
        <f t="shared" si="41"/>
        <v>47.311720031947068</v>
      </c>
      <c r="CW65" s="20">
        <f t="shared" si="13"/>
        <v>411.52051238897451</v>
      </c>
      <c r="CX65" s="59">
        <f t="shared" si="14"/>
        <v>704.85384572230782</v>
      </c>
      <c r="CY65" s="59">
        <f ca="1">AVERAGE(OFFSET($CX$3,0,0,'Données projet'!$E$13+1,1))-AVERAGE(OFFSET($H$3,0,0,'Données projet'!$E$13+1,1))</f>
        <v>482.74318690313885</v>
      </c>
      <c r="CZ65" s="59">
        <f t="shared" si="42"/>
        <v>205.57161411620217</v>
      </c>
      <c r="DA65" s="15">
        <f>IF(ISNA(VLOOKUP(A65,'Données projet'!$A$139:$I$159,3,0)),0,VLOOKUP(A65,'Données projet'!$A$139:$I$159,3,0))</f>
        <v>10</v>
      </c>
      <c r="DB65" s="15">
        <f>IF(ISNA(VLOOKUP(A65,'Données projet'!$A$139:$I$159,4,0)),0,VLOOKUP(A65,'Données projet'!$A$139:$I$159,4,0))</f>
        <v>316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6.0906144953919714</v>
      </c>
      <c r="DG65" s="21">
        <f>EXP(-LN(2)/25)*DG64+(1-EXP(-LN(2)/25))/(LN(2)/25)*Calculateur!DB65*Calculateur!DD65*VLOOKUP('Données projet'!$B$13,Paramètres!$A$1:$I$89,3,0)*0.475*44/12</f>
        <v>3.8820335180595178</v>
      </c>
      <c r="DH65" s="21">
        <f>EXP(-LN(2)/2)*DH64+(1-EXP(-LN(2)/2))/(LN(2)/2)*DB65*DE65*VLOOKUP('Données projet'!$B$13,Paramètres!$A$1:$I$89,3,0)*0.475*44/12</f>
        <v>6.9107000982643614E-5</v>
      </c>
      <c r="DI65" s="22">
        <f t="shared" si="15"/>
        <v>9.9727171204524723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27.266666666666666</v>
      </c>
      <c r="DO65" s="12">
        <f>IF('Données projet'!$A$166&gt;35,DO64+DN65-DW64,IF(A65&lt;'Données projet'!$A$166,$DL$205^A65,IF(A65='Données projet'!$A$166,'Données projet'!$B$166,DO64+DN65-DW64)))</f>
        <v>456.19999999999993</v>
      </c>
      <c r="DP65" s="17">
        <f>DO65*VLOOKUP('Données projet'!$B$14,Paramètres!$A$1:$I$89,3,0)*VLOOKUP('Données projet'!$B$14,Paramètres!$A$1:$I$89,5,0)</f>
        <v>219.43219999999999</v>
      </c>
      <c r="DQ65" s="13">
        <f t="shared" si="43"/>
        <v>53.991458641097559</v>
      </c>
      <c r="DR65" s="20">
        <f t="shared" si="16"/>
        <v>476.21287213324496</v>
      </c>
      <c r="DS65" s="59">
        <f t="shared" si="17"/>
        <v>769.54620546657827</v>
      </c>
      <c r="DT65" s="59">
        <f ca="1">AVERAGE(OFFSET($DS$3,0,0,'Données projet'!$E$14+1,1))-AVERAGE(OFFSET($H$3,0,0,'Données projet'!$E$14+1,1))</f>
        <v>247.11965163963526</v>
      </c>
      <c r="DU65" s="59">
        <f t="shared" si="44"/>
        <v>61.686311966192704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0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7.2</v>
      </c>
      <c r="N66" s="13">
        <f>IF('Données projet'!$A$36&gt;35,N65+M66-V65,IF(A66&lt;'Données projet'!$A$36,$K$205^A66,IF(A66='Données projet'!$A$36,'Données projet'!$B$36,N65+M66-V65)))</f>
        <v>214.59999999999994</v>
      </c>
      <c r="O66" s="13">
        <f>N66*VLOOKUP('Données projet'!$B$9,Paramètres!$A$1:$I$89,3,0)*VLOOKUP('Données projet'!$B$9,Paramètres!$A$1:$I$89,5,0)</f>
        <v>194.17007999999996</v>
      </c>
      <c r="P66" s="13">
        <f t="shared" si="33"/>
        <v>48.460730182351035</v>
      </c>
      <c r="Q66" s="20">
        <f t="shared" si="53"/>
        <v>422.5819944009279</v>
      </c>
      <c r="R66" s="59">
        <f t="shared" si="0"/>
        <v>715.91532773426115</v>
      </c>
      <c r="S66" s="59">
        <f ca="1">AVERAGE(OFFSET($R$3,0,0,'Données projet'!$E$9+1,1))-AVERAGE(OFFSET($H$3,0,0,'Données projet'!$E$9+1,1))</f>
        <v>265.50419397354284</v>
      </c>
      <c r="T66" s="59">
        <f t="shared" si="34"/>
        <v>156.67965022779907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1.733781579613193</v>
      </c>
      <c r="AA66" s="21">
        <f>EXP(-LN(2)/25)*AA65+(1-EXP(-LN(2)/25))/(LN(2)/25)*Calculateur!V66*Calculateur!X66*VLOOKUP('Données projet'!$B$9,Paramètres!$A$1:$I$89,3,0)*0.475*44/12</f>
        <v>1.6803729360744402</v>
      </c>
      <c r="AB66" s="21">
        <f>EXP(-LN(2)/2)*AB65+(1-EXP(-LN(2)/2))/(LN(2)/2)*V66*Y66*VLOOKUP('Données projet'!$B$9,Paramètres!$A$1:$I$89,3,0)*0.475*44/12</f>
        <v>6.5845877176821295E-5</v>
      </c>
      <c r="AC66" s="22">
        <f t="shared" si="3"/>
        <v>3.4142203615648099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7.2</v>
      </c>
      <c r="AI66" s="13">
        <f>IF('Données projet'!$A$62&gt;35,AI65+AH66-AQ65,IF(A66&lt;'Données projet'!$A$62,$AF$205^A66,IF(A66='Données projet'!$A$62,'Données projet'!$B$62,AI65+AH66-AQ65)))</f>
        <v>214.59999999999994</v>
      </c>
      <c r="AJ66" s="13">
        <f>AI66*VLOOKUP('Données projet'!$B$10,Paramètres!$A$1:$I$89,3,0)*VLOOKUP('Données projet'!$B$10,Paramètres!$A$1:$I$89,5,0)</f>
        <v>217.60439999999994</v>
      </c>
      <c r="AK66" s="13">
        <f t="shared" si="35"/>
        <v>53.593882578706356</v>
      </c>
      <c r="AL66" s="20">
        <f t="shared" si="4"/>
        <v>472.33700882458015</v>
      </c>
      <c r="AM66" s="59">
        <f t="shared" si="5"/>
        <v>765.67034215791341</v>
      </c>
      <c r="AN66" s="59">
        <f ca="1">AVERAGE(OFFSET($AM$3,0,0,'Données projet'!$E$10+1,1))-AVERAGE(OFFSET($H$3,0,0,'Données projet'!$E$10+1,1))</f>
        <v>296.43642006376018</v>
      </c>
      <c r="AO66" s="59">
        <f t="shared" si="36"/>
        <v>179.56041631665812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1.9430310806009921</v>
      </c>
      <c r="AV66" s="21">
        <f>EXP(-LN(2)/25)*AV65+(1-EXP(-LN(2)/25))/(LN(2)/25)*Calculateur!AQ66*Calculateur!AS66*VLOOKUP('Données projet'!$B$10,Paramètres!$A$1:$I$89,3,0)*0.475*44/12</f>
        <v>1.8831765662903217</v>
      </c>
      <c r="AW66" s="21">
        <f>EXP(-LN(2)/2)*AW65+(1-EXP(-LN(2)/2))/(LN(2)/2)*AQ66*AT66*VLOOKUP('Données projet'!$B$10,Paramètres!$A$1:$I$89,3,0)*0.475*44/12</f>
        <v>7.3792793387816993E-5</v>
      </c>
      <c r="AX66" s="21">
        <f t="shared" si="6"/>
        <v>3.8262814396847018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8.6666666666666661</v>
      </c>
      <c r="BD66" s="12">
        <f>IF('Données projet'!$A$88&gt;35,BD65+BC66-BL65,IF(A66&lt;'Données projet'!$A$88,$BA$205^A66,IF(A66='Données projet'!$A$88,'Données projet'!$B$88,BD65+BC66-BL65)))</f>
        <v>275.99999999999994</v>
      </c>
      <c r="BE66" s="13">
        <f>BD66*VLOOKUP('Données projet'!$B$11,Paramètres!$A$1:$I$89,3,0)*VLOOKUP('Données projet'!$B$11,Paramètres!$A$1:$I$89,5,0)</f>
        <v>185.14079999999998</v>
      </c>
      <c r="BF66" s="13">
        <f t="shared" si="37"/>
        <v>46.464038253813506</v>
      </c>
      <c r="BG66" s="20">
        <f t="shared" si="7"/>
        <v>403.3784266253918</v>
      </c>
      <c r="BH66" s="59">
        <f t="shared" si="8"/>
        <v>696.71175995872511</v>
      </c>
      <c r="BI66" s="59">
        <f ca="1">AVERAGE(OFFSET($BH$3,0,0,'Données projet'!$E$11+1,1))-AVERAGE(OFFSET($H$3,0,0,'Données projet'!$E$11+1,1))</f>
        <v>181.32837315090507</v>
      </c>
      <c r="BJ66" s="59">
        <f t="shared" si="38"/>
        <v>175.03267817980338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2.8489485131926191</v>
      </c>
      <c r="BQ66" s="21">
        <f>EXP(-LN(2)/25)*BQ65+(1-EXP(-LN(2)/25))/(LN(2)/25)*Calculateur!BL66*Calculateur!BN66*VLOOKUP('Données projet'!$B$11,Paramètres!$A$1:$I$89,3,0)*0.475*44/12</f>
        <v>2.7245979105277622</v>
      </c>
      <c r="BR66" s="21">
        <f>EXP(-LN(2)/2)*BR65+(1-EXP(-LN(2)/2))/(LN(2)/2)*BL66*BO66*VLOOKUP('Données projet'!$B$11,Paramètres!$A$1:$I$89,3,0)*0.475*44/12</f>
        <v>1.1446713827855692E-5</v>
      </c>
      <c r="BS66" s="22">
        <f t="shared" si="9"/>
        <v>5.5735578704342092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15.5</v>
      </c>
      <c r="BY66" s="12">
        <f>IF('Données projet'!$A$114&gt;35,BY65+BX66-CG65,IF(A66&lt;'Données projet'!$A$114,$BV$205^A66,IF(A66='Données projet'!$A$114,'Données projet'!$B$114,BY65+BX66-CG65)))</f>
        <v>314.99999999999989</v>
      </c>
      <c r="BZ66" s="13">
        <f>BY66*VLOOKUP('Données projet'!$B$12,Paramètres!$A$1:$I$89,3,0)*VLOOKUP('Données projet'!$B$12,Paramètres!$A$1:$I$89,5,0)</f>
        <v>147.41999999999993</v>
      </c>
      <c r="CA66" s="13">
        <f t="shared" si="39"/>
        <v>37.991680647570291</v>
      </c>
      <c r="CB66" s="20">
        <f t="shared" si="10"/>
        <v>322.92534379451814</v>
      </c>
      <c r="CC66" s="59">
        <f t="shared" si="11"/>
        <v>616.25867712785146</v>
      </c>
      <c r="CD66" s="59">
        <f ca="1">AVERAGE(OFFSET($CC$3,0,0,'Données projet'!$E$12+1,1))-AVERAGE(OFFSET($H$3,0,0,'Données projet'!$E$12+1,1))</f>
        <v>226.0452828290525</v>
      </c>
      <c r="CE66" s="59">
        <f t="shared" si="40"/>
        <v>179.89696397462069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4.721437043161222</v>
      </c>
      <c r="CL66" s="21">
        <f>EXP(-LN(2)/25)*CL65+(1-EXP(-LN(2)/25))/(LN(2)/25)*Calculateur!CG66*Calculateur!CI66*VLOOKUP('Données projet'!$B$12,Paramètres!$A$1:$I$89,3,0)*0.475*44/12</f>
        <v>4.4664933604732431</v>
      </c>
      <c r="CM66" s="21">
        <f>EXP(-LN(2)/2)*CM65+(1-EXP(-LN(2)/2))/(LN(2)/2)*CG66*CJ66*VLOOKUP('Données projet'!$B$12,Paramètres!$A$1:$I$89,3,0)*0.475*44/12</f>
        <v>1.1915086592718222E-4</v>
      </c>
      <c r="CN66" s="22">
        <f t="shared" si="12"/>
        <v>9.1880495545003917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>
        <f>CT66*VLOOKUP('Données projet'!$B$13,Paramètres!$A$1:$I$89,3,0)*VLOOKUP('Données projet'!$B$13,Paramètres!$A$1:$I$89,5,0)</f>
        <v>0</v>
      </c>
      <c r="CV66" s="13" t="e">
        <f t="shared" si="41"/>
        <v>#NUM!</v>
      </c>
      <c r="CW66" s="20" t="e">
        <f t="shared" si="13"/>
        <v>#NUM!</v>
      </c>
      <c r="CX66" s="59" t="e">
        <f t="shared" si="14"/>
        <v>#NUM!</v>
      </c>
      <c r="CY66" s="59">
        <f ca="1">AVERAGE(OFFSET($CX$3,0,0,'Données projet'!$E$13+1,1))-AVERAGE(OFFSET($H$3,0,0,'Données projet'!$E$13+1,1))</f>
        <v>482.74318690313885</v>
      </c>
      <c r="CZ66" s="59">
        <f t="shared" si="42"/>
        <v>205.57161411620217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5.97118126004536</v>
      </c>
      <c r="DG66" s="21">
        <f>EXP(-LN(2)/25)*DG65+(1-EXP(-LN(2)/25))/(LN(2)/25)*Calculateur!DB66*Calculateur!DD66*VLOOKUP('Données projet'!$B$13,Paramètres!$A$1:$I$89,3,0)*0.475*44/12</f>
        <v>3.7758791073609101</v>
      </c>
      <c r="DH66" s="21">
        <f>EXP(-LN(2)/2)*DH65+(1-EXP(-LN(2)/2))/(LN(2)/2)*DB66*DE66*VLOOKUP('Données projet'!$B$13,Paramètres!$A$1:$I$89,3,0)*0.475*44/12</f>
        <v>4.8866029022292703E-5</v>
      </c>
      <c r="DI66" s="22">
        <f t="shared" si="15"/>
        <v>9.7471092334352925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27.266666666666666</v>
      </c>
      <c r="DO66" s="12">
        <f>IF('Données projet'!$A$166&gt;35,DO65+DN66-DW65,IF(A66&lt;'Données projet'!$A$166,$DL$205^A66,IF(A66='Données projet'!$A$166,'Données projet'!$B$166,DO65+DN66-DW65)))</f>
        <v>483.46666666666658</v>
      </c>
      <c r="DP66" s="17">
        <f>DO66*VLOOKUP('Données projet'!$B$14,Paramètres!$A$1:$I$89,3,0)*VLOOKUP('Données projet'!$B$14,Paramètres!$A$1:$I$89,5,0)</f>
        <v>232.54746666666662</v>
      </c>
      <c r="DQ66" s="13">
        <f t="shared" si="43"/>
        <v>56.833149768554691</v>
      </c>
      <c r="DR66" s="20">
        <f t="shared" si="16"/>
        <v>504.00457362467711</v>
      </c>
      <c r="DS66" s="59">
        <f t="shared" si="17"/>
        <v>797.33790695801042</v>
      </c>
      <c r="DT66" s="59">
        <f ca="1">AVERAGE(OFFSET($DS$3,0,0,'Données projet'!$E$14+1,1))-AVERAGE(OFFSET($H$3,0,0,'Données projet'!$E$14+1,1))</f>
        <v>247.11965163963526</v>
      </c>
      <c r="DU66" s="59">
        <f t="shared" si="44"/>
        <v>61.686311966192704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0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7.2</v>
      </c>
      <c r="N67" s="13">
        <f>IF('Données projet'!$A$36&gt;35,N66+M67-V66,IF(A67&lt;'Données projet'!$A$36,$K$205^A67,IF(A67='Données projet'!$A$36,'Données projet'!$B$36,N66+M67-V66)))</f>
        <v>221.79999999999993</v>
      </c>
      <c r="O67" s="13">
        <f>N67*VLOOKUP('Données projet'!$B$9,Paramètres!$A$1:$I$89,3,0)*VLOOKUP('Données projet'!$B$9,Paramètres!$A$1:$I$89,5,0)</f>
        <v>200.68463999999992</v>
      </c>
      <c r="P67" s="13">
        <f t="shared" si="33"/>
        <v>49.894600936700193</v>
      </c>
      <c r="Q67" s="20">
        <f t="shared" ref="Q67:Q98" si="54">(O67+P67)*0.475*44/12</f>
        <v>436.42551129808606</v>
      </c>
      <c r="R67" s="59">
        <f t="shared" ref="R67:R130" si="55">Q67+(I67+J67)*44/12</f>
        <v>729.75884463141938</v>
      </c>
      <c r="S67" s="59">
        <f ca="1">AVERAGE(OFFSET($R$3,0,0,'Données projet'!$E$9+1,1))-AVERAGE(OFFSET($H$3,0,0,'Données projet'!$E$9+1,1))</f>
        <v>265.50419397354284</v>
      </c>
      <c r="T67" s="59">
        <f t="shared" si="34"/>
        <v>156.67965022779907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1.6997831803393222</v>
      </c>
      <c r="AA67" s="21">
        <f>EXP(-LN(2)/25)*AA66+(1-EXP(-LN(2)/25))/(LN(2)/25)*Calculateur!V67*Calculateur!X67*VLOOKUP('Données projet'!$B$9,Paramètres!$A$1:$I$89,3,0)*0.475*44/12</f>
        <v>1.6344230497705123</v>
      </c>
      <c r="AB67" s="21">
        <f>EXP(-LN(2)/2)*AB66+(1-EXP(-LN(2)/2))/(LN(2)/2)*V67*Y67*VLOOKUP('Données projet'!$B$9,Paramètres!$A$1:$I$89,3,0)*0.475*44/12</f>
        <v>4.6560066264906859E-5</v>
      </c>
      <c r="AC67" s="22">
        <f t="shared" si="3"/>
        <v>3.334252790176099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7.2</v>
      </c>
      <c r="AI67" s="13">
        <f>IF('Données projet'!$A$62&gt;35,AI66+AH67-AQ66,IF(A67&lt;'Données projet'!$A$62,$AF$205^A67,IF(A67='Données projet'!$A$62,'Données projet'!$B$62,AI66+AH67-AQ66)))</f>
        <v>221.79999999999993</v>
      </c>
      <c r="AJ67" s="13">
        <f>AI67*VLOOKUP('Données projet'!$B$10,Paramètres!$A$1:$I$89,3,0)*VLOOKUP('Données projet'!$B$10,Paramètres!$A$1:$I$89,5,0)</f>
        <v>224.90519999999995</v>
      </c>
      <c r="AK67" s="13">
        <f t="shared" si="35"/>
        <v>55.17963460003309</v>
      </c>
      <c r="AL67" s="20">
        <f t="shared" si="4"/>
        <v>487.81442026172425</v>
      </c>
      <c r="AM67" s="59">
        <f t="shared" si="5"/>
        <v>781.14775359505757</v>
      </c>
      <c r="AN67" s="59">
        <f ca="1">AVERAGE(OFFSET($AM$3,0,0,'Données projet'!$E$10+1,1))-AVERAGE(OFFSET($H$3,0,0,'Données projet'!$E$10+1,1))</f>
        <v>296.43642006376018</v>
      </c>
      <c r="AO67" s="59">
        <f t="shared" si="36"/>
        <v>179.56041631665812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1.9049294262423437</v>
      </c>
      <c r="AV67" s="21">
        <f>EXP(-LN(2)/25)*AV66+(1-EXP(-LN(2)/25))/(LN(2)/25)*Calculateur!AQ67*Calculateur!AS67*VLOOKUP('Données projet'!$B$10,Paramètres!$A$1:$I$89,3,0)*0.475*44/12</f>
        <v>1.8316810040531613</v>
      </c>
      <c r="AW67" s="21">
        <f>EXP(-LN(2)/2)*AW66+(1-EXP(-LN(2)/2))/(LN(2)/2)*AQ67*AT67*VLOOKUP('Données projet'!$B$10,Paramètres!$A$1:$I$89,3,0)*0.475*44/12</f>
        <v>5.2179384607223222E-5</v>
      </c>
      <c r="AX67" s="21">
        <f t="shared" si="6"/>
        <v>3.7366626096801121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8.6666666666666661</v>
      </c>
      <c r="BD67" s="12">
        <f>IF('Données projet'!$A$88&gt;35,BD66+BC67-BL66,IF(A67&lt;'Données projet'!$A$88,$BA$205^A67,IF(A67='Données projet'!$A$88,'Données projet'!$B$88,BD66+BC67-BL66)))</f>
        <v>284.66666666666663</v>
      </c>
      <c r="BE67" s="13">
        <f>BD67*VLOOKUP('Données projet'!$B$11,Paramètres!$A$1:$I$89,3,0)*VLOOKUP('Données projet'!$B$11,Paramètres!$A$1:$I$89,5,0)</f>
        <v>190.95439999999999</v>
      </c>
      <c r="BF67" s="13">
        <f t="shared" si="37"/>
        <v>47.750895568819445</v>
      </c>
      <c r="BG67" s="20">
        <f t="shared" si="7"/>
        <v>415.74505644902712</v>
      </c>
      <c r="BH67" s="59">
        <f t="shared" si="8"/>
        <v>709.07838978236043</v>
      </c>
      <c r="BI67" s="59">
        <f ca="1">AVERAGE(OFFSET($BH$3,0,0,'Données projet'!$E$11+1,1))-AVERAGE(OFFSET($H$3,0,0,'Données projet'!$E$11+1,1))</f>
        <v>181.32837315090507</v>
      </c>
      <c r="BJ67" s="59">
        <f t="shared" si="38"/>
        <v>175.03267817980338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2.7930823705359225</v>
      </c>
      <c r="BQ67" s="21">
        <f>EXP(-LN(2)/25)*BQ66+(1-EXP(-LN(2)/25))/(LN(2)/25)*Calculateur!BL67*Calculateur!BN67*VLOOKUP('Données projet'!$B$11,Paramètres!$A$1:$I$89,3,0)*0.475*44/12</f>
        <v>2.6500936373840038</v>
      </c>
      <c r="BR67" s="21">
        <f>EXP(-LN(2)/2)*BR66+(1-EXP(-LN(2)/2))/(LN(2)/2)*BL67*BO67*VLOOKUP('Données projet'!$B$11,Paramètres!$A$1:$I$89,3,0)*0.475*44/12</f>
        <v>8.0940489699785822E-6</v>
      </c>
      <c r="BS67" s="22">
        <f t="shared" si="9"/>
        <v>5.443184101968896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15.5</v>
      </c>
      <c r="BY67" s="12">
        <f>IF('Données projet'!$A$114&gt;35,BY66+BX67-CG66,IF(A67&lt;'Données projet'!$A$114,$BV$205^A67,IF(A67='Données projet'!$A$114,'Données projet'!$B$114,BY66+BX67-CG66)))</f>
        <v>330.49999999999989</v>
      </c>
      <c r="BZ67" s="13">
        <f>BY67*VLOOKUP('Données projet'!$B$12,Paramètres!$A$1:$I$89,3,0)*VLOOKUP('Données projet'!$B$12,Paramètres!$A$1:$I$89,5,0)</f>
        <v>154.67399999999995</v>
      </c>
      <c r="CA67" s="13">
        <f t="shared" si="39"/>
        <v>39.63886458604275</v>
      </c>
      <c r="CB67" s="20">
        <f t="shared" si="10"/>
        <v>338.42823915402437</v>
      </c>
      <c r="CC67" s="59">
        <f t="shared" si="11"/>
        <v>631.76157248735763</v>
      </c>
      <c r="CD67" s="59">
        <f ca="1">AVERAGE(OFFSET($CC$3,0,0,'Données projet'!$E$12+1,1))-AVERAGE(OFFSET($H$3,0,0,'Données projet'!$E$12+1,1))</f>
        <v>226.0452828290525</v>
      </c>
      <c r="CE67" s="59">
        <f t="shared" si="40"/>
        <v>179.89696397462069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4.6288525425370706</v>
      </c>
      <c r="CL67" s="21">
        <f>EXP(-LN(2)/25)*CL66+(1-EXP(-LN(2)/25))/(LN(2)/25)*Calculateur!CG67*Calculateur!CI67*VLOOKUP('Données projet'!$B$12,Paramètres!$A$1:$I$89,3,0)*0.475*44/12</f>
        <v>4.3443568646484243</v>
      </c>
      <c r="CM67" s="21">
        <f>EXP(-LN(2)/2)*CM66+(1-EXP(-LN(2)/2))/(LN(2)/2)*CG67*CJ67*VLOOKUP('Données projet'!$B$12,Paramètres!$A$1:$I$89,3,0)*0.475*44/12</f>
        <v>8.4252385281359705E-5</v>
      </c>
      <c r="CN67" s="22">
        <f t="shared" si="12"/>
        <v>8.9732936595707766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>
        <f>CT67*VLOOKUP('Données projet'!$B$13,Paramètres!$A$1:$I$89,3,0)*VLOOKUP('Données projet'!$B$13,Paramètres!$A$1:$I$89,5,0)</f>
        <v>0</v>
      </c>
      <c r="CV67" s="13" t="e">
        <f t="shared" si="41"/>
        <v>#NUM!</v>
      </c>
      <c r="CW67" s="20" t="e">
        <f t="shared" si="13"/>
        <v>#NUM!</v>
      </c>
      <c r="CX67" s="59" t="e">
        <f t="shared" si="14"/>
        <v>#NUM!</v>
      </c>
      <c r="CY67" s="59">
        <f ca="1">AVERAGE(OFFSET($CX$3,0,0,'Données projet'!$E$13+1,1))-AVERAGE(OFFSET($H$3,0,0,'Données projet'!$E$13+1,1))</f>
        <v>482.74318690313885</v>
      </c>
      <c r="CZ67" s="59">
        <f t="shared" si="42"/>
        <v>205.57161411620217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5.8540900375968157</v>
      </c>
      <c r="DG67" s="21">
        <f>EXP(-LN(2)/25)*DG66+(1-EXP(-LN(2)/25))/(LN(2)/25)*Calculateur!DB67*Calculateur!DD67*VLOOKUP('Données projet'!$B$13,Paramètres!$A$1:$I$89,3,0)*0.475*44/12</f>
        <v>3.6726274946052735</v>
      </c>
      <c r="DH67" s="21">
        <f>EXP(-LN(2)/2)*DH66+(1-EXP(-LN(2)/2))/(LN(2)/2)*DB67*DE67*VLOOKUP('Données projet'!$B$13,Paramètres!$A$1:$I$89,3,0)*0.475*44/12</f>
        <v>3.4553500491321807E-5</v>
      </c>
      <c r="DI67" s="22">
        <f t="shared" si="15"/>
        <v>9.5267520857025794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27.266666666666666</v>
      </c>
      <c r="DO67" s="12">
        <f>IF('Données projet'!$A$166&gt;35,DO66+DN67-DW66,IF(A67&lt;'Données projet'!$A$166,$DL$205^A67,IF(A67='Données projet'!$A$166,'Données projet'!$B$166,DO66+DN67-DW66)))</f>
        <v>510.73333333333323</v>
      </c>
      <c r="DP67" s="17">
        <f>DO67*VLOOKUP('Données projet'!$B$14,Paramètres!$A$1:$I$89,3,0)*VLOOKUP('Données projet'!$B$14,Paramètres!$A$1:$I$89,5,0)</f>
        <v>245.66273333333328</v>
      </c>
      <c r="DQ67" s="13">
        <f t="shared" si="43"/>
        <v>59.656236579777023</v>
      </c>
      <c r="DR67" s="20">
        <f t="shared" si="16"/>
        <v>531.76387259866704</v>
      </c>
      <c r="DS67" s="59">
        <f t="shared" si="17"/>
        <v>825.09720593200041</v>
      </c>
      <c r="DT67" s="59">
        <f ca="1">AVERAGE(OFFSET($DS$3,0,0,'Données projet'!$E$14+1,1))-AVERAGE(OFFSET($H$3,0,0,'Données projet'!$E$14+1,1))</f>
        <v>247.11965163963526</v>
      </c>
      <c r="DU67" s="59">
        <f t="shared" si="44"/>
        <v>61.686311966192704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0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229</v>
      </c>
      <c r="L68" s="12">
        <f>VLOOKUP(A68,'Données projet'!$A$35:$I$55,9,0)</f>
        <v>7.2</v>
      </c>
      <c r="M68" s="12">
        <f t="array" ref="M68">INDEX(L:L,MIN(IF(ISNUMBER(L68:L264),ROW(L68:L264),"")))</f>
        <v>7.2</v>
      </c>
      <c r="N68" s="13">
        <f>IF('Données projet'!$A$36&gt;35,N67+M68-V67,IF(A68&lt;'Données projet'!$A$36,$K$205^A68,IF(A68='Données projet'!$A$36,'Données projet'!$B$36,N67+M68-V67)))</f>
        <v>228.99999999999991</v>
      </c>
      <c r="O68" s="13">
        <f>N68*VLOOKUP('Données projet'!$B$9,Paramètres!$A$1:$I$89,3,0)*VLOOKUP('Données projet'!$B$9,Paramètres!$A$1:$I$89,5,0)</f>
        <v>207.19919999999991</v>
      </c>
      <c r="P68" s="13">
        <f t="shared" si="33"/>
        <v>51.3230629736655</v>
      </c>
      <c r="Q68" s="20">
        <f t="shared" si="54"/>
        <v>450.25960801246725</v>
      </c>
      <c r="R68" s="59">
        <f t="shared" si="55"/>
        <v>743.59294134580057</v>
      </c>
      <c r="S68" s="59">
        <f ca="1">AVERAGE(OFFSET($R$3,0,0,'Données projet'!$E$9+1,1))-AVERAGE(OFFSET($H$3,0,0,'Données projet'!$E$9+1,1))</f>
        <v>265.50419397354284</v>
      </c>
      <c r="T68" s="59">
        <f t="shared" si="34"/>
        <v>156.67965022779907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21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1.6664514689382359</v>
      </c>
      <c r="AA68" s="21">
        <f>EXP(-LN(2)/25)*AA67+(1-EXP(-LN(2)/25))/(LN(2)/25)*Calculateur!V68*Calculateur!X68*VLOOKUP('Données projet'!$B$9,Paramètres!$A$1:$I$89,3,0)*0.475*44/12</f>
        <v>1.589729665523965</v>
      </c>
      <c r="AB68" s="21">
        <f>EXP(-LN(2)/2)*AB67+(1-EXP(-LN(2)/2))/(LN(2)/2)*V68*Y68*VLOOKUP('Données projet'!$B$9,Paramètres!$A$1:$I$89,3,0)*0.475*44/12</f>
        <v>3.2922938588410648E-5</v>
      </c>
      <c r="AC68" s="22">
        <f t="shared" ref="AC68:AC131" si="57">SUM(Z68:AB68)</f>
        <v>3.2562140574007894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229</v>
      </c>
      <c r="AG68" s="12">
        <f>VLOOKUP(A68,'Données projet'!$A$61:$I$81,9,0)</f>
        <v>7.2</v>
      </c>
      <c r="AH68" s="12">
        <f t="array" ref="AH68">INDEX(AG:AG,MIN(IF(ISNUMBER(AG68:AG264),ROW(AG68:AG264),"")))</f>
        <v>7.2</v>
      </c>
      <c r="AI68" s="13">
        <f>IF('Données projet'!$A$62&gt;35,AI67+AH68-AQ67,IF(A68&lt;'Données projet'!$A$62,$AF$205^A68,IF(A68='Données projet'!$A$62,'Données projet'!$B$62,AI67+AH68-AQ67)))</f>
        <v>228.99999999999991</v>
      </c>
      <c r="AJ68" s="13">
        <f>AI68*VLOOKUP('Données projet'!$B$10,Paramètres!$A$1:$I$89,3,0)*VLOOKUP('Données projet'!$B$10,Paramètres!$A$1:$I$89,5,0)</f>
        <v>232.2059999999999</v>
      </c>
      <c r="AK68" s="13">
        <f t="shared" si="35"/>
        <v>56.759404991217522</v>
      </c>
      <c r="AL68" s="20">
        <f t="shared" ref="AL68:AL131" si="58">(AJ68+AK68)*0.475*44/12</f>
        <v>503.281413693037</v>
      </c>
      <c r="AM68" s="59">
        <f t="shared" ref="AM68:AM131" si="59">AL68+(AD68+AE68)*44/12</f>
        <v>796.61474702637031</v>
      </c>
      <c r="AN68" s="59">
        <f ca="1">AVERAGE(OFFSET($AM$3,0,0,'Données projet'!$E$10+1,1))-AVERAGE(OFFSET($H$3,0,0,'Données projet'!$E$10+1,1))</f>
        <v>296.43642006376018</v>
      </c>
      <c r="AO68" s="59">
        <f t="shared" si="36"/>
        <v>179.56041631665812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21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1.8675749220859541</v>
      </c>
      <c r="AV68" s="21">
        <f>EXP(-LN(2)/25)*AV67+(1-EXP(-LN(2)/25))/(LN(2)/25)*Calculateur!AQ68*Calculateur!AS68*VLOOKUP('Données projet'!$B$10,Paramètres!$A$1:$I$89,3,0)*0.475*44/12</f>
        <v>1.7815935906734099</v>
      </c>
      <c r="AW68" s="21">
        <f>EXP(-LN(2)/2)*AW67+(1-EXP(-LN(2)/2))/(LN(2)/2)*AQ68*AT68*VLOOKUP('Données projet'!$B$10,Paramètres!$A$1:$I$89,3,0)*0.475*44/12</f>
        <v>3.6896396693908496E-5</v>
      </c>
      <c r="AX68" s="21">
        <f t="shared" ref="AX68:AX131" si="60">SUM(AU68:AW68)</f>
        <v>3.6492054091560582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8.6666666666666661</v>
      </c>
      <c r="BD68" s="12">
        <f>IF('Données projet'!$A$88&gt;35,BD67+BC68-BL67,IF(A68&lt;'Données projet'!$A$88,$BA$205^A68,IF(A68='Données projet'!$A$88,'Données projet'!$B$88,BD67+BC68-BL67)))</f>
        <v>293.33333333333331</v>
      </c>
      <c r="BE68" s="13">
        <f>BD68*VLOOKUP('Données projet'!$B$11,Paramètres!$A$1:$I$89,3,0)*VLOOKUP('Données projet'!$B$11,Paramètres!$A$1:$I$89,5,0)</f>
        <v>196.768</v>
      </c>
      <c r="BF68" s="13">
        <f t="shared" si="37"/>
        <v>49.033199854505554</v>
      </c>
      <c r="BG68" s="20">
        <f t="shared" ref="BG68:BG131" si="61">(BE68+BF68)*0.475*44/12</f>
        <v>428.10375641326391</v>
      </c>
      <c r="BH68" s="59">
        <f t="shared" ref="BH68:BH131" si="62">BG68+(AY68+AZ68)*44/12</f>
        <v>721.43708974659717</v>
      </c>
      <c r="BI68" s="59">
        <f ca="1">AVERAGE(OFFSET($BH$3,0,0,'Données projet'!$E$11+1,1))-AVERAGE(OFFSET($H$3,0,0,'Données projet'!$E$11+1,1))</f>
        <v>181.32837315090507</v>
      </c>
      <c r="BJ68" s="59">
        <f t="shared" si="38"/>
        <v>175.03267817980338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2.7383117288617411</v>
      </c>
      <c r="BQ68" s="21">
        <f>EXP(-LN(2)/25)*BQ67+(1-EXP(-LN(2)/25))/(LN(2)/25)*Calculateur!BL68*Calculateur!BN68*VLOOKUP('Données projet'!$B$11,Paramètres!$A$1:$I$89,3,0)*0.475*44/12</f>
        <v>2.5776266875073706</v>
      </c>
      <c r="BR68" s="21">
        <f>EXP(-LN(2)/2)*BR67+(1-EXP(-LN(2)/2))/(LN(2)/2)*BL68*BO68*VLOOKUP('Données projet'!$B$11,Paramètres!$A$1:$I$89,3,0)*0.475*44/12</f>
        <v>5.7233569139278458E-6</v>
      </c>
      <c r="BS68" s="22">
        <f t="shared" ref="BS68:BS131" si="63">SUM(BP68:BR68)</f>
        <v>5.3159441397260254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15.5</v>
      </c>
      <c r="BY68" s="12">
        <f>IF('Données projet'!$A$114&gt;35,BY67+BX68-CG67,IF(A68&lt;'Données projet'!$A$114,$BV$205^A68,IF(A68='Données projet'!$A$114,'Données projet'!$B$114,BY67+BX68-CG67)))</f>
        <v>345.99999999999989</v>
      </c>
      <c r="BZ68" s="13">
        <f>BY68*VLOOKUP('Données projet'!$B$12,Paramètres!$A$1:$I$89,3,0)*VLOOKUP('Données projet'!$B$12,Paramètres!$A$1:$I$89,5,0)</f>
        <v>161.92799999999994</v>
      </c>
      <c r="CA68" s="13">
        <f t="shared" si="39"/>
        <v>41.277077571585316</v>
      </c>
      <c r="CB68" s="20">
        <f t="shared" ref="CB68:CB131" si="64">(BZ68+CA68)*0.475*44/12</f>
        <v>353.91551010384433</v>
      </c>
      <c r="CC68" s="59">
        <f t="shared" ref="CC68:CC131" si="65">CB68+(BT68+BU68)*44/12</f>
        <v>647.24884343717758</v>
      </c>
      <c r="CD68" s="59">
        <f ca="1">AVERAGE(OFFSET($CC$3,0,0,'Données projet'!$E$12+1,1))-AVERAGE(OFFSET($H$3,0,0,'Données projet'!$E$12+1,1))</f>
        <v>226.0452828290525</v>
      </c>
      <c r="CE68" s="59">
        <f t="shared" si="40"/>
        <v>179.89696397462069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4.5380835674991902</v>
      </c>
      <c r="CL68" s="21">
        <f>EXP(-LN(2)/25)*CL67+(1-EXP(-LN(2)/25))/(LN(2)/25)*Calculateur!CG68*Calculateur!CI68*VLOOKUP('Données projet'!$B$12,Paramètres!$A$1:$I$89,3,0)*0.475*44/12</f>
        <v>4.2255601977248149</v>
      </c>
      <c r="CM68" s="21">
        <f>EXP(-LN(2)/2)*CM67+(1-EXP(-LN(2)/2))/(LN(2)/2)*CG68*CJ68*VLOOKUP('Données projet'!$B$12,Paramètres!$A$1:$I$89,3,0)*0.475*44/12</f>
        <v>5.9575432963591118E-5</v>
      </c>
      <c r="CN68" s="22">
        <f t="shared" ref="CN68:CN131" si="66">SUM(CK68:CM68)</f>
        <v>8.7637033406569689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>
        <f>CT68*VLOOKUP('Données projet'!$B$13,Paramètres!$A$1:$I$89,3,0)*VLOOKUP('Données projet'!$B$13,Paramètres!$A$1:$I$89,5,0)</f>
        <v>0</v>
      </c>
      <c r="CV68" s="13" t="e">
        <f t="shared" si="41"/>
        <v>#NUM!</v>
      </c>
      <c r="CW68" s="20" t="e">
        <f t="shared" ref="CW68:CW131" si="67">(CU68+CV68)*0.475*44/12</f>
        <v>#NUM!</v>
      </c>
      <c r="CX68" s="59" t="e">
        <f t="shared" ref="CX68:CX131" si="68">CW68+(CO68+CP68)*44/12</f>
        <v>#NUM!</v>
      </c>
      <c r="CY68" s="59">
        <f ca="1">AVERAGE(OFFSET($CX$3,0,0,'Données projet'!$E$13+1,1))-AVERAGE(OFFSET($H$3,0,0,'Données projet'!$E$13+1,1))</f>
        <v>482.74318690313885</v>
      </c>
      <c r="CZ68" s="59">
        <f t="shared" si="42"/>
        <v>205.57161411620217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5.7392949026018938</v>
      </c>
      <c r="DG68" s="21">
        <f>EXP(-LN(2)/25)*DG67+(1-EXP(-LN(2)/25))/(LN(2)/25)*Calculateur!DB68*Calculateur!DD68*VLOOKUP('Données projet'!$B$13,Paramètres!$A$1:$I$89,3,0)*0.475*44/12</f>
        <v>3.5721993026302061</v>
      </c>
      <c r="DH68" s="21">
        <f>EXP(-LN(2)/2)*DH67+(1-EXP(-LN(2)/2))/(LN(2)/2)*DB68*DE68*VLOOKUP('Données projet'!$B$13,Paramètres!$A$1:$I$89,3,0)*0.475*44/12</f>
        <v>2.4433014511146352E-5</v>
      </c>
      <c r="DI68" s="22">
        <f t="shared" ref="DI68:DI131" si="69">SUM(DF68:DH68)</f>
        <v>9.3115186382466106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538</v>
      </c>
      <c r="DM68" s="12">
        <f>VLOOKUP(A68,'Données projet'!$A$165:$I$185,9,0)</f>
        <v>27.266666666666666</v>
      </c>
      <c r="DN68" s="12">
        <f t="array" ref="DN68">INDEX(DM:DM,MIN(IF(ISNUMBER(DM68:DM264),ROW(DM68:DM264),"")))</f>
        <v>27.266666666666666</v>
      </c>
      <c r="DO68" s="12">
        <f>IF('Données projet'!$A$166&gt;35,DO67+DN68-DW67,IF(A68&lt;'Données projet'!$A$166,$DL$205^A68,IF(A68='Données projet'!$A$166,'Données projet'!$B$166,DO67+DN68-DW67)))</f>
        <v>537.99999999999989</v>
      </c>
      <c r="DP68" s="17">
        <f>DO68*VLOOKUP('Données projet'!$B$14,Paramètres!$A$1:$I$89,3,0)*VLOOKUP('Données projet'!$B$14,Paramètres!$A$1:$I$89,5,0)</f>
        <v>258.77799999999996</v>
      </c>
      <c r="DQ68" s="13">
        <f t="shared" si="43"/>
        <v>62.461825561390924</v>
      </c>
      <c r="DR68" s="20">
        <f t="shared" ref="DR68:DR131" si="70">(DP68+DQ68)*0.475*44/12</f>
        <v>559.49269618608912</v>
      </c>
      <c r="DS68" s="59">
        <f t="shared" ref="DS68:DS131" si="71">DR68+(DJ68+DK68)*44/12</f>
        <v>852.82602951942249</v>
      </c>
      <c r="DT68" s="59">
        <f ca="1">AVERAGE(OFFSET($DS$3,0,0,'Données projet'!$E$14+1,1))-AVERAGE(OFFSET($H$3,0,0,'Données projet'!$E$14+1,1))</f>
        <v>247.11965163963526</v>
      </c>
      <c r="DU68" s="59">
        <f t="shared" si="44"/>
        <v>61.686311966192704</v>
      </c>
      <c r="DV68" s="15">
        <f>IF(ISNA(VLOOKUP(A68,'Données projet'!$A$165:$I$185,3,0)),0,VLOOKUP(A68,'Données projet'!$A$165:$I$185,3,0))</f>
        <v>2</v>
      </c>
      <c r="DW68" s="15">
        <f>IF(ISNA(VLOOKUP(A68,'Données projet'!$A$165:$I$185,4,0)),0,VLOOKUP(A68,'Données projet'!$A$165:$I$185,4,0))</f>
        <v>173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0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6.8</v>
      </c>
      <c r="N69" s="13">
        <f>IF('Données projet'!$A$36&gt;35,N68+M69-V68,IF(A69&lt;'Données projet'!$A$36,$K$205^A69,IF(A69='Données projet'!$A$36,'Données projet'!$B$36,N68+M69-V68)))</f>
        <v>214.79999999999993</v>
      </c>
      <c r="O69" s="13">
        <f>N69*VLOOKUP('Données projet'!$B$9,Paramètres!$A$1:$I$89,3,0)*VLOOKUP('Données projet'!$B$9,Paramètres!$A$1:$I$89,5,0)</f>
        <v>194.35103999999993</v>
      </c>
      <c r="P69" s="13">
        <f t="shared" ref="P69:P132" si="87">EXP(-1.0587+0.8836*LN(O69)+0.284)</f>
        <v>48.500634729810159</v>
      </c>
      <c r="Q69" s="20">
        <f t="shared" si="54"/>
        <v>422.96666682108594</v>
      </c>
      <c r="R69" s="59">
        <f t="shared" si="55"/>
        <v>716.30000015441919</v>
      </c>
      <c r="S69" s="59">
        <f ca="1">AVERAGE(OFFSET($R$3,0,0,'Données projet'!$E$9+1,1))-AVERAGE(OFFSET($H$3,0,0,'Données projet'!$E$9+1,1))</f>
        <v>265.50419397354284</v>
      </c>
      <c r="T69" s="59">
        <f t="shared" ref="T69:T132" si="88">$T$3</f>
        <v>156.67965022779907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1.6337733720673886</v>
      </c>
      <c r="AA69" s="21">
        <f>EXP(-LN(2)/25)*AA68+(1-EXP(-LN(2)/25))/(LN(2)/25)*Calculateur!V69*Calculateur!X69*VLOOKUP('Données projet'!$B$9,Paramètres!$A$1:$I$89,3,0)*0.475*44/12</f>
        <v>1.5462584242199624</v>
      </c>
      <c r="AB69" s="21">
        <f>EXP(-LN(2)/2)*AB68+(1-EXP(-LN(2)/2))/(LN(2)/2)*V69*Y69*VLOOKUP('Données projet'!$B$9,Paramètres!$A$1:$I$89,3,0)*0.475*44/12</f>
        <v>2.328003313245343E-5</v>
      </c>
      <c r="AC69" s="22">
        <f t="shared" si="57"/>
        <v>3.1800550763204836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6.8</v>
      </c>
      <c r="AI69" s="13">
        <f>IF('Données projet'!$A$62&gt;35,AI68+AH69-AQ68,IF(A69&lt;'Données projet'!$A$62,$AF$205^A69,IF(A69='Données projet'!$A$62,'Données projet'!$B$62,AI68+AH69-AQ68)))</f>
        <v>214.79999999999993</v>
      </c>
      <c r="AJ69" s="13">
        <f>AI69*VLOOKUP('Données projet'!$B$10,Paramètres!$A$1:$I$89,3,0)*VLOOKUP('Données projet'!$B$10,Paramètres!$A$1:$I$89,5,0)</f>
        <v>217.80719999999994</v>
      </c>
      <c r="AK69" s="13">
        <f t="shared" ref="AK69:AK132" si="89">EXP(-1.0587+0.8836*LN(AJ69)+0.284)</f>
        <v>53.638013973813976</v>
      </c>
      <c r="AL69" s="20">
        <f t="shared" si="58"/>
        <v>472.76708100439259</v>
      </c>
      <c r="AM69" s="59">
        <f t="shared" si="59"/>
        <v>766.10041433772585</v>
      </c>
      <c r="AN69" s="59">
        <f ca="1">AVERAGE(OFFSET($AM$3,0,0,'Données projet'!$E$10+1,1))-AVERAGE(OFFSET($H$3,0,0,'Données projet'!$E$10+1,1))</f>
        <v>296.43642006376018</v>
      </c>
      <c r="AO69" s="59">
        <f t="shared" ref="AO69:AO132" si="90">$AO$3</f>
        <v>179.56041631665812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1.8309529169720735</v>
      </c>
      <c r="AV69" s="21">
        <f>EXP(-LN(2)/25)*AV68+(1-EXP(-LN(2)/25))/(LN(2)/25)*Calculateur!AQ69*Calculateur!AS69*VLOOKUP('Données projet'!$B$10,Paramètres!$A$1:$I$89,3,0)*0.475*44/12</f>
        <v>1.7328758202465104</v>
      </c>
      <c r="AW69" s="21">
        <f>EXP(-LN(2)/2)*AW68+(1-EXP(-LN(2)/2))/(LN(2)/2)*AQ69*AT69*VLOOKUP('Données projet'!$B$10,Paramètres!$A$1:$I$89,3,0)*0.475*44/12</f>
        <v>2.6089692303611611E-5</v>
      </c>
      <c r="AX69" s="21">
        <f t="shared" si="60"/>
        <v>3.5638548269108874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8.6666666666666661</v>
      </c>
      <c r="BD69" s="12">
        <f>IF('Données projet'!$A$88&gt;35,BD68+BC69-BL68,IF(A69&lt;'Données projet'!$A$88,$BA$205^A69,IF(A69='Données projet'!$A$88,'Données projet'!$B$88,BD68+BC69-BL68)))</f>
        <v>302</v>
      </c>
      <c r="BE69" s="13">
        <f>BD69*VLOOKUP('Données projet'!$B$11,Paramètres!$A$1:$I$89,3,0)*VLOOKUP('Données projet'!$B$11,Paramètres!$A$1:$I$89,5,0)</f>
        <v>202.58159999999998</v>
      </c>
      <c r="BF69" s="13">
        <f t="shared" ref="BF69:BF132" si="91">EXP(-1.0587+0.8836*LN(BE69)+0.284)</f>
        <v>50.311101076764672</v>
      </c>
      <c r="BG69" s="20">
        <f t="shared" si="61"/>
        <v>440.4547877086984</v>
      </c>
      <c r="BH69" s="59">
        <f t="shared" si="62"/>
        <v>733.78812104203166</v>
      </c>
      <c r="BI69" s="59">
        <f ca="1">AVERAGE(OFFSET($BH$3,0,0,'Données projet'!$E$11+1,1))-AVERAGE(OFFSET($H$3,0,0,'Données projet'!$E$11+1,1))</f>
        <v>181.32837315090507</v>
      </c>
      <c r="BJ69" s="59">
        <f t="shared" ref="BJ69:BJ132" si="92">$BJ$3</f>
        <v>175.03267817980338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2.684615106063998</v>
      </c>
      <c r="BQ69" s="21">
        <f>EXP(-LN(2)/25)*BQ68+(1-EXP(-LN(2)/25))/(LN(2)/25)*Calculateur!BL69*Calculateur!BN69*VLOOKUP('Données projet'!$B$11,Paramètres!$A$1:$I$89,3,0)*0.475*44/12</f>
        <v>2.5071413501859854</v>
      </c>
      <c r="BR69" s="21">
        <f>EXP(-LN(2)/2)*BR68+(1-EXP(-LN(2)/2))/(LN(2)/2)*BL69*BO69*VLOOKUP('Données projet'!$B$11,Paramètres!$A$1:$I$89,3,0)*0.475*44/12</f>
        <v>4.0470244849892911E-6</v>
      </c>
      <c r="BS69" s="22">
        <f t="shared" si="63"/>
        <v>5.1917605032744687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15.5</v>
      </c>
      <c r="BY69" s="12">
        <f>IF('Données projet'!$A$114&gt;35,BY68+BX69-CG68,IF(A69&lt;'Données projet'!$A$114,$BV$205^A69,IF(A69='Données projet'!$A$114,'Données projet'!$B$114,BY68+BX69-CG68)))</f>
        <v>361.49999999999989</v>
      </c>
      <c r="BZ69" s="13">
        <f>BY69*VLOOKUP('Données projet'!$B$12,Paramètres!$A$1:$I$89,3,0)*VLOOKUP('Données projet'!$B$12,Paramètres!$A$1:$I$89,5,0)</f>
        <v>169.18199999999996</v>
      </c>
      <c r="CA69" s="13">
        <f t="shared" ref="CA69:CA132" si="93">EXP(-1.0587+0.8836*LN(BZ69)+0.284)</f>
        <v>42.906767398977124</v>
      </c>
      <c r="CB69" s="20">
        <f t="shared" si="64"/>
        <v>369.38793655321842</v>
      </c>
      <c r="CC69" s="59">
        <f t="shared" si="65"/>
        <v>662.72126988655168</v>
      </c>
      <c r="CD69" s="59">
        <f ca="1">AVERAGE(OFFSET($CC$3,0,0,'Données projet'!$E$12+1,1))-AVERAGE(OFFSET($H$3,0,0,'Données projet'!$E$12+1,1))</f>
        <v>226.0452828290525</v>
      </c>
      <c r="CE69" s="59">
        <f t="shared" ref="CE69:CE132" si="94">$CE$3</f>
        <v>179.89696397462069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4.4490945166981941</v>
      </c>
      <c r="CL69" s="21">
        <f>EXP(-LN(2)/25)*CL68+(1-EXP(-LN(2)/25))/(LN(2)/25)*Calculateur!CG69*Calculateur!CI69*VLOOKUP('Données projet'!$B$12,Paramètres!$A$1:$I$89,3,0)*0.475*44/12</f>
        <v>4.1100120319054767</v>
      </c>
      <c r="CM69" s="21">
        <f>EXP(-LN(2)/2)*CM68+(1-EXP(-LN(2)/2))/(LN(2)/2)*CG69*CJ69*VLOOKUP('Données projet'!$B$12,Paramètres!$A$1:$I$89,3,0)*0.475*44/12</f>
        <v>4.212619264067986E-5</v>
      </c>
      <c r="CN69" s="22">
        <f t="shared" si="66"/>
        <v>8.5591486747963117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>
        <f>CT69*VLOOKUP('Données projet'!$B$13,Paramètres!$A$1:$I$89,3,0)*VLOOKUP('Données projet'!$B$13,Paramètres!$A$1:$I$89,5,0)</f>
        <v>0</v>
      </c>
      <c r="CV69" s="13" t="e">
        <f t="shared" ref="CV69:CV132" si="95">EXP(-1.0587+0.8836*LN(CU69)+0.284)</f>
        <v>#NUM!</v>
      </c>
      <c r="CW69" s="20" t="e">
        <f t="shared" si="67"/>
        <v>#NUM!</v>
      </c>
      <c r="CX69" s="59" t="e">
        <f t="shared" si="68"/>
        <v>#NUM!</v>
      </c>
      <c r="CY69" s="59">
        <f ca="1">AVERAGE(OFFSET($CX$3,0,0,'Données projet'!$E$13+1,1))-AVERAGE(OFFSET($H$3,0,0,'Données projet'!$E$13+1,1))</f>
        <v>482.74318690313885</v>
      </c>
      <c r="CZ69" s="59">
        <f t="shared" ref="CZ69:CZ132" si="96">$CZ$3</f>
        <v>205.57161411620217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5.6267508301861033</v>
      </c>
      <c r="DG69" s="21">
        <f>EXP(-LN(2)/25)*DG68+(1-EXP(-LN(2)/25))/(LN(2)/25)*Calculateur!DB69*Calculateur!DD69*VLOOKUP('Données projet'!$B$13,Paramètres!$A$1:$I$89,3,0)*0.475*44/12</f>
        <v>3.4745173248459862</v>
      </c>
      <c r="DH69" s="21">
        <f>EXP(-LN(2)/2)*DH68+(1-EXP(-LN(2)/2))/(LN(2)/2)*DB69*DE69*VLOOKUP('Données projet'!$B$13,Paramètres!$A$1:$I$89,3,0)*0.475*44/12</f>
        <v>1.7276750245660904E-5</v>
      </c>
      <c r="DI69" s="22">
        <f t="shared" si="69"/>
        <v>9.1012854317823351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26.8</v>
      </c>
      <c r="DO69" s="12">
        <f>IF('Données projet'!$A$166&gt;35,DO68+DN69-DW68,IF(A69&lt;'Données projet'!$A$166,$DL$205^A69,IF(A69='Données projet'!$A$166,'Données projet'!$B$166,DO68+DN69-DW68)))</f>
        <v>391.79999999999984</v>
      </c>
      <c r="DP69" s="17">
        <f>DO69*VLOOKUP('Données projet'!$B$14,Paramètres!$A$1:$I$89,3,0)*VLOOKUP('Données projet'!$B$14,Paramètres!$A$1:$I$89,5,0)</f>
        <v>188.45579999999995</v>
      </c>
      <c r="DQ69" s="13">
        <f t="shared" ref="DQ69:DQ132" si="97">EXP(-1.0587+0.8836*LN(DP69)+0.284)</f>
        <v>47.198390178674508</v>
      </c>
      <c r="DR69" s="20">
        <f t="shared" si="70"/>
        <v>410.43104789452468</v>
      </c>
      <c r="DS69" s="59">
        <f t="shared" si="71"/>
        <v>703.76438122785794</v>
      </c>
      <c r="DT69" s="59">
        <f ca="1">AVERAGE(OFFSET($DS$3,0,0,'Données projet'!$E$14+1,1))-AVERAGE(OFFSET($H$3,0,0,'Données projet'!$E$14+1,1))</f>
        <v>247.11965163963526</v>
      </c>
      <c r="DU69" s="59">
        <f t="shared" ref="DU69:DU132" si="98">$DU$3</f>
        <v>61.686311966192704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0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6.8</v>
      </c>
      <c r="N70" s="13">
        <f>IF('Données projet'!$A$36&gt;35,N69+M70-V69,IF(A70&lt;'Données projet'!$A$36,$K$205^A70,IF(A70='Données projet'!$A$36,'Données projet'!$B$36,N69+M70-V69)))</f>
        <v>221.59999999999994</v>
      </c>
      <c r="O70" s="13">
        <f>N70*VLOOKUP('Données projet'!$B$9,Paramètres!$A$1:$I$89,3,0)*VLOOKUP('Données projet'!$B$9,Paramètres!$A$1:$I$89,5,0)</f>
        <v>200.50367999999995</v>
      </c>
      <c r="P70" s="13">
        <f t="shared" si="87"/>
        <v>49.854845135229887</v>
      </c>
      <c r="Q70" s="20">
        <f t="shared" si="54"/>
        <v>436.04109794385857</v>
      </c>
      <c r="R70" s="59">
        <f t="shared" si="55"/>
        <v>729.37443127719189</v>
      </c>
      <c r="S70" s="59">
        <f ca="1">AVERAGE(OFFSET($R$3,0,0,'Données projet'!$E$9+1,1))-AVERAGE(OFFSET($H$3,0,0,'Données projet'!$E$9+1,1))</f>
        <v>265.50419397354284</v>
      </c>
      <c r="T70" s="59">
        <f t="shared" si="88"/>
        <v>156.67965022779907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1.6017360727445076</v>
      </c>
      <c r="AA70" s="21">
        <f>EXP(-LN(2)/25)*AA69+(1-EXP(-LN(2)/25))/(LN(2)/25)*Calculateur!V70*Calculateur!X70*VLOOKUP('Données projet'!$B$9,Paramètres!$A$1:$I$89,3,0)*0.475*44/12</f>
        <v>1.503975906295471</v>
      </c>
      <c r="AB70" s="21">
        <f>EXP(-LN(2)/2)*AB69+(1-EXP(-LN(2)/2))/(LN(2)/2)*V70*Y70*VLOOKUP('Données projet'!$B$9,Paramètres!$A$1:$I$89,3,0)*0.475*44/12</f>
        <v>1.6461469294205324E-5</v>
      </c>
      <c r="AC70" s="22">
        <f t="shared" si="57"/>
        <v>3.1057284405092727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6.8</v>
      </c>
      <c r="AI70" s="13">
        <f>IF('Données projet'!$A$62&gt;35,AI69+AH70-AQ69,IF(A70&lt;'Données projet'!$A$62,$AF$205^A70,IF(A70='Données projet'!$A$62,'Données projet'!$B$62,AI69+AH70-AQ69)))</f>
        <v>221.59999999999994</v>
      </c>
      <c r="AJ70" s="13">
        <f>AI70*VLOOKUP('Données projet'!$B$10,Paramètres!$A$1:$I$89,3,0)*VLOOKUP('Données projet'!$B$10,Paramètres!$A$1:$I$89,5,0)</f>
        <v>224.70239999999995</v>
      </c>
      <c r="AK70" s="13">
        <f t="shared" si="89"/>
        <v>55.135667706678262</v>
      </c>
      <c r="AL70" s="20">
        <f t="shared" si="58"/>
        <v>487.38463458913128</v>
      </c>
      <c r="AM70" s="59">
        <f t="shared" si="59"/>
        <v>780.7179679224646</v>
      </c>
      <c r="AN70" s="59">
        <f ca="1">AVERAGE(OFFSET($AM$3,0,0,'Données projet'!$E$10+1,1))-AVERAGE(OFFSET($H$3,0,0,'Données projet'!$E$10+1,1))</f>
        <v>296.43642006376018</v>
      </c>
      <c r="AO70" s="59">
        <f t="shared" si="90"/>
        <v>179.56041631665812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1.7950490470412586</v>
      </c>
      <c r="AV70" s="21">
        <f>EXP(-LN(2)/25)*AV69+(1-EXP(-LN(2)/25))/(LN(2)/25)*Calculateur!AQ70*Calculateur!AS70*VLOOKUP('Données projet'!$B$10,Paramètres!$A$1:$I$89,3,0)*0.475*44/12</f>
        <v>1.6854902398138907</v>
      </c>
      <c r="AW70" s="21">
        <f>EXP(-LN(2)/2)*AW69+(1-EXP(-LN(2)/2))/(LN(2)/2)*AQ70*AT70*VLOOKUP('Données projet'!$B$10,Paramètres!$A$1:$I$89,3,0)*0.475*44/12</f>
        <v>1.8448198346954248E-5</v>
      </c>
      <c r="AX70" s="21">
        <f t="shared" si="60"/>
        <v>3.4805577350534964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8.6666666666666661</v>
      </c>
      <c r="BD70" s="12">
        <f>IF('Données projet'!$A$88&gt;35,BD69+BC70-BL69,IF(A70&lt;'Données projet'!$A$88,$BA$205^A70,IF(A70='Données projet'!$A$88,'Données projet'!$B$88,BD69+BC70-BL69)))</f>
        <v>310.66666666666669</v>
      </c>
      <c r="BE70" s="13">
        <f>BD70*VLOOKUP('Données projet'!$B$11,Paramètres!$A$1:$I$89,3,0)*VLOOKUP('Données projet'!$B$11,Paramètres!$A$1:$I$89,5,0)</f>
        <v>208.39520000000002</v>
      </c>
      <c r="BF70" s="13">
        <f t="shared" si="91"/>
        <v>51.584740104647317</v>
      </c>
      <c r="BG70" s="20">
        <f t="shared" si="61"/>
        <v>452.79839568226072</v>
      </c>
      <c r="BH70" s="59">
        <f t="shared" si="62"/>
        <v>746.13172901559403</v>
      </c>
      <c r="BI70" s="59">
        <f ca="1">AVERAGE(OFFSET($BH$3,0,0,'Données projet'!$E$11+1,1))-AVERAGE(OFFSET($H$3,0,0,'Données projet'!$E$11+1,1))</f>
        <v>181.32837315090507</v>
      </c>
      <c r="BJ70" s="59">
        <f t="shared" si="92"/>
        <v>175.03267817980338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2.6319714412876127</v>
      </c>
      <c r="BQ70" s="21">
        <f>EXP(-LN(2)/25)*BQ69+(1-EXP(-LN(2)/25))/(LN(2)/25)*Calculateur!BL70*Calculateur!BN70*VLOOKUP('Données projet'!$B$11,Paramètres!$A$1:$I$89,3,0)*0.475*44/12</f>
        <v>2.438583438120316</v>
      </c>
      <c r="BR70" s="21">
        <f>EXP(-LN(2)/2)*BR69+(1-EXP(-LN(2)/2))/(LN(2)/2)*BL70*BO70*VLOOKUP('Données projet'!$B$11,Paramètres!$A$1:$I$89,3,0)*0.475*44/12</f>
        <v>2.8616784569639229E-6</v>
      </c>
      <c r="BS70" s="22">
        <f t="shared" si="63"/>
        <v>5.070557741086386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15.5</v>
      </c>
      <c r="BY70" s="12">
        <f>IF('Données projet'!$A$114&gt;35,BY69+BX70-CG69,IF(A70&lt;'Données projet'!$A$114,$BV$205^A70,IF(A70='Données projet'!$A$114,'Données projet'!$B$114,BY69+BX70-CG69)))</f>
        <v>376.99999999999989</v>
      </c>
      <c r="BZ70" s="13">
        <f>BY70*VLOOKUP('Données projet'!$B$12,Paramètres!$A$1:$I$89,3,0)*VLOOKUP('Données projet'!$B$12,Paramètres!$A$1:$I$89,5,0)</f>
        <v>176.43599999999992</v>
      </c>
      <c r="CA70" s="13">
        <f t="shared" si="93"/>
        <v>44.52834129105058</v>
      </c>
      <c r="CB70" s="20">
        <f t="shared" si="64"/>
        <v>384.84622774857962</v>
      </c>
      <c r="CC70" s="59">
        <f t="shared" si="65"/>
        <v>678.17956108191288</v>
      </c>
      <c r="CD70" s="59">
        <f ca="1">AVERAGE(OFFSET($CC$3,0,0,'Données projet'!$E$12+1,1))-AVERAGE(OFFSET($H$3,0,0,'Données projet'!$E$12+1,1))</f>
        <v>226.0452828290525</v>
      </c>
      <c r="CE70" s="59">
        <f t="shared" si="94"/>
        <v>179.89696397462069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4.3618504869054444</v>
      </c>
      <c r="CL70" s="21">
        <f>EXP(-LN(2)/25)*CL69+(1-EXP(-LN(2)/25))/(LN(2)/25)*Calculateur!CG70*Calculateur!CI70*VLOOKUP('Données projet'!$B$12,Paramètres!$A$1:$I$89,3,0)*0.475*44/12</f>
        <v>3.9976235367568824</v>
      </c>
      <c r="CM70" s="21">
        <f>EXP(-LN(2)/2)*CM69+(1-EXP(-LN(2)/2))/(LN(2)/2)*CG70*CJ70*VLOOKUP('Données projet'!$B$12,Paramètres!$A$1:$I$89,3,0)*0.475*44/12</f>
        <v>2.9787716481795566E-5</v>
      </c>
      <c r="CN70" s="22">
        <f t="shared" si="66"/>
        <v>8.3595038113788078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>
        <f>CT70*VLOOKUP('Données projet'!$B$13,Paramètres!$A$1:$I$89,3,0)*VLOOKUP('Données projet'!$B$13,Paramètres!$A$1:$I$89,5,0)</f>
        <v>0</v>
      </c>
      <c r="CV70" s="13" t="e">
        <f t="shared" si="95"/>
        <v>#NUM!</v>
      </c>
      <c r="CW70" s="20" t="e">
        <f t="shared" si="67"/>
        <v>#NUM!</v>
      </c>
      <c r="CX70" s="59" t="e">
        <f t="shared" si="68"/>
        <v>#NUM!</v>
      </c>
      <c r="CY70" s="59">
        <f ca="1">AVERAGE(OFFSET($CX$3,0,0,'Données projet'!$E$13+1,1))-AVERAGE(OFFSET($H$3,0,0,'Données projet'!$E$13+1,1))</f>
        <v>482.74318690313885</v>
      </c>
      <c r="CZ70" s="59">
        <f t="shared" si="96"/>
        <v>205.57161411620217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5.5164136783852804</v>
      </c>
      <c r="DG70" s="21">
        <f>EXP(-LN(2)/25)*DG69+(1-EXP(-LN(2)/25))/(LN(2)/25)*Calculateur!DB70*Calculateur!DD70*VLOOKUP('Données projet'!$B$13,Paramètres!$A$1:$I$89,3,0)*0.475*44/12</f>
        <v>3.3795064658811476</v>
      </c>
      <c r="DH70" s="21">
        <f>EXP(-LN(2)/2)*DH69+(1-EXP(-LN(2)/2))/(LN(2)/2)*DB70*DE70*VLOOKUP('Données projet'!$B$13,Paramètres!$A$1:$I$89,3,0)*0.475*44/12</f>
        <v>1.2216507255573176E-5</v>
      </c>
      <c r="DI70" s="22">
        <f t="shared" si="69"/>
        <v>8.8959323607736831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26.8</v>
      </c>
      <c r="DO70" s="12">
        <f>IF('Données projet'!$A$166&gt;35,DO69+DN70-DW69,IF(A70&lt;'Données projet'!$A$166,$DL$205^A70,IF(A70='Données projet'!$A$166,'Données projet'!$B$166,DO69+DN70-DW69)))</f>
        <v>418.59999999999985</v>
      </c>
      <c r="DP70" s="17">
        <f>DO70*VLOOKUP('Données projet'!$B$14,Paramètres!$A$1:$I$89,3,0)*VLOOKUP('Données projet'!$B$14,Paramètres!$A$1:$I$89,5,0)</f>
        <v>201.34659999999994</v>
      </c>
      <c r="DQ70" s="13">
        <f t="shared" si="97"/>
        <v>50.039993969411647</v>
      </c>
      <c r="DR70" s="20">
        <f t="shared" si="70"/>
        <v>437.83165116339183</v>
      </c>
      <c r="DS70" s="59">
        <f t="shared" si="71"/>
        <v>731.16498449672508</v>
      </c>
      <c r="DT70" s="59">
        <f ca="1">AVERAGE(OFFSET($DS$3,0,0,'Données projet'!$E$14+1,1))-AVERAGE(OFFSET($H$3,0,0,'Données projet'!$E$14+1,1))</f>
        <v>247.11965163963526</v>
      </c>
      <c r="DU70" s="59">
        <f t="shared" si="98"/>
        <v>61.686311966192704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0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6.8</v>
      </c>
      <c r="N71" s="13">
        <f>IF('Données projet'!$A$36&gt;35,N70+M71-V70,IF(A71&lt;'Données projet'!$A$36,$K$205^A71,IF(A71='Données projet'!$A$36,'Données projet'!$B$36,N70+M71-V70)))</f>
        <v>228.39999999999995</v>
      </c>
      <c r="O71" s="13">
        <f>N71*VLOOKUP('Données projet'!$B$9,Paramètres!$A$1:$I$89,3,0)*VLOOKUP('Données projet'!$B$9,Paramètres!$A$1:$I$89,5,0)</f>
        <v>206.65631999999994</v>
      </c>
      <c r="P71" s="13">
        <f t="shared" si="87"/>
        <v>51.20422634371338</v>
      </c>
      <c r="Q71" s="20">
        <f t="shared" si="54"/>
        <v>449.10711821530072</v>
      </c>
      <c r="R71" s="59">
        <f t="shared" si="55"/>
        <v>742.44045154863397</v>
      </c>
      <c r="S71" s="59">
        <f ca="1">AVERAGE(OFFSET($R$3,0,0,'Données projet'!$E$9+1,1))-AVERAGE(OFFSET($H$3,0,0,'Données projet'!$E$9+1,1))</f>
        <v>265.50419397354284</v>
      </c>
      <c r="T71" s="59">
        <f t="shared" si="88"/>
        <v>156.67965022779907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1.5703270053205252</v>
      </c>
      <c r="AA71" s="21">
        <f>EXP(-LN(2)/25)*AA70+(1-EXP(-LN(2)/25))/(LN(2)/25)*Calculateur!V71*Calculateur!X71*VLOOKUP('Données projet'!$B$9,Paramètres!$A$1:$I$89,3,0)*0.475*44/12</f>
        <v>1.4628496060471659</v>
      </c>
      <c r="AB71" s="21">
        <f>EXP(-LN(2)/2)*AB70+(1-EXP(-LN(2)/2))/(LN(2)/2)*V71*Y71*VLOOKUP('Données projet'!$B$9,Paramètres!$A$1:$I$89,3,0)*0.475*44/12</f>
        <v>1.1640016566226715E-5</v>
      </c>
      <c r="AC71" s="22">
        <f t="shared" si="57"/>
        <v>3.033188251384257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6.8</v>
      </c>
      <c r="AI71" s="13">
        <f>IF('Données projet'!$A$62&gt;35,AI70+AH71-AQ70,IF(A71&lt;'Données projet'!$A$62,$AF$205^A71,IF(A71='Données projet'!$A$62,'Données projet'!$B$62,AI70+AH71-AQ70)))</f>
        <v>228.39999999999995</v>
      </c>
      <c r="AJ71" s="13">
        <f>AI71*VLOOKUP('Données projet'!$B$10,Paramètres!$A$1:$I$89,3,0)*VLOOKUP('Données projet'!$B$10,Paramètres!$A$1:$I$89,5,0)</f>
        <v>231.59759999999997</v>
      </c>
      <c r="AK71" s="13">
        <f t="shared" si="89"/>
        <v>56.627980714948151</v>
      </c>
      <c r="AL71" s="20">
        <f t="shared" si="58"/>
        <v>501.99288641186791</v>
      </c>
      <c r="AM71" s="59">
        <f t="shared" si="59"/>
        <v>795.32621974520123</v>
      </c>
      <c r="AN71" s="59">
        <f ca="1">AVERAGE(OFFSET($AM$3,0,0,'Données projet'!$E$10+1,1))-AVERAGE(OFFSET($H$3,0,0,'Données projet'!$E$10+1,1))</f>
        <v>296.43642006376018</v>
      </c>
      <c r="AO71" s="59">
        <f t="shared" si="90"/>
        <v>179.56041631665812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1.7598492301005886</v>
      </c>
      <c r="AV71" s="21">
        <f>EXP(-LN(2)/25)*AV70+(1-EXP(-LN(2)/25))/(LN(2)/25)*Calculateur!AQ71*Calculateur!AS71*VLOOKUP('Données projet'!$B$10,Paramètres!$A$1:$I$89,3,0)*0.475*44/12</f>
        <v>1.6394004205701003</v>
      </c>
      <c r="AW71" s="21">
        <f>EXP(-LN(2)/2)*AW70+(1-EXP(-LN(2)/2))/(LN(2)/2)*AQ71*AT71*VLOOKUP('Données projet'!$B$10,Paramètres!$A$1:$I$89,3,0)*0.475*44/12</f>
        <v>1.3044846151805806E-5</v>
      </c>
      <c r="AX71" s="21">
        <f t="shared" si="60"/>
        <v>3.3992626955168408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8.6666666666666661</v>
      </c>
      <c r="BD71" s="12">
        <f>IF('Données projet'!$A$88&gt;35,BD70+BC71-BL70,IF(A71&lt;'Données projet'!$A$88,$BA$205^A71,IF(A71='Données projet'!$A$88,'Données projet'!$B$88,BD70+BC71-BL70)))</f>
        <v>319.33333333333337</v>
      </c>
      <c r="BE71" s="13">
        <f>BD71*VLOOKUP('Données projet'!$B$11,Paramètres!$A$1:$I$89,3,0)*VLOOKUP('Données projet'!$B$11,Paramètres!$A$1:$I$89,5,0)</f>
        <v>214.20880000000005</v>
      </c>
      <c r="BF71" s="13">
        <f t="shared" si="91"/>
        <v>52.854249500357014</v>
      </c>
      <c r="BG71" s="20">
        <f t="shared" si="61"/>
        <v>465.13481121312185</v>
      </c>
      <c r="BH71" s="59">
        <f t="shared" si="62"/>
        <v>758.46814454645516</v>
      </c>
      <c r="BI71" s="59">
        <f ca="1">AVERAGE(OFFSET($BH$3,0,0,'Données projet'!$E$11+1,1))-AVERAGE(OFFSET($H$3,0,0,'Données projet'!$E$11+1,1))</f>
        <v>181.32837315090507</v>
      </c>
      <c r="BJ71" s="59">
        <f t="shared" si="92"/>
        <v>175.03267817980338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2.5803600866680272</v>
      </c>
      <c r="BQ71" s="21">
        <f>EXP(-LN(2)/25)*BQ70+(1-EXP(-LN(2)/25))/(LN(2)/25)*Calculateur!BL71*Calculateur!BN71*VLOOKUP('Données projet'!$B$11,Paramètres!$A$1:$I$89,3,0)*0.475*44/12</f>
        <v>2.3719002457653864</v>
      </c>
      <c r="BR71" s="21">
        <f>EXP(-LN(2)/2)*BR70+(1-EXP(-LN(2)/2))/(LN(2)/2)*BL71*BO71*VLOOKUP('Données projet'!$B$11,Paramètres!$A$1:$I$89,3,0)*0.475*44/12</f>
        <v>2.0235122424946456E-6</v>
      </c>
      <c r="BS71" s="22">
        <f t="shared" si="63"/>
        <v>4.9522623559456553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15.5</v>
      </c>
      <c r="BY71" s="12">
        <f>IF('Données projet'!$A$114&gt;35,BY70+BX71-CG70,IF(A71&lt;'Données projet'!$A$114,$BV$205^A71,IF(A71='Données projet'!$A$114,'Données projet'!$B$114,BY70+BX71-CG70)))</f>
        <v>392.49999999999989</v>
      </c>
      <c r="BZ71" s="13">
        <f>BY71*VLOOKUP('Données projet'!$B$12,Paramètres!$A$1:$I$89,3,0)*VLOOKUP('Données projet'!$B$12,Paramètres!$A$1:$I$89,5,0)</f>
        <v>183.68999999999994</v>
      </c>
      <c r="CA71" s="13">
        <f t="shared" si="93"/>
        <v>46.14217109072662</v>
      </c>
      <c r="CB71" s="20">
        <f t="shared" si="64"/>
        <v>400.29103131634878</v>
      </c>
      <c r="CC71" s="59">
        <f t="shared" si="65"/>
        <v>693.62436464968209</v>
      </c>
      <c r="CD71" s="59">
        <f ca="1">AVERAGE(OFFSET($CC$3,0,0,'Données projet'!$E$12+1,1))-AVERAGE(OFFSET($H$3,0,0,'Données projet'!$E$12+1,1))</f>
        <v>226.0452828290525</v>
      </c>
      <c r="CE71" s="59">
        <f t="shared" si="94"/>
        <v>179.89696397462069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4.2763172593233261</v>
      </c>
      <c r="CL71" s="21">
        <f>EXP(-LN(2)/25)*CL70+(1-EXP(-LN(2)/25))/(LN(2)/25)*Calculateur!CG71*Calculateur!CI71*VLOOKUP('Données projet'!$B$12,Paramètres!$A$1:$I$89,3,0)*0.475*44/12</f>
        <v>3.8883083109183803</v>
      </c>
      <c r="CM71" s="21">
        <f>EXP(-LN(2)/2)*CM70+(1-EXP(-LN(2)/2))/(LN(2)/2)*CG71*CJ71*VLOOKUP('Données projet'!$B$12,Paramètres!$A$1:$I$89,3,0)*0.475*44/12</f>
        <v>2.1063096320339933E-5</v>
      </c>
      <c r="CN71" s="22">
        <f t="shared" si="66"/>
        <v>8.1646466333380268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>
        <f>CT71*VLOOKUP('Données projet'!$B$13,Paramètres!$A$1:$I$89,3,0)*VLOOKUP('Données projet'!$B$13,Paramètres!$A$1:$I$89,5,0)</f>
        <v>0</v>
      </c>
      <c r="CV71" s="13" t="e">
        <f t="shared" si="95"/>
        <v>#NUM!</v>
      </c>
      <c r="CW71" s="20" t="e">
        <f t="shared" si="67"/>
        <v>#NUM!</v>
      </c>
      <c r="CX71" s="59" t="e">
        <f t="shared" si="68"/>
        <v>#NUM!</v>
      </c>
      <c r="CY71" s="59">
        <f ca="1">AVERAGE(OFFSET($CX$3,0,0,'Données projet'!$E$13+1,1))-AVERAGE(OFFSET($H$3,0,0,'Données projet'!$E$13+1,1))</f>
        <v>482.74318690313885</v>
      </c>
      <c r="CZ71" s="59">
        <f t="shared" si="96"/>
        <v>205.57161411620217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5.4082401708322543</v>
      </c>
      <c r="DG71" s="21">
        <f>EXP(-LN(2)/25)*DG70+(1-EXP(-LN(2)/25))/(LN(2)/25)*Calculateur!DB71*Calculateur!DD71*VLOOKUP('Données projet'!$B$13,Paramètres!$A$1:$I$89,3,0)*0.475*44/12</f>
        <v>3.2870936838511065</v>
      </c>
      <c r="DH71" s="21">
        <f>EXP(-LN(2)/2)*DH70+(1-EXP(-LN(2)/2))/(LN(2)/2)*DB71*DE71*VLOOKUP('Données projet'!$B$13,Paramètres!$A$1:$I$89,3,0)*0.475*44/12</f>
        <v>8.6383751228304518E-6</v>
      </c>
      <c r="DI71" s="22">
        <f t="shared" si="69"/>
        <v>8.6953424930584831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26.8</v>
      </c>
      <c r="DO71" s="12">
        <f>IF('Données projet'!$A$166&gt;35,DO70+DN71-DW70,IF(A71&lt;'Données projet'!$A$166,$DL$205^A71,IF(A71='Données projet'!$A$166,'Données projet'!$B$166,DO70+DN71-DW70)))</f>
        <v>445.39999999999986</v>
      </c>
      <c r="DP71" s="17">
        <f>DO71*VLOOKUP('Données projet'!$B$14,Paramètres!$A$1:$I$89,3,0)*VLOOKUP('Données projet'!$B$14,Paramètres!$A$1:$I$89,5,0)</f>
        <v>214.23739999999992</v>
      </c>
      <c r="DQ71" s="13">
        <f t="shared" si="97"/>
        <v>52.860484852249762</v>
      </c>
      <c r="DR71" s="20">
        <f t="shared" si="70"/>
        <v>465.1954827843349</v>
      </c>
      <c r="DS71" s="59">
        <f t="shared" si="71"/>
        <v>758.52881611766816</v>
      </c>
      <c r="DT71" s="59">
        <f ca="1">AVERAGE(OFFSET($DS$3,0,0,'Données projet'!$E$14+1,1))-AVERAGE(OFFSET($H$3,0,0,'Données projet'!$E$14+1,1))</f>
        <v>247.11965163963526</v>
      </c>
      <c r="DU71" s="59">
        <f t="shared" si="98"/>
        <v>61.686311966192704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0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6.8</v>
      </c>
      <c r="N72" s="13">
        <f>IF('Données projet'!$A$36&gt;35,N71+M72-V71,IF(A72&lt;'Données projet'!$A$36,$K$205^A72,IF(A72='Données projet'!$A$36,'Données projet'!$B$36,N71+M72-V71)))</f>
        <v>235.19999999999996</v>
      </c>
      <c r="O72" s="13">
        <f>N72*VLOOKUP('Données projet'!$B$9,Paramètres!$A$1:$I$89,3,0)*VLOOKUP('Données projet'!$B$9,Paramètres!$A$1:$I$89,5,0)</f>
        <v>212.80895999999996</v>
      </c>
      <c r="P72" s="13">
        <f t="shared" si="87"/>
        <v>52.548938637485847</v>
      </c>
      <c r="Q72" s="20">
        <f t="shared" si="54"/>
        <v>462.16500679362099</v>
      </c>
      <c r="R72" s="59">
        <f t="shared" si="55"/>
        <v>755.4983401269543</v>
      </c>
      <c r="S72" s="59">
        <f ca="1">AVERAGE(OFFSET($R$3,0,0,'Données projet'!$E$9+1,1))-AVERAGE(OFFSET($H$3,0,0,'Données projet'!$E$9+1,1))</f>
        <v>265.50419397354284</v>
      </c>
      <c r="T72" s="59">
        <f t="shared" si="88"/>
        <v>156.67965022779907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1.5395338505510876</v>
      </c>
      <c r="AA72" s="21">
        <f>EXP(-LN(2)/25)*AA71+(1-EXP(-LN(2)/25))/(LN(2)/25)*Calculateur!V72*Calculateur!X72*VLOOKUP('Données projet'!$B$9,Paramètres!$A$1:$I$89,3,0)*0.475*44/12</f>
        <v>1.4228479066418886</v>
      </c>
      <c r="AB72" s="21">
        <f>EXP(-LN(2)/2)*AB71+(1-EXP(-LN(2)/2))/(LN(2)/2)*V72*Y72*VLOOKUP('Données projet'!$B$9,Paramètres!$A$1:$I$89,3,0)*0.475*44/12</f>
        <v>8.2307346471026619E-6</v>
      </c>
      <c r="AC72" s="22">
        <f t="shared" si="57"/>
        <v>2.9623899879276236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6.8</v>
      </c>
      <c r="AI72" s="13">
        <f>IF('Données projet'!$A$62&gt;35,AI71+AH72-AQ71,IF(A72&lt;'Données projet'!$A$62,$AF$205^A72,IF(A72='Données projet'!$A$62,'Données projet'!$B$62,AI71+AH72-AQ71)))</f>
        <v>235.19999999999996</v>
      </c>
      <c r="AJ72" s="13">
        <f>AI72*VLOOKUP('Données projet'!$B$10,Paramètres!$A$1:$I$89,3,0)*VLOOKUP('Données projet'!$B$10,Paramètres!$A$1:$I$89,5,0)</f>
        <v>238.49279999999996</v>
      </c>
      <c r="AK72" s="13">
        <f t="shared" si="89"/>
        <v>58.115130258576542</v>
      </c>
      <c r="AL72" s="20">
        <f t="shared" si="58"/>
        <v>516.59214520035414</v>
      </c>
      <c r="AM72" s="59">
        <f t="shared" si="59"/>
        <v>809.92547853368751</v>
      </c>
      <c r="AN72" s="59">
        <f ca="1">AVERAGE(OFFSET($AM$3,0,0,'Données projet'!$E$10+1,1))-AVERAGE(OFFSET($H$3,0,0,'Données projet'!$E$10+1,1))</f>
        <v>296.43642006376018</v>
      </c>
      <c r="AO72" s="59">
        <f t="shared" si="90"/>
        <v>179.56041631665812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1.7253396601003568</v>
      </c>
      <c r="AV72" s="21">
        <f>EXP(-LN(2)/25)*AV71+(1-EXP(-LN(2)/25))/(LN(2)/25)*Calculateur!AQ72*Calculateur!AS72*VLOOKUP('Données projet'!$B$10,Paramètres!$A$1:$I$89,3,0)*0.475*44/12</f>
        <v>1.5945709298572897</v>
      </c>
      <c r="AW72" s="21">
        <f>EXP(-LN(2)/2)*AW71+(1-EXP(-LN(2)/2))/(LN(2)/2)*AQ72*AT72*VLOOKUP('Données projet'!$B$10,Paramètres!$A$1:$I$89,3,0)*0.475*44/12</f>
        <v>9.2240991734771241E-6</v>
      </c>
      <c r="AX72" s="21">
        <f t="shared" si="60"/>
        <v>3.3199198140568198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>
        <f>VLOOKUP(A72,'Données projet'!$A$87:$I$107,2,0)</f>
        <v>328</v>
      </c>
      <c r="BB72" s="12">
        <f>VLOOKUP(A72,'Données projet'!$A$87:$I$107,9,0)</f>
        <v>8.6666666666666661</v>
      </c>
      <c r="BC72" s="12">
        <f t="array" ref="BC72">INDEX(BB:BB,MIN(IF(ISNUMBER(BB72:BB268),ROW(BB72:BB268),"")))</f>
        <v>8.6666666666666661</v>
      </c>
      <c r="BD72" s="12">
        <f>IF('Données projet'!$A$88&gt;35,BD71+BC72-BL71,IF(A72&lt;'Données projet'!$A$88,$BA$205^A72,IF(A72='Données projet'!$A$88,'Données projet'!$B$88,BD71+BC72-BL71)))</f>
        <v>328.00000000000006</v>
      </c>
      <c r="BE72" s="13">
        <f>BD72*VLOOKUP('Données projet'!$B$11,Paramètres!$A$1:$I$89,3,0)*VLOOKUP('Données projet'!$B$11,Paramètres!$A$1:$I$89,5,0)</f>
        <v>220.02240000000003</v>
      </c>
      <c r="BF72" s="13">
        <f t="shared" si="91"/>
        <v>54.11975422107303</v>
      </c>
      <c r="BG72" s="20">
        <f t="shared" si="61"/>
        <v>477.46425193503552</v>
      </c>
      <c r="BH72" s="59">
        <f t="shared" si="62"/>
        <v>770.79758526836883</v>
      </c>
      <c r="BI72" s="59">
        <f ca="1">AVERAGE(OFFSET($BH$3,0,0,'Données projet'!$E$11+1,1))-AVERAGE(OFFSET($H$3,0,0,'Données projet'!$E$11+1,1))</f>
        <v>181.32837315090507</v>
      </c>
      <c r="BJ72" s="59">
        <f t="shared" si="92"/>
        <v>175.03267817980338</v>
      </c>
      <c r="BK72" s="15">
        <f>IF(ISNA(VLOOKUP(A72,'Données projet'!$A$87:$I$107,3,0)),0,VLOOKUP(A72,'Données projet'!$A$87:$I$107,3,0))</f>
        <v>10</v>
      </c>
      <c r="BL72" s="15">
        <f>IF(ISNA(VLOOKUP(A72,'Données projet'!$A$87:$I$107,4,0)),0,VLOOKUP(A72,'Données projet'!$A$87:$I$107,4,0))</f>
        <v>328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2.5297607992327138</v>
      </c>
      <c r="BQ72" s="21">
        <f>EXP(-LN(2)/25)*BQ71+(1-EXP(-LN(2)/25))/(LN(2)/25)*Calculateur!BL72*Calculateur!BN72*VLOOKUP('Données projet'!$B$11,Paramètres!$A$1:$I$89,3,0)*0.475*44/12</f>
        <v>2.3070405088121189</v>
      </c>
      <c r="BR72" s="21">
        <f>EXP(-LN(2)/2)*BR71+(1-EXP(-LN(2)/2))/(LN(2)/2)*BL72*BO72*VLOOKUP('Données projet'!$B$11,Paramètres!$A$1:$I$89,3,0)*0.475*44/12</f>
        <v>1.4308392284819615E-6</v>
      </c>
      <c r="BS72" s="22">
        <f t="shared" si="63"/>
        <v>4.8368027388840611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15.5</v>
      </c>
      <c r="BY72" s="12">
        <f>IF('Données projet'!$A$114&gt;35,BY71+BX72-CG71,IF(A72&lt;'Données projet'!$A$114,$BV$205^A72,IF(A72='Données projet'!$A$114,'Données projet'!$B$114,BY71+BX72-CG71)))</f>
        <v>407.99999999999989</v>
      </c>
      <c r="BZ72" s="13">
        <f>BY72*VLOOKUP('Données projet'!$B$12,Paramètres!$A$1:$I$89,3,0)*VLOOKUP('Données projet'!$B$12,Paramètres!$A$1:$I$89,5,0)</f>
        <v>190.94399999999996</v>
      </c>
      <c r="CA72" s="13">
        <f t="shared" si="93"/>
        <v>47.748597609826554</v>
      </c>
      <c r="CB72" s="20">
        <f t="shared" si="64"/>
        <v>415.72294083711449</v>
      </c>
      <c r="CC72" s="59">
        <f t="shared" si="65"/>
        <v>709.05627417044775</v>
      </c>
      <c r="CD72" s="59">
        <f ca="1">AVERAGE(OFFSET($CC$3,0,0,'Données projet'!$E$12+1,1))-AVERAGE(OFFSET($H$3,0,0,'Données projet'!$E$12+1,1))</f>
        <v>226.0452828290525</v>
      </c>
      <c r="CE72" s="59">
        <f t="shared" si="94"/>
        <v>179.89696397462069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4.1924612861639758</v>
      </c>
      <c r="CL72" s="21">
        <f>EXP(-LN(2)/25)*CL71+(1-EXP(-LN(2)/25))/(LN(2)/25)*Calculateur!CG72*Calculateur!CI72*VLOOKUP('Données projet'!$B$12,Paramètres!$A$1:$I$89,3,0)*0.475*44/12</f>
        <v>3.7819823156790697</v>
      </c>
      <c r="CM72" s="21">
        <f>EXP(-LN(2)/2)*CM71+(1-EXP(-LN(2)/2))/(LN(2)/2)*CG72*CJ72*VLOOKUP('Données projet'!$B$12,Paramètres!$A$1:$I$89,3,0)*0.475*44/12</f>
        <v>1.4893858240897785E-5</v>
      </c>
      <c r="CN72" s="22">
        <f t="shared" si="66"/>
        <v>7.9744584957012865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>
        <f>CT72*VLOOKUP('Données projet'!$B$13,Paramètres!$A$1:$I$89,3,0)*VLOOKUP('Données projet'!$B$13,Paramètres!$A$1:$I$89,5,0)</f>
        <v>0</v>
      </c>
      <c r="CV72" s="13" t="e">
        <f t="shared" si="95"/>
        <v>#NUM!</v>
      </c>
      <c r="CW72" s="20" t="e">
        <f t="shared" si="67"/>
        <v>#NUM!</v>
      </c>
      <c r="CX72" s="59" t="e">
        <f t="shared" si="68"/>
        <v>#NUM!</v>
      </c>
      <c r="CY72" s="59">
        <f ca="1">AVERAGE(OFFSET($CX$3,0,0,'Données projet'!$E$13+1,1))-AVERAGE(OFFSET($H$3,0,0,'Données projet'!$E$13+1,1))</f>
        <v>482.74318690313885</v>
      </c>
      <c r="CZ72" s="59">
        <f t="shared" si="96"/>
        <v>205.57161411620217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5.302187879783018</v>
      </c>
      <c r="DG72" s="21">
        <f>EXP(-LN(2)/25)*DG71+(1-EXP(-LN(2)/25))/(LN(2)/25)*Calculateur!DB72*Calculateur!DD72*VLOOKUP('Données projet'!$B$13,Paramètres!$A$1:$I$89,3,0)*0.475*44/12</f>
        <v>3.197207934205454</v>
      </c>
      <c r="DH72" s="21">
        <f>EXP(-LN(2)/2)*DH71+(1-EXP(-LN(2)/2))/(LN(2)/2)*DB72*DE72*VLOOKUP('Données projet'!$B$13,Paramètres!$A$1:$I$89,3,0)*0.475*44/12</f>
        <v>6.1082536277865879E-6</v>
      </c>
      <c r="DI72" s="22">
        <f t="shared" si="69"/>
        <v>8.4994019222420985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26.8</v>
      </c>
      <c r="DO72" s="12">
        <f>IF('Données projet'!$A$166&gt;35,DO71+DN72-DW71,IF(A72&lt;'Données projet'!$A$166,$DL$205^A72,IF(A72='Données projet'!$A$166,'Données projet'!$B$166,DO71+DN72-DW71)))</f>
        <v>472.19999999999987</v>
      </c>
      <c r="DP72" s="17">
        <f>DO72*VLOOKUP('Données projet'!$B$14,Paramètres!$A$1:$I$89,3,0)*VLOOKUP('Données projet'!$B$14,Paramètres!$A$1:$I$89,5,0)</f>
        <v>227.12819999999994</v>
      </c>
      <c r="DQ72" s="13">
        <f t="shared" si="97"/>
        <v>55.661277879272923</v>
      </c>
      <c r="DR72" s="20">
        <f t="shared" si="70"/>
        <v>492.52500730640014</v>
      </c>
      <c r="DS72" s="59">
        <f t="shared" si="71"/>
        <v>785.85834063973346</v>
      </c>
      <c r="DT72" s="59">
        <f ca="1">AVERAGE(OFFSET($DS$3,0,0,'Données projet'!$E$14+1,1))-AVERAGE(OFFSET($H$3,0,0,'Données projet'!$E$14+1,1))</f>
        <v>247.11965163963526</v>
      </c>
      <c r="DU72" s="59">
        <f t="shared" si="98"/>
        <v>61.686311966192704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0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242</v>
      </c>
      <c r="L73" s="12">
        <f>VLOOKUP(A73,'Données projet'!$A$35:$I$55,9,0)</f>
        <v>6.8</v>
      </c>
      <c r="M73" s="12">
        <f t="array" ref="M73">INDEX(L:L,MIN(IF(ISNUMBER(L73:L269),ROW(L73:L269),"")))</f>
        <v>6.8</v>
      </c>
      <c r="N73" s="13">
        <f>IF('Données projet'!$A$36&gt;35,N72+M73-V72,IF(A73&lt;'Données projet'!$A$36,$K$205^A73,IF(A73='Données projet'!$A$36,'Données projet'!$B$36,N72+M73-V72)))</f>
        <v>241.99999999999997</v>
      </c>
      <c r="O73" s="13">
        <f>N73*VLOOKUP('Données projet'!$B$9,Paramètres!$A$1:$I$89,3,0)*VLOOKUP('Données projet'!$B$9,Paramètres!$A$1:$I$89,5,0)</f>
        <v>218.96159999999998</v>
      </c>
      <c r="P73" s="13">
        <f t="shared" si="87"/>
        <v>53.88913250370743</v>
      </c>
      <c r="Q73" s="20">
        <f t="shared" si="54"/>
        <v>475.21502577729035</v>
      </c>
      <c r="R73" s="59">
        <f t="shared" si="55"/>
        <v>768.54835911062366</v>
      </c>
      <c r="S73" s="59">
        <f ca="1">AVERAGE(OFFSET($R$3,0,0,'Données projet'!$E$9+1,1))-AVERAGE(OFFSET($H$3,0,0,'Données projet'!$E$9+1,1))</f>
        <v>265.50419397354284</v>
      </c>
      <c r="T73" s="59">
        <f t="shared" si="88"/>
        <v>156.67965022779907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21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1.5093445307647089</v>
      </c>
      <c r="AA73" s="21">
        <f>EXP(-LN(2)/25)*AA72+(1-EXP(-LN(2)/25))/(LN(2)/25)*Calculateur!V73*Calculateur!X73*VLOOKUP('Données projet'!$B$9,Paramètres!$A$1:$I$89,3,0)*0.475*44/12</f>
        <v>1.3839400558104467</v>
      </c>
      <c r="AB73" s="21">
        <f>EXP(-LN(2)/2)*AB72+(1-EXP(-LN(2)/2))/(LN(2)/2)*V73*Y73*VLOOKUP('Données projet'!$B$9,Paramètres!$A$1:$I$89,3,0)*0.475*44/12</f>
        <v>5.8200082831133574E-6</v>
      </c>
      <c r="AC73" s="22">
        <f t="shared" si="57"/>
        <v>2.8932904065834388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242</v>
      </c>
      <c r="AG73" s="12">
        <f>VLOOKUP(A73,'Données projet'!$A$61:$I$81,9,0)</f>
        <v>6.8</v>
      </c>
      <c r="AH73" s="12">
        <f t="array" ref="AH73">INDEX(AG:AG,MIN(IF(ISNUMBER(AG73:AG269),ROW(AG73:AG269),"")))</f>
        <v>6.8</v>
      </c>
      <c r="AI73" s="13">
        <f>IF('Données projet'!$A$62&gt;35,AI72+AH73-AQ72,IF(A73&lt;'Données projet'!$A$62,$AF$205^A73,IF(A73='Données projet'!$A$62,'Données projet'!$B$62,AI72+AH73-AQ72)))</f>
        <v>241.99999999999997</v>
      </c>
      <c r="AJ73" s="13">
        <f>AI73*VLOOKUP('Données projet'!$B$10,Paramètres!$A$1:$I$89,3,0)*VLOOKUP('Données projet'!$B$10,Paramètres!$A$1:$I$89,5,0)</f>
        <v>245.38799999999998</v>
      </c>
      <c r="AK73" s="13">
        <f t="shared" si="89"/>
        <v>59.597282764919569</v>
      </c>
      <c r="AL73" s="20">
        <f t="shared" si="58"/>
        <v>531.18270081556818</v>
      </c>
      <c r="AM73" s="59">
        <f t="shared" si="59"/>
        <v>824.51603414890155</v>
      </c>
      <c r="AN73" s="59">
        <f ca="1">AVERAGE(OFFSET($AM$3,0,0,'Données projet'!$E$10+1,1))-AVERAGE(OFFSET($H$3,0,0,'Données projet'!$E$10+1,1))</f>
        <v>296.43642006376018</v>
      </c>
      <c r="AO73" s="59">
        <f t="shared" si="90"/>
        <v>179.56041631665812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21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1.6915068017190702</v>
      </c>
      <c r="AV73" s="21">
        <f>EXP(-LN(2)/25)*AV72+(1-EXP(-LN(2)/25))/(LN(2)/25)*Calculateur!AQ73*Calculateur!AS73*VLOOKUP('Données projet'!$B$10,Paramètres!$A$1:$I$89,3,0)*0.475*44/12</f>
        <v>1.5509673039255014</v>
      </c>
      <c r="AW73" s="21">
        <f>EXP(-LN(2)/2)*AW72+(1-EXP(-LN(2)/2))/(LN(2)/2)*AQ73*AT73*VLOOKUP('Données projet'!$B$10,Paramètres!$A$1:$I$89,3,0)*0.475*44/12</f>
        <v>6.5224230759029028E-6</v>
      </c>
      <c r="AX73" s="21">
        <f t="shared" si="60"/>
        <v>3.2424806280676477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5.6843418860808015E-14</v>
      </c>
      <c r="BE73" s="13">
        <f>BD73*VLOOKUP('Données projet'!$B$11,Paramètres!$A$1:$I$89,3,0)*VLOOKUP('Données projet'!$B$11,Paramètres!$A$1:$I$89,5,0)</f>
        <v>3.813056537183002E-14</v>
      </c>
      <c r="BF73" s="13">
        <f t="shared" si="91"/>
        <v>6.4086286045526829E-13</v>
      </c>
      <c r="BG73" s="20">
        <f t="shared" si="61"/>
        <v>1.1825802166488628E-12</v>
      </c>
      <c r="BH73" s="59">
        <f t="shared" si="62"/>
        <v>293.33333333333451</v>
      </c>
      <c r="BI73" s="59">
        <f ca="1">AVERAGE(OFFSET($BH$3,0,0,'Données projet'!$E$11+1,1))-AVERAGE(OFFSET($H$3,0,0,'Données projet'!$E$11+1,1))</f>
        <v>181.32837315090507</v>
      </c>
      <c r="BJ73" s="59">
        <f t="shared" si="92"/>
        <v>175.03267817980338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2.4801537329614889</v>
      </c>
      <c r="BQ73" s="21">
        <f>EXP(-LN(2)/25)*BQ72+(1-EXP(-LN(2)/25))/(LN(2)/25)*Calculateur!BL73*Calculateur!BN73*VLOOKUP('Données projet'!$B$11,Paramètres!$A$1:$I$89,3,0)*0.475*44/12</f>
        <v>2.243954364776664</v>
      </c>
      <c r="BR73" s="21">
        <f>EXP(-LN(2)/2)*BR72+(1-EXP(-LN(2)/2))/(LN(2)/2)*BL73*BO73*VLOOKUP('Données projet'!$B$11,Paramètres!$A$1:$I$89,3,0)*0.475*44/12</f>
        <v>1.0117561212473228E-6</v>
      </c>
      <c r="BS73" s="22">
        <f t="shared" si="63"/>
        <v>4.7241091094942744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423.5</v>
      </c>
      <c r="BW73" s="12">
        <f>VLOOKUP(A73,'Données projet'!$A$113:$I$133,9,0)</f>
        <v>15.5</v>
      </c>
      <c r="BX73" s="12">
        <f t="array" ref="BX73">INDEX(BW:BW,MIN(IF(ISNUMBER(BW73:BW269),ROW(BW73:BW269),"")))</f>
        <v>15.5</v>
      </c>
      <c r="BY73" s="12">
        <f>IF('Données projet'!$A$114&gt;35,BY72+BX73-CG72,IF(A73&lt;'Données projet'!$A$114,$BV$205^A73,IF(A73='Données projet'!$A$114,'Données projet'!$B$114,BY72+BX73-CG72)))</f>
        <v>423.49999999999989</v>
      </c>
      <c r="BZ73" s="13">
        <f>BY73*VLOOKUP('Données projet'!$B$12,Paramètres!$A$1:$I$89,3,0)*VLOOKUP('Données projet'!$B$12,Paramètres!$A$1:$I$89,5,0)</f>
        <v>198.19799999999995</v>
      </c>
      <c r="CA73" s="13">
        <f t="shared" si="93"/>
        <v>49.347934298451406</v>
      </c>
      <c r="CB73" s="20">
        <f t="shared" si="64"/>
        <v>431.14250223646945</v>
      </c>
      <c r="CC73" s="59">
        <f t="shared" si="65"/>
        <v>724.47583556980271</v>
      </c>
      <c r="CD73" s="59">
        <f ca="1">AVERAGE(OFFSET($CC$3,0,0,'Données projet'!$E$12+1,1))-AVERAGE(OFFSET($H$3,0,0,'Données projet'!$E$12+1,1))</f>
        <v>226.0452828290525</v>
      </c>
      <c r="CE73" s="59">
        <f t="shared" si="94"/>
        <v>179.89696397462069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87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4.1102496774911872</v>
      </c>
      <c r="CL73" s="21">
        <f>EXP(-LN(2)/25)*CL72+(1-EXP(-LN(2)/25))/(LN(2)/25)*Calculateur!CG73*Calculateur!CI73*VLOOKUP('Données projet'!$B$12,Paramètres!$A$1:$I$89,3,0)*0.475*44/12</f>
        <v>3.6785638103710192</v>
      </c>
      <c r="CM73" s="21">
        <f>EXP(-LN(2)/2)*CM72+(1-EXP(-LN(2)/2))/(LN(2)/2)*CG73*CJ73*VLOOKUP('Données projet'!$B$12,Paramètres!$A$1:$I$89,3,0)*0.475*44/12</f>
        <v>1.0531548160169968E-5</v>
      </c>
      <c r="CN73" s="22">
        <f t="shared" si="66"/>
        <v>7.7888240194103666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>
        <f>CT73*VLOOKUP('Données projet'!$B$13,Paramètres!$A$1:$I$89,3,0)*VLOOKUP('Données projet'!$B$13,Paramètres!$A$1:$I$89,5,0)</f>
        <v>0</v>
      </c>
      <c r="CV73" s="13" t="e">
        <f t="shared" si="95"/>
        <v>#NUM!</v>
      </c>
      <c r="CW73" s="20" t="e">
        <f t="shared" si="67"/>
        <v>#NUM!</v>
      </c>
      <c r="CX73" s="59" t="e">
        <f t="shared" si="68"/>
        <v>#NUM!</v>
      </c>
      <c r="CY73" s="59">
        <f ca="1">AVERAGE(OFFSET($CX$3,0,0,'Données projet'!$E$13+1,1))-AVERAGE(OFFSET($H$3,0,0,'Données projet'!$E$13+1,1))</f>
        <v>482.74318690313885</v>
      </c>
      <c r="CZ73" s="59">
        <f t="shared" si="96"/>
        <v>205.57161411620217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5.1982152094757472</v>
      </c>
      <c r="DG73" s="21">
        <f>EXP(-LN(2)/25)*DG72+(1-EXP(-LN(2)/25))/(LN(2)/25)*Calculateur!DB73*Calculateur!DD73*VLOOKUP('Données projet'!$B$13,Paramètres!$A$1:$I$89,3,0)*0.475*44/12</f>
        <v>3.1097801151107478</v>
      </c>
      <c r="DH73" s="21">
        <f>EXP(-LN(2)/2)*DH72+(1-EXP(-LN(2)/2))/(LN(2)/2)*DB73*DE73*VLOOKUP('Données projet'!$B$13,Paramètres!$A$1:$I$89,3,0)*0.475*44/12</f>
        <v>4.3191875614152259E-6</v>
      </c>
      <c r="DI73" s="22">
        <f t="shared" si="69"/>
        <v>8.3079996437740569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26.8</v>
      </c>
      <c r="DO73" s="12">
        <f>IF('Données projet'!$A$166&gt;35,DO72+DN73-DW72,IF(A73&lt;'Données projet'!$A$166,$DL$205^A73,IF(A73='Données projet'!$A$166,'Données projet'!$B$166,DO72+DN73-DW72)))</f>
        <v>498.99999999999989</v>
      </c>
      <c r="DP73" s="17">
        <f>DO73*VLOOKUP('Données projet'!$B$14,Paramètres!$A$1:$I$89,3,0)*VLOOKUP('Données projet'!$B$14,Paramètres!$A$1:$I$89,5,0)</f>
        <v>240.01899999999998</v>
      </c>
      <c r="DQ73" s="13">
        <f t="shared" si="97"/>
        <v>58.443618405936363</v>
      </c>
      <c r="DR73" s="20">
        <f t="shared" si="70"/>
        <v>519.82239372367246</v>
      </c>
      <c r="DS73" s="59">
        <f t="shared" si="71"/>
        <v>813.15572705700583</v>
      </c>
      <c r="DT73" s="59">
        <f ca="1">AVERAGE(OFFSET($DS$3,0,0,'Données projet'!$E$14+1,1))-AVERAGE(OFFSET($H$3,0,0,'Données projet'!$E$14+1,1))</f>
        <v>247.11965163963526</v>
      </c>
      <c r="DU73" s="59">
        <f t="shared" si="98"/>
        <v>61.686311966192704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0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6.2</v>
      </c>
      <c r="N74" s="13">
        <f>IF('Données projet'!$A$36&gt;35,N73+M74-V73,IF(A74&lt;'Données projet'!$A$36,$K$205^A74,IF(A74='Données projet'!$A$36,'Données projet'!$B$36,N73+M74-V73)))</f>
        <v>227.19999999999996</v>
      </c>
      <c r="O74" s="13">
        <f>N74*VLOOKUP('Données projet'!$B$9,Paramètres!$A$1:$I$89,3,0)*VLOOKUP('Données projet'!$B$9,Paramètres!$A$1:$I$89,5,0)</f>
        <v>205.57055999999997</v>
      </c>
      <c r="P74" s="13">
        <f t="shared" si="87"/>
        <v>50.966443946767392</v>
      </c>
      <c r="Q74" s="20">
        <f t="shared" si="54"/>
        <v>446.80194854061978</v>
      </c>
      <c r="R74" s="59">
        <f t="shared" si="55"/>
        <v>740.13528187395309</v>
      </c>
      <c r="S74" s="59">
        <f ca="1">AVERAGE(OFFSET($R$3,0,0,'Données projet'!$E$9+1,1))-AVERAGE(OFFSET($H$3,0,0,'Données projet'!$E$9+1,1))</f>
        <v>265.50419397354284</v>
      </c>
      <c r="T74" s="59">
        <f t="shared" si="88"/>
        <v>156.67965022779907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1.4797472051256741</v>
      </c>
      <c r="AA74" s="21">
        <f>EXP(-LN(2)/25)*AA73+(1-EXP(-LN(2)/25))/(LN(2)/25)*Calculateur!V74*Calculateur!X74*VLOOKUP('Données projet'!$B$9,Paramètres!$A$1:$I$89,3,0)*0.475*44/12</f>
        <v>1.3460961422060655</v>
      </c>
      <c r="AB74" s="21">
        <f>EXP(-LN(2)/2)*AB73+(1-EXP(-LN(2)/2))/(LN(2)/2)*V74*Y74*VLOOKUP('Données projet'!$B$9,Paramètres!$A$1:$I$89,3,0)*0.475*44/12</f>
        <v>4.115367323551331E-6</v>
      </c>
      <c r="AC74" s="22">
        <f t="shared" si="57"/>
        <v>2.8258474626990631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6.2</v>
      </c>
      <c r="AI74" s="13">
        <f>IF('Données projet'!$A$62&gt;35,AI73+AH74-AQ73,IF(A74&lt;'Données projet'!$A$62,$AF$205^A74,IF(A74='Données projet'!$A$62,'Données projet'!$B$62,AI73+AH74-AQ73)))</f>
        <v>227.19999999999996</v>
      </c>
      <c r="AJ74" s="13">
        <f>AI74*VLOOKUP('Données projet'!$B$10,Paramètres!$A$1:$I$89,3,0)*VLOOKUP('Données projet'!$B$10,Paramètres!$A$1:$I$89,5,0)</f>
        <v>230.38079999999997</v>
      </c>
      <c r="AK74" s="13">
        <f t="shared" si="89"/>
        <v>56.365011465139979</v>
      </c>
      <c r="AL74" s="20">
        <f t="shared" si="58"/>
        <v>499.41562163511867</v>
      </c>
      <c r="AM74" s="59">
        <f t="shared" si="59"/>
        <v>792.74895496845193</v>
      </c>
      <c r="AN74" s="59">
        <f ca="1">AVERAGE(OFFSET($AM$3,0,0,'Données projet'!$E$10+1,1))-AVERAGE(OFFSET($H$3,0,0,'Données projet'!$E$10+1,1))</f>
        <v>296.43642006376018</v>
      </c>
      <c r="AO74" s="59">
        <f t="shared" si="90"/>
        <v>179.56041631665812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1.6583373850546346</v>
      </c>
      <c r="AV74" s="21">
        <f>EXP(-LN(2)/25)*AV73+(1-EXP(-LN(2)/25))/(LN(2)/25)*Calculateur!AQ74*Calculateur!AS74*VLOOKUP('Données projet'!$B$10,Paramètres!$A$1:$I$89,3,0)*0.475*44/12</f>
        <v>1.5085560214378329</v>
      </c>
      <c r="AW74" s="21">
        <f>EXP(-LN(2)/2)*AW73+(1-EXP(-LN(2)/2))/(LN(2)/2)*AQ74*AT74*VLOOKUP('Données projet'!$B$10,Paramètres!$A$1:$I$89,3,0)*0.475*44/12</f>
        <v>4.6120495867385621E-6</v>
      </c>
      <c r="AX74" s="21">
        <f t="shared" si="60"/>
        <v>3.1668980185420539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5.6843418860808015E-14</v>
      </c>
      <c r="BE74" s="13">
        <f>BD74*VLOOKUP('Données projet'!$B$11,Paramètres!$A$1:$I$89,3,0)*VLOOKUP('Données projet'!$B$11,Paramètres!$A$1:$I$89,5,0)</f>
        <v>3.813056537183002E-14</v>
      </c>
      <c r="BF74" s="13">
        <f t="shared" si="91"/>
        <v>6.4086286045526829E-13</v>
      </c>
      <c r="BG74" s="20">
        <f t="shared" si="61"/>
        <v>1.1825802166488628E-12</v>
      </c>
      <c r="BH74" s="59">
        <f t="shared" si="62"/>
        <v>293.33333333333451</v>
      </c>
      <c r="BI74" s="59">
        <f ca="1">AVERAGE(OFFSET($BH$3,0,0,'Données projet'!$E$11+1,1))-AVERAGE(OFFSET($H$3,0,0,'Données projet'!$E$11+1,1))</f>
        <v>181.32837315090507</v>
      </c>
      <c r="BJ74" s="59">
        <f t="shared" si="92"/>
        <v>175.03267817980338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2.4315194310025201</v>
      </c>
      <c r="BQ74" s="21">
        <f>EXP(-LN(2)/25)*BQ73+(1-EXP(-LN(2)/25))/(LN(2)/25)*Calculateur!BL74*Calculateur!BN74*VLOOKUP('Données projet'!$B$11,Paramètres!$A$1:$I$89,3,0)*0.475*44/12</f>
        <v>2.1825933146674146</v>
      </c>
      <c r="BR74" s="21">
        <f>EXP(-LN(2)/2)*BR73+(1-EXP(-LN(2)/2))/(LN(2)/2)*BL74*BO74*VLOOKUP('Données projet'!$B$11,Paramètres!$A$1:$I$89,3,0)*0.475*44/12</f>
        <v>7.1541961424098073E-7</v>
      </c>
      <c r="BS74" s="22">
        <f t="shared" si="63"/>
        <v>4.6141134610895493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17</v>
      </c>
      <c r="BY74" s="12">
        <f>IF('Données projet'!$A$114&gt;35,BY73+BX74-CG73,IF(A74&lt;'Données projet'!$A$114,$BV$205^A74,IF(A74='Données projet'!$A$114,'Données projet'!$B$114,BY73+BX74-CG73)))</f>
        <v>353.49999999999989</v>
      </c>
      <c r="BZ74" s="13">
        <f>BY74*VLOOKUP('Données projet'!$B$12,Paramètres!$A$1:$I$89,3,0)*VLOOKUP('Données projet'!$B$12,Paramètres!$A$1:$I$89,5,0)</f>
        <v>165.43799999999993</v>
      </c>
      <c r="CA74" s="13">
        <f t="shared" si="93"/>
        <v>42.066675415215769</v>
      </c>
      <c r="CB74" s="20">
        <f t="shared" si="64"/>
        <v>361.40397634816736</v>
      </c>
      <c r="CC74" s="59">
        <f t="shared" si="65"/>
        <v>654.73730968150062</v>
      </c>
      <c r="CD74" s="59">
        <f ca="1">AVERAGE(OFFSET($CC$3,0,0,'Données projet'!$E$12+1,1))-AVERAGE(OFFSET($H$3,0,0,'Données projet'!$E$12+1,1))</f>
        <v>226.0452828290525</v>
      </c>
      <c r="CE74" s="59">
        <f t="shared" si="94"/>
        <v>179.89696397462069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4.0296501883203417</v>
      </c>
      <c r="CL74" s="21">
        <f>EXP(-LN(2)/25)*CL73+(1-EXP(-LN(2)/25))/(LN(2)/25)*Calculateur!CG74*Calculateur!CI74*VLOOKUP('Données projet'!$B$12,Paramètres!$A$1:$I$89,3,0)*0.475*44/12</f>
        <v>3.5779732895291603</v>
      </c>
      <c r="CM74" s="21">
        <f>EXP(-LN(2)/2)*CM73+(1-EXP(-LN(2)/2))/(LN(2)/2)*CG74*CJ74*VLOOKUP('Données projet'!$B$12,Paramètres!$A$1:$I$89,3,0)*0.475*44/12</f>
        <v>7.4469291204488931E-6</v>
      </c>
      <c r="CN74" s="22">
        <f t="shared" si="66"/>
        <v>7.6076309247786229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>
        <f>CT74*VLOOKUP('Données projet'!$B$13,Paramètres!$A$1:$I$89,3,0)*VLOOKUP('Données projet'!$B$13,Paramètres!$A$1:$I$89,5,0)</f>
        <v>0</v>
      </c>
      <c r="CV74" s="13" t="e">
        <f t="shared" si="95"/>
        <v>#NUM!</v>
      </c>
      <c r="CW74" s="20" t="e">
        <f t="shared" si="67"/>
        <v>#NUM!</v>
      </c>
      <c r="CX74" s="59" t="e">
        <f t="shared" si="68"/>
        <v>#NUM!</v>
      </c>
      <c r="CY74" s="59">
        <f ca="1">AVERAGE(OFFSET($CX$3,0,0,'Données projet'!$E$13+1,1))-AVERAGE(OFFSET($H$3,0,0,'Données projet'!$E$13+1,1))</f>
        <v>482.74318690313885</v>
      </c>
      <c r="CZ74" s="59">
        <f t="shared" si="96"/>
        <v>205.57161411620217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5.0962813798161353</v>
      </c>
      <c r="DG74" s="21">
        <f>EXP(-LN(2)/25)*DG73+(1-EXP(-LN(2)/25))/(LN(2)/25)*Calculateur!DB74*Calculateur!DD74*VLOOKUP('Données projet'!$B$13,Paramètres!$A$1:$I$89,3,0)*0.475*44/12</f>
        <v>3.0247430143268157</v>
      </c>
      <c r="DH74" s="21">
        <f>EXP(-LN(2)/2)*DH73+(1-EXP(-LN(2)/2))/(LN(2)/2)*DB74*DE74*VLOOKUP('Données projet'!$B$13,Paramètres!$A$1:$I$89,3,0)*0.475*44/12</f>
        <v>3.0541268138932939E-6</v>
      </c>
      <c r="DI74" s="22">
        <f t="shared" si="69"/>
        <v>8.121027448269766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26.8</v>
      </c>
      <c r="DO74" s="12">
        <f>IF('Données projet'!$A$166&gt;35,DO73+DN74-DW73,IF(A74&lt;'Données projet'!$A$166,$DL$205^A74,IF(A74='Données projet'!$A$166,'Données projet'!$B$166,DO73+DN74-DW73)))</f>
        <v>525.79999999999984</v>
      </c>
      <c r="DP74" s="17">
        <f>DO74*VLOOKUP('Données projet'!$B$14,Paramètres!$A$1:$I$89,3,0)*VLOOKUP('Données projet'!$B$14,Paramètres!$A$1:$I$89,5,0)</f>
        <v>252.90979999999993</v>
      </c>
      <c r="DQ74" s="13">
        <f t="shared" si="97"/>
        <v>61.208610462980801</v>
      </c>
      <c r="DR74" s="20">
        <f t="shared" si="70"/>
        <v>547.08956488969136</v>
      </c>
      <c r="DS74" s="59">
        <f t="shared" si="71"/>
        <v>840.42289822302473</v>
      </c>
      <c r="DT74" s="59">
        <f ca="1">AVERAGE(OFFSET($DS$3,0,0,'Données projet'!$E$14+1,1))-AVERAGE(OFFSET($H$3,0,0,'Données projet'!$E$14+1,1))</f>
        <v>247.11965163963526</v>
      </c>
      <c r="DU74" s="59">
        <f t="shared" si="98"/>
        <v>61.686311966192704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0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6.2</v>
      </c>
      <c r="N75" s="13">
        <f>IF('Données projet'!$A$36&gt;35,N74+M75-V74,IF(A75&lt;'Données projet'!$A$36,$K$205^A75,IF(A75='Données projet'!$A$36,'Données projet'!$B$36,N74+M75-V74)))</f>
        <v>233.39999999999995</v>
      </c>
      <c r="O75" s="13">
        <f>N75*VLOOKUP('Données projet'!$B$9,Paramètres!$A$1:$I$89,3,0)*VLOOKUP('Données projet'!$B$9,Paramètres!$A$1:$I$89,5,0)</f>
        <v>211.18031999999994</v>
      </c>
      <c r="P75" s="13">
        <f t="shared" si="87"/>
        <v>52.193431117443019</v>
      </c>
      <c r="Q75" s="20">
        <f t="shared" si="54"/>
        <v>458.70928319621316</v>
      </c>
      <c r="R75" s="59">
        <f t="shared" si="55"/>
        <v>752.04261652954642</v>
      </c>
      <c r="S75" s="59">
        <f ca="1">AVERAGE(OFFSET($R$3,0,0,'Données projet'!$E$9+1,1))-AVERAGE(OFFSET($H$3,0,0,'Données projet'!$E$9+1,1))</f>
        <v>265.50419397354284</v>
      </c>
      <c r="T75" s="59">
        <f t="shared" si="88"/>
        <v>156.67965022779907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1.4507302649898348</v>
      </c>
      <c r="AA75" s="21">
        <f>EXP(-LN(2)/25)*AA74+(1-EXP(-LN(2)/25))/(LN(2)/25)*Calculateur!V75*Calculateur!X75*VLOOKUP('Données projet'!$B$9,Paramètres!$A$1:$I$89,3,0)*0.475*44/12</f>
        <v>1.3092870724093211</v>
      </c>
      <c r="AB75" s="21">
        <f>EXP(-LN(2)/2)*AB74+(1-EXP(-LN(2)/2))/(LN(2)/2)*V75*Y75*VLOOKUP('Données projet'!$B$9,Paramètres!$A$1:$I$89,3,0)*0.475*44/12</f>
        <v>2.9100041415566787E-6</v>
      </c>
      <c r="AC75" s="22">
        <f t="shared" si="57"/>
        <v>2.7600202474032978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6.2</v>
      </c>
      <c r="AI75" s="13">
        <f>IF('Données projet'!$A$62&gt;35,AI74+AH75-AQ74,IF(A75&lt;'Données projet'!$A$62,$AF$205^A75,IF(A75='Données projet'!$A$62,'Données projet'!$B$62,AI74+AH75-AQ74)))</f>
        <v>233.39999999999995</v>
      </c>
      <c r="AJ75" s="13">
        <f>AI75*VLOOKUP('Données projet'!$B$10,Paramètres!$A$1:$I$89,3,0)*VLOOKUP('Données projet'!$B$10,Paramètres!$A$1:$I$89,5,0)</f>
        <v>236.66759999999996</v>
      </c>
      <c r="AK75" s="13">
        <f t="shared" si="89"/>
        <v>57.721965974560838</v>
      </c>
      <c r="AL75" s="20">
        <f t="shared" si="58"/>
        <v>512.72849407236004</v>
      </c>
      <c r="AM75" s="59">
        <f t="shared" si="59"/>
        <v>806.06182740569329</v>
      </c>
      <c r="AN75" s="59">
        <f ca="1">AVERAGE(OFFSET($AM$3,0,0,'Données projet'!$E$10+1,1))-AVERAGE(OFFSET($H$3,0,0,'Données projet'!$E$10+1,1))</f>
        <v>296.43642006376018</v>
      </c>
      <c r="AO75" s="59">
        <f t="shared" si="90"/>
        <v>179.56041631665812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1.6258184004196421</v>
      </c>
      <c r="AV75" s="21">
        <f>EXP(-LN(2)/25)*AV74+(1-EXP(-LN(2)/25))/(LN(2)/25)*Calculateur!AQ75*Calculateur!AS75*VLOOKUP('Données projet'!$B$10,Paramètres!$A$1:$I$89,3,0)*0.475*44/12</f>
        <v>1.4673044777001021</v>
      </c>
      <c r="AW75" s="21">
        <f>EXP(-LN(2)/2)*AW74+(1-EXP(-LN(2)/2))/(LN(2)/2)*AQ75*AT75*VLOOKUP('Données projet'!$B$10,Paramètres!$A$1:$I$89,3,0)*0.475*44/12</f>
        <v>3.2612115379514514E-6</v>
      </c>
      <c r="AX75" s="21">
        <f t="shared" si="60"/>
        <v>3.0931261393312823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5.6843418860808015E-14</v>
      </c>
      <c r="BE75" s="13">
        <f>BD75*VLOOKUP('Données projet'!$B$11,Paramètres!$A$1:$I$89,3,0)*VLOOKUP('Données projet'!$B$11,Paramètres!$A$1:$I$89,5,0)</f>
        <v>3.813056537183002E-14</v>
      </c>
      <c r="BF75" s="13">
        <f t="shared" si="91"/>
        <v>6.4086286045526829E-13</v>
      </c>
      <c r="BG75" s="20">
        <f t="shared" si="61"/>
        <v>1.1825802166488628E-12</v>
      </c>
      <c r="BH75" s="59">
        <f t="shared" si="62"/>
        <v>293.33333333333451</v>
      </c>
      <c r="BI75" s="59">
        <f ca="1">AVERAGE(OFFSET($BH$3,0,0,'Données projet'!$E$11+1,1))-AVERAGE(OFFSET($H$3,0,0,'Données projet'!$E$11+1,1))</f>
        <v>181.32837315090507</v>
      </c>
      <c r="BJ75" s="59">
        <f t="shared" si="92"/>
        <v>175.03267817980338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2.3838388180409718</v>
      </c>
      <c r="BQ75" s="21">
        <f>EXP(-LN(2)/25)*BQ74+(1-EXP(-LN(2)/25))/(LN(2)/25)*Calculateur!BL75*Calculateur!BN75*VLOOKUP('Données projet'!$B$11,Paramètres!$A$1:$I$89,3,0)*0.475*44/12</f>
        <v>2.1229101857002401</v>
      </c>
      <c r="BR75" s="21">
        <f>EXP(-LN(2)/2)*BR74+(1-EXP(-LN(2)/2))/(LN(2)/2)*BL75*BO75*VLOOKUP('Données projet'!$B$11,Paramètres!$A$1:$I$89,3,0)*0.475*44/12</f>
        <v>5.0587806062366139E-7</v>
      </c>
      <c r="BS75" s="22">
        <f t="shared" si="63"/>
        <v>4.5067495096192722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17</v>
      </c>
      <c r="BY75" s="12">
        <f>IF('Données projet'!$A$114&gt;35,BY74+BX75-CG74,IF(A75&lt;'Données projet'!$A$114,$BV$205^A75,IF(A75='Données projet'!$A$114,'Données projet'!$B$114,BY74+BX75-CG74)))</f>
        <v>370.49999999999989</v>
      </c>
      <c r="BZ75" s="13">
        <f>BY75*VLOOKUP('Données projet'!$B$12,Paramètres!$A$1:$I$89,3,0)*VLOOKUP('Données projet'!$B$12,Paramètres!$A$1:$I$89,5,0)</f>
        <v>173.39399999999998</v>
      </c>
      <c r="CA75" s="13">
        <f t="shared" si="93"/>
        <v>43.849289930196633</v>
      </c>
      <c r="CB75" s="20">
        <f t="shared" si="64"/>
        <v>378.36539662842574</v>
      </c>
      <c r="CC75" s="59">
        <f t="shared" si="65"/>
        <v>671.698729961759</v>
      </c>
      <c r="CD75" s="59">
        <f ca="1">AVERAGE(OFFSET($CC$3,0,0,'Données projet'!$E$12+1,1))-AVERAGE(OFFSET($H$3,0,0,'Données projet'!$E$12+1,1))</f>
        <v>226.0452828290525</v>
      </c>
      <c r="CE75" s="59">
        <f t="shared" si="94"/>
        <v>179.89696397462069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3.9506312059713027</v>
      </c>
      <c r="CL75" s="21">
        <f>EXP(-LN(2)/25)*CL74+(1-EXP(-LN(2)/25))/(LN(2)/25)*Calculateur!CG75*Calculateur!CI75*VLOOKUP('Données projet'!$B$12,Paramètres!$A$1:$I$89,3,0)*0.475*44/12</f>
        <v>3.4801334217695477</v>
      </c>
      <c r="CM75" s="21">
        <f>EXP(-LN(2)/2)*CM74+(1-EXP(-LN(2)/2))/(LN(2)/2)*CG75*CJ75*VLOOKUP('Données projet'!$B$12,Paramètres!$A$1:$I$89,3,0)*0.475*44/12</f>
        <v>5.265774080084985E-6</v>
      </c>
      <c r="CN75" s="22">
        <f t="shared" si="66"/>
        <v>7.4307698935149302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>
        <f>CT75*VLOOKUP('Données projet'!$B$13,Paramètres!$A$1:$I$89,3,0)*VLOOKUP('Données projet'!$B$13,Paramètres!$A$1:$I$89,5,0)</f>
        <v>0</v>
      </c>
      <c r="CV75" s="13" t="e">
        <f t="shared" si="95"/>
        <v>#NUM!</v>
      </c>
      <c r="CW75" s="20" t="e">
        <f t="shared" si="67"/>
        <v>#NUM!</v>
      </c>
      <c r="CX75" s="59" t="e">
        <f t="shared" si="68"/>
        <v>#NUM!</v>
      </c>
      <c r="CY75" s="59">
        <f ca="1">AVERAGE(OFFSET($CX$3,0,0,'Données projet'!$E$13+1,1))-AVERAGE(OFFSET($H$3,0,0,'Données projet'!$E$13+1,1))</f>
        <v>482.74318690313885</v>
      </c>
      <c r="CZ75" s="59">
        <f t="shared" si="96"/>
        <v>205.57161411620217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4.9963464103826514</v>
      </c>
      <c r="DG75" s="21">
        <f>EXP(-LN(2)/25)*DG74+(1-EXP(-LN(2)/25))/(LN(2)/25)*Calculateur!DB75*Calculateur!DD75*VLOOKUP('Données projet'!$B$13,Paramètres!$A$1:$I$89,3,0)*0.475*44/12</f>
        <v>2.942031257535727</v>
      </c>
      <c r="DH75" s="21">
        <f>EXP(-LN(2)/2)*DH74+(1-EXP(-LN(2)/2))/(LN(2)/2)*DB75*DE75*VLOOKUP('Données projet'!$B$13,Paramètres!$A$1:$I$89,3,0)*0.475*44/12</f>
        <v>2.1595937807076129E-6</v>
      </c>
      <c r="DI75" s="22">
        <f t="shared" si="69"/>
        <v>7.9383798275121595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26.8</v>
      </c>
      <c r="DO75" s="12">
        <f>IF('Données projet'!$A$166&gt;35,DO74+DN75-DW74,IF(A75&lt;'Données projet'!$A$166,$DL$205^A75,IF(A75='Données projet'!$A$166,'Données projet'!$B$166,DO74+DN75-DW74)))</f>
        <v>552.5999999999998</v>
      </c>
      <c r="DP75" s="17">
        <f>DO75*VLOOKUP('Données projet'!$B$14,Paramètres!$A$1:$I$89,3,0)*VLOOKUP('Données projet'!$B$14,Paramètres!$A$1:$I$89,5,0)</f>
        <v>265.80059999999992</v>
      </c>
      <c r="DQ75" s="13">
        <f t="shared" si="97"/>
        <v>63.957239179281181</v>
      </c>
      <c r="DR75" s="20">
        <f t="shared" si="70"/>
        <v>574.32823657058123</v>
      </c>
      <c r="DS75" s="59">
        <f t="shared" si="71"/>
        <v>867.6615699039146</v>
      </c>
      <c r="DT75" s="59">
        <f ca="1">AVERAGE(OFFSET($DS$3,0,0,'Données projet'!$E$14+1,1))-AVERAGE(OFFSET($H$3,0,0,'Données projet'!$E$14+1,1))</f>
        <v>247.11965163963526</v>
      </c>
      <c r="DU75" s="59">
        <f t="shared" si="98"/>
        <v>61.686311966192704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0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6.2</v>
      </c>
      <c r="N76" s="13">
        <f>IF('Données projet'!$A$36&gt;35,N75+M76-V75,IF(A76&lt;'Données projet'!$A$36,$K$205^A76,IF(A76='Données projet'!$A$36,'Données projet'!$B$36,N75+M76-V75)))</f>
        <v>239.59999999999994</v>
      </c>
      <c r="O76" s="13">
        <f>N76*VLOOKUP('Données projet'!$B$9,Paramètres!$A$1:$I$89,3,0)*VLOOKUP('Données projet'!$B$9,Paramètres!$A$1:$I$89,5,0)</f>
        <v>216.79007999999996</v>
      </c>
      <c r="P76" s="13">
        <f t="shared" si="87"/>
        <v>53.416629794462551</v>
      </c>
      <c r="Q76" s="20">
        <f t="shared" si="54"/>
        <v>470.61001955868886</v>
      </c>
      <c r="R76" s="59">
        <f t="shared" si="55"/>
        <v>763.94335289202218</v>
      </c>
      <c r="S76" s="59">
        <f ca="1">AVERAGE(OFFSET($R$3,0,0,'Données projet'!$E$9+1,1))-AVERAGE(OFFSET($H$3,0,0,'Données projet'!$E$9+1,1))</f>
        <v>265.50419397354284</v>
      </c>
      <c r="T76" s="59">
        <f t="shared" si="88"/>
        <v>156.67965022779907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1.4222823293514733</v>
      </c>
      <c r="AA76" s="21">
        <f>EXP(-LN(2)/25)*AA75+(1-EXP(-LN(2)/25))/(LN(2)/25)*Calculateur!V76*Calculateur!X76*VLOOKUP('Données projet'!$B$9,Paramètres!$A$1:$I$89,3,0)*0.475*44/12</f>
        <v>1.2734845485618735</v>
      </c>
      <c r="AB76" s="21">
        <f>EXP(-LN(2)/2)*AB75+(1-EXP(-LN(2)/2))/(LN(2)/2)*V76*Y76*VLOOKUP('Données projet'!$B$9,Paramètres!$A$1:$I$89,3,0)*0.475*44/12</f>
        <v>2.0576836617756655E-6</v>
      </c>
      <c r="AC76" s="22">
        <f t="shared" si="57"/>
        <v>2.6957689355970085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6.2</v>
      </c>
      <c r="AI76" s="13">
        <f>IF('Données projet'!$A$62&gt;35,AI75+AH76-AQ75,IF(A76&lt;'Données projet'!$A$62,$AF$205^A76,IF(A76='Données projet'!$A$62,'Données projet'!$B$62,AI75+AH76-AQ75)))</f>
        <v>239.59999999999994</v>
      </c>
      <c r="AJ76" s="13">
        <f>AI76*VLOOKUP('Données projet'!$B$10,Paramètres!$A$1:$I$89,3,0)*VLOOKUP('Données projet'!$B$10,Paramètres!$A$1:$I$89,5,0)</f>
        <v>242.95439999999994</v>
      </c>
      <c r="AK76" s="13">
        <f t="shared" si="89"/>
        <v>59.074730698078945</v>
      </c>
      <c r="AL76" s="20">
        <f t="shared" si="58"/>
        <v>526.034069299154</v>
      </c>
      <c r="AM76" s="59">
        <f t="shared" si="59"/>
        <v>819.36740263248726</v>
      </c>
      <c r="AN76" s="59">
        <f ca="1">AVERAGE(OFFSET($AM$3,0,0,'Données projet'!$E$10+1,1))-AVERAGE(OFFSET($H$3,0,0,'Données projet'!$E$10+1,1))</f>
        <v>296.43642006376018</v>
      </c>
      <c r="AO76" s="59">
        <f t="shared" si="90"/>
        <v>179.56041631665812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1.5939370932387198</v>
      </c>
      <c r="AV76" s="21">
        <f>EXP(-LN(2)/25)*AV75+(1-EXP(-LN(2)/25))/(LN(2)/25)*Calculateur!AQ76*Calculateur!AS76*VLOOKUP('Données projet'!$B$10,Paramètres!$A$1:$I$89,3,0)*0.475*44/12</f>
        <v>1.4271809595952039</v>
      </c>
      <c r="AW76" s="21">
        <f>EXP(-LN(2)/2)*AW75+(1-EXP(-LN(2)/2))/(LN(2)/2)*AQ76*AT76*VLOOKUP('Données projet'!$B$10,Paramètres!$A$1:$I$89,3,0)*0.475*44/12</f>
        <v>2.306024793369281E-6</v>
      </c>
      <c r="AX76" s="21">
        <f t="shared" si="60"/>
        <v>3.0211203588587168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5.6843418860808015E-14</v>
      </c>
      <c r="BE76" s="13">
        <f>BD76*VLOOKUP('Données projet'!$B$11,Paramètres!$A$1:$I$89,3,0)*VLOOKUP('Données projet'!$B$11,Paramètres!$A$1:$I$89,5,0)</f>
        <v>3.813056537183002E-14</v>
      </c>
      <c r="BF76" s="13">
        <f t="shared" si="91"/>
        <v>6.4086286045526829E-13</v>
      </c>
      <c r="BG76" s="20">
        <f t="shared" si="61"/>
        <v>1.1825802166488628E-12</v>
      </c>
      <c r="BH76" s="59">
        <f t="shared" si="62"/>
        <v>293.33333333333451</v>
      </c>
      <c r="BI76" s="59">
        <f ca="1">AVERAGE(OFFSET($BH$3,0,0,'Données projet'!$E$11+1,1))-AVERAGE(OFFSET($H$3,0,0,'Données projet'!$E$11+1,1))</f>
        <v>181.32837315090507</v>
      </c>
      <c r="BJ76" s="59">
        <f t="shared" si="92"/>
        <v>175.03267817980338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2.3370931928172971</v>
      </c>
      <c r="BQ76" s="21">
        <f>EXP(-LN(2)/25)*BQ75+(1-EXP(-LN(2)/25))/(LN(2)/25)*Calculateur!BL76*Calculateur!BN76*VLOOKUP('Données projet'!$B$11,Paramètres!$A$1:$I$89,3,0)*0.475*44/12</f>
        <v>2.0648590950332726</v>
      </c>
      <c r="BR76" s="21">
        <f>EXP(-LN(2)/2)*BR75+(1-EXP(-LN(2)/2))/(LN(2)/2)*BL76*BO76*VLOOKUP('Données projet'!$B$11,Paramètres!$A$1:$I$89,3,0)*0.475*44/12</f>
        <v>3.5770980712049036E-7</v>
      </c>
      <c r="BS76" s="22">
        <f t="shared" si="63"/>
        <v>4.4019526455603772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17</v>
      </c>
      <c r="BY76" s="12">
        <f>IF('Données projet'!$A$114&gt;35,BY75+BX76-CG75,IF(A76&lt;'Données projet'!$A$114,$BV$205^A76,IF(A76='Données projet'!$A$114,'Données projet'!$B$114,BY75+BX76-CG75)))</f>
        <v>387.49999999999989</v>
      </c>
      <c r="BZ76" s="13">
        <f>BY76*VLOOKUP('Données projet'!$B$12,Paramètres!$A$1:$I$89,3,0)*VLOOKUP('Données projet'!$B$12,Paramètres!$A$1:$I$89,5,0)</f>
        <v>181.34999999999994</v>
      </c>
      <c r="CA76" s="13">
        <f t="shared" si="93"/>
        <v>45.622405555921837</v>
      </c>
      <c r="CB76" s="20">
        <f t="shared" si="64"/>
        <v>395.310273009897</v>
      </c>
      <c r="CC76" s="59">
        <f t="shared" si="65"/>
        <v>688.64360634323032</v>
      </c>
      <c r="CD76" s="59">
        <f ca="1">AVERAGE(OFFSET($CC$3,0,0,'Données projet'!$E$12+1,1))-AVERAGE(OFFSET($H$3,0,0,'Données projet'!$E$12+1,1))</f>
        <v>226.0452828290525</v>
      </c>
      <c r="CE76" s="59">
        <f t="shared" si="94"/>
        <v>179.89696397462069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3.8731617376693084</v>
      </c>
      <c r="CL76" s="21">
        <f>EXP(-LN(2)/25)*CL75+(1-EXP(-LN(2)/25))/(LN(2)/25)*Calculateur!CG76*Calculateur!CI76*VLOOKUP('Données projet'!$B$12,Paramètres!$A$1:$I$89,3,0)*0.475*44/12</f>
        <v>3.3849689903389968</v>
      </c>
      <c r="CM76" s="21">
        <f>EXP(-LN(2)/2)*CM75+(1-EXP(-LN(2)/2))/(LN(2)/2)*CG76*CJ76*VLOOKUP('Données projet'!$B$12,Paramètres!$A$1:$I$89,3,0)*0.475*44/12</f>
        <v>3.7234645602244474E-6</v>
      </c>
      <c r="CN76" s="22">
        <f t="shared" si="66"/>
        <v>7.2581344514728654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>
        <f>CT76*VLOOKUP('Données projet'!$B$13,Paramètres!$A$1:$I$89,3,0)*VLOOKUP('Données projet'!$B$13,Paramètres!$A$1:$I$89,5,0)</f>
        <v>0</v>
      </c>
      <c r="CV76" s="13" t="e">
        <f t="shared" si="95"/>
        <v>#NUM!</v>
      </c>
      <c r="CW76" s="20" t="e">
        <f t="shared" si="67"/>
        <v>#NUM!</v>
      </c>
      <c r="CX76" s="59" t="e">
        <f t="shared" si="68"/>
        <v>#NUM!</v>
      </c>
      <c r="CY76" s="59">
        <f ca="1">AVERAGE(OFFSET($CX$3,0,0,'Données projet'!$E$13+1,1))-AVERAGE(OFFSET($H$3,0,0,'Données projet'!$E$13+1,1))</f>
        <v>482.74318690313885</v>
      </c>
      <c r="CZ76" s="59">
        <f t="shared" si="96"/>
        <v>205.57161411620217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4.8983711047454452</v>
      </c>
      <c r="DG76" s="21">
        <f>EXP(-LN(2)/25)*DG75+(1-EXP(-LN(2)/25))/(LN(2)/25)*Calculateur!DB76*Calculateur!DD76*VLOOKUP('Données projet'!$B$13,Paramètres!$A$1:$I$89,3,0)*0.475*44/12</f>
        <v>2.8615812580837128</v>
      </c>
      <c r="DH76" s="21">
        <f>EXP(-LN(2)/2)*DH75+(1-EXP(-LN(2)/2))/(LN(2)/2)*DB76*DE76*VLOOKUP('Données projet'!$B$13,Paramètres!$A$1:$I$89,3,0)*0.475*44/12</f>
        <v>1.527063406946647E-6</v>
      </c>
      <c r="DI76" s="22">
        <f t="shared" si="69"/>
        <v>7.7599538898925653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26.8</v>
      </c>
      <c r="DO76" s="12">
        <f>IF('Données projet'!$A$166&gt;35,DO75+DN76-DW75,IF(A76&lt;'Données projet'!$A$166,$DL$205^A76,IF(A76='Données projet'!$A$166,'Données projet'!$B$166,DO75+DN76-DW75)))</f>
        <v>579.39999999999975</v>
      </c>
      <c r="DP76" s="17">
        <f>DO76*VLOOKUP('Données projet'!$B$14,Paramètres!$A$1:$I$89,3,0)*VLOOKUP('Données projet'!$B$14,Paramètres!$A$1:$I$89,5,0)</f>
        <v>278.69139999999987</v>
      </c>
      <c r="DQ76" s="13">
        <f t="shared" si="97"/>
        <v>66.690388731464012</v>
      </c>
      <c r="DR76" s="20">
        <f t="shared" si="70"/>
        <v>601.53994870729957</v>
      </c>
      <c r="DS76" s="59">
        <f t="shared" si="71"/>
        <v>894.87328204063283</v>
      </c>
      <c r="DT76" s="59">
        <f ca="1">AVERAGE(OFFSET($DS$3,0,0,'Données projet'!$E$14+1,1))-AVERAGE(OFFSET($H$3,0,0,'Données projet'!$E$14+1,1))</f>
        <v>247.11965163963526</v>
      </c>
      <c r="DU76" s="59">
        <f t="shared" si="98"/>
        <v>61.686311966192704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0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6.2</v>
      </c>
      <c r="N77" s="13">
        <f>IF('Données projet'!$A$36&gt;35,N76+M77-V76,IF(A77&lt;'Données projet'!$A$36,$K$205^A77,IF(A77='Données projet'!$A$36,'Données projet'!$B$36,N76+M77-V76)))</f>
        <v>245.79999999999993</v>
      </c>
      <c r="O77" s="13">
        <f>N77*VLOOKUP('Données projet'!$B$9,Paramètres!$A$1:$I$89,3,0)*VLOOKUP('Données projet'!$B$9,Paramètres!$A$1:$I$89,5,0)</f>
        <v>222.3998399999999</v>
      </c>
      <c r="P77" s="13">
        <f t="shared" si="87"/>
        <v>54.636149281681448</v>
      </c>
      <c r="Q77" s="20">
        <f t="shared" si="54"/>
        <v>482.50434799892832</v>
      </c>
      <c r="R77" s="59">
        <f t="shared" si="55"/>
        <v>775.83768133226158</v>
      </c>
      <c r="S77" s="59">
        <f ca="1">AVERAGE(OFFSET($R$3,0,0,'Données projet'!$E$9+1,1))-AVERAGE(OFFSET($H$3,0,0,'Données projet'!$E$9+1,1))</f>
        <v>265.50419397354284</v>
      </c>
      <c r="T77" s="59">
        <f t="shared" si="88"/>
        <v>156.67965022779907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1.3943922403794526</v>
      </c>
      <c r="AA77" s="21">
        <f>EXP(-LN(2)/25)*AA76+(1-EXP(-LN(2)/25))/(LN(2)/25)*Calculateur!V77*Calculateur!X77*VLOOKUP('Données projet'!$B$9,Paramètres!$A$1:$I$89,3,0)*0.475*44/12</f>
        <v>1.2386610466118073</v>
      </c>
      <c r="AB77" s="21">
        <f>EXP(-LN(2)/2)*AB76+(1-EXP(-LN(2)/2))/(LN(2)/2)*V77*Y77*VLOOKUP('Données projet'!$B$9,Paramètres!$A$1:$I$89,3,0)*0.475*44/12</f>
        <v>1.4550020707783394E-6</v>
      </c>
      <c r="AC77" s="22">
        <f t="shared" si="57"/>
        <v>2.6330547419933308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6.2</v>
      </c>
      <c r="AI77" s="13">
        <f>IF('Données projet'!$A$62&gt;35,AI76+AH77-AQ76,IF(A77&lt;'Données projet'!$A$62,$AF$205^A77,IF(A77='Données projet'!$A$62,'Données projet'!$B$62,AI76+AH77-AQ76)))</f>
        <v>245.79999999999993</v>
      </c>
      <c r="AJ77" s="13">
        <f>AI77*VLOOKUP('Données projet'!$B$10,Paramètres!$A$1:$I$89,3,0)*VLOOKUP('Données projet'!$B$10,Paramètres!$A$1:$I$89,5,0)</f>
        <v>249.24119999999994</v>
      </c>
      <c r="AK77" s="13">
        <f t="shared" si="89"/>
        <v>60.42342651744692</v>
      </c>
      <c r="AL77" s="20">
        <f t="shared" si="58"/>
        <v>539.33255785121992</v>
      </c>
      <c r="AM77" s="59">
        <f t="shared" si="59"/>
        <v>832.66589118455317</v>
      </c>
      <c r="AN77" s="59">
        <f ca="1">AVERAGE(OFFSET($AM$3,0,0,'Données projet'!$E$10+1,1))-AVERAGE(OFFSET($H$3,0,0,'Données projet'!$E$10+1,1))</f>
        <v>296.43642006376018</v>
      </c>
      <c r="AO77" s="59">
        <f t="shared" si="90"/>
        <v>179.56041631665812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1.5626809590459381</v>
      </c>
      <c r="AV77" s="21">
        <f>EXP(-LN(2)/25)*AV76+(1-EXP(-LN(2)/25))/(LN(2)/25)*Calculateur!AQ77*Calculateur!AS77*VLOOKUP('Données projet'!$B$10,Paramètres!$A$1:$I$89,3,0)*0.475*44/12</f>
        <v>1.3881546212028881</v>
      </c>
      <c r="AW77" s="21">
        <f>EXP(-LN(2)/2)*AW76+(1-EXP(-LN(2)/2))/(LN(2)/2)*AQ77*AT77*VLOOKUP('Données projet'!$B$10,Paramètres!$A$1:$I$89,3,0)*0.475*44/12</f>
        <v>1.6306057689757257E-6</v>
      </c>
      <c r="AX77" s="21">
        <f t="shared" si="60"/>
        <v>2.9508372108545955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5.6843418860808015E-14</v>
      </c>
      <c r="BE77" s="13">
        <f>BD77*VLOOKUP('Données projet'!$B$11,Paramètres!$A$1:$I$89,3,0)*VLOOKUP('Données projet'!$B$11,Paramètres!$A$1:$I$89,5,0)</f>
        <v>3.813056537183002E-14</v>
      </c>
      <c r="BF77" s="13">
        <f t="shared" si="91"/>
        <v>6.4086286045526829E-13</v>
      </c>
      <c r="BG77" s="20">
        <f t="shared" si="61"/>
        <v>1.1825802166488628E-12</v>
      </c>
      <c r="BH77" s="59">
        <f t="shared" si="62"/>
        <v>293.33333333333451</v>
      </c>
      <c r="BI77" s="59">
        <f ca="1">AVERAGE(OFFSET($BH$3,0,0,'Données projet'!$E$11+1,1))-AVERAGE(OFFSET($H$3,0,0,'Données projet'!$E$11+1,1))</f>
        <v>181.32837315090507</v>
      </c>
      <c r="BJ77" s="59">
        <f t="shared" si="92"/>
        <v>175.03267817980338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2.2912642207922427</v>
      </c>
      <c r="BQ77" s="21">
        <f>EXP(-LN(2)/25)*BQ76+(1-EXP(-LN(2)/25))/(LN(2)/25)*Calculateur!BL77*Calculateur!BN77*VLOOKUP('Données projet'!$B$11,Paramètres!$A$1:$I$89,3,0)*0.475*44/12</f>
        <v>2.0083954144933673</v>
      </c>
      <c r="BR77" s="21">
        <f>EXP(-LN(2)/2)*BR76+(1-EXP(-LN(2)/2))/(LN(2)/2)*BL77*BO77*VLOOKUP('Données projet'!$B$11,Paramètres!$A$1:$I$89,3,0)*0.475*44/12</f>
        <v>2.529390303118307E-7</v>
      </c>
      <c r="BS77" s="22">
        <f t="shared" si="63"/>
        <v>4.2996598882246406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17</v>
      </c>
      <c r="BY77" s="12">
        <f>IF('Données projet'!$A$114&gt;35,BY76+BX77-CG76,IF(A77&lt;'Données projet'!$A$114,$BV$205^A77,IF(A77='Données projet'!$A$114,'Données projet'!$B$114,BY76+BX77-CG76)))</f>
        <v>404.49999999999989</v>
      </c>
      <c r="BZ77" s="13">
        <f>BY77*VLOOKUP('Données projet'!$B$12,Paramètres!$A$1:$I$89,3,0)*VLOOKUP('Données projet'!$B$12,Paramètres!$A$1:$I$89,5,0)</f>
        <v>189.30599999999993</v>
      </c>
      <c r="CA77" s="13">
        <f t="shared" si="93"/>
        <v>47.386486642979079</v>
      </c>
      <c r="CB77" s="20">
        <f t="shared" si="64"/>
        <v>412.23941423652178</v>
      </c>
      <c r="CC77" s="59">
        <f t="shared" si="65"/>
        <v>705.5727475698551</v>
      </c>
      <c r="CD77" s="59">
        <f ca="1">AVERAGE(OFFSET($CC$3,0,0,'Données projet'!$E$12+1,1))-AVERAGE(OFFSET($H$3,0,0,'Données projet'!$E$12+1,1))</f>
        <v>226.0452828290525</v>
      </c>
      <c r="CE77" s="59">
        <f t="shared" si="94"/>
        <v>179.89696397462069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3.7972113983890061</v>
      </c>
      <c r="CL77" s="21">
        <f>EXP(-LN(2)/25)*CL76+(1-EXP(-LN(2)/25))/(LN(2)/25)*Calculateur!CG77*Calculateur!CI77*VLOOKUP('Données projet'!$B$12,Paramètres!$A$1:$I$89,3,0)*0.475*44/12</f>
        <v>3.2924068352903944</v>
      </c>
      <c r="CM77" s="21">
        <f>EXP(-LN(2)/2)*CM76+(1-EXP(-LN(2)/2))/(LN(2)/2)*CG77*CJ77*VLOOKUP('Données projet'!$B$12,Paramètres!$A$1:$I$89,3,0)*0.475*44/12</f>
        <v>2.6328870400424929E-6</v>
      </c>
      <c r="CN77" s="22">
        <f t="shared" si="66"/>
        <v>7.0896208665664409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>
        <f>CT77*VLOOKUP('Données projet'!$B$13,Paramètres!$A$1:$I$89,3,0)*VLOOKUP('Données projet'!$B$13,Paramètres!$A$1:$I$89,5,0)</f>
        <v>0</v>
      </c>
      <c r="CV77" s="13" t="e">
        <f t="shared" si="95"/>
        <v>#NUM!</v>
      </c>
      <c r="CW77" s="20" t="e">
        <f t="shared" si="67"/>
        <v>#NUM!</v>
      </c>
      <c r="CX77" s="59" t="e">
        <f t="shared" si="68"/>
        <v>#NUM!</v>
      </c>
      <c r="CY77" s="59">
        <f ca="1">AVERAGE(OFFSET($CX$3,0,0,'Données projet'!$E$13+1,1))-AVERAGE(OFFSET($H$3,0,0,'Données projet'!$E$13+1,1))</f>
        <v>482.74318690313885</v>
      </c>
      <c r="CZ77" s="59">
        <f t="shared" si="96"/>
        <v>205.57161411620217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4.8023170350927487</v>
      </c>
      <c r="DG77" s="21">
        <f>EXP(-LN(2)/25)*DG76+(1-EXP(-LN(2)/25))/(LN(2)/25)*Calculateur!DB77*Calculateur!DD77*VLOOKUP('Données projet'!$B$13,Paramètres!$A$1:$I$89,3,0)*0.475*44/12</f>
        <v>2.7833311680973956</v>
      </c>
      <c r="DH77" s="21">
        <f>EXP(-LN(2)/2)*DH76+(1-EXP(-LN(2)/2))/(LN(2)/2)*DB77*DE77*VLOOKUP('Données projet'!$B$13,Paramètres!$A$1:$I$89,3,0)*0.475*44/12</f>
        <v>1.0797968903538065E-6</v>
      </c>
      <c r="DI77" s="22">
        <f t="shared" si="69"/>
        <v>7.5856492829870348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26.8</v>
      </c>
      <c r="DO77" s="12">
        <f>IF('Données projet'!$A$166&gt;35,DO76+DN77-DW76,IF(A77&lt;'Données projet'!$A$166,$DL$205^A77,IF(A77='Données projet'!$A$166,'Données projet'!$B$166,DO76+DN77-DW76)))</f>
        <v>606.1999999999997</v>
      </c>
      <c r="DP77" s="17">
        <f>DO77*VLOOKUP('Données projet'!$B$14,Paramètres!$A$1:$I$89,3,0)*VLOOKUP('Données projet'!$B$14,Paramètres!$A$1:$I$89,5,0)</f>
        <v>291.58219999999989</v>
      </c>
      <c r="DQ77" s="13">
        <f t="shared" si="97"/>
        <v>69.408856878551788</v>
      </c>
      <c r="DR77" s="20">
        <f t="shared" si="70"/>
        <v>628.72609073014416</v>
      </c>
      <c r="DS77" s="59">
        <f t="shared" si="71"/>
        <v>922.05942406347754</v>
      </c>
      <c r="DT77" s="59">
        <f ca="1">AVERAGE(OFFSET($DS$3,0,0,'Données projet'!$E$14+1,1))-AVERAGE(OFFSET($H$3,0,0,'Données projet'!$E$14+1,1))</f>
        <v>247.11965163963526</v>
      </c>
      <c r="DU77" s="59">
        <f t="shared" si="98"/>
        <v>61.686311966192704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0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252</v>
      </c>
      <c r="L78" s="12">
        <f>VLOOKUP(A78,'Données projet'!$A$35:$I$55,9,0)</f>
        <v>6.2</v>
      </c>
      <c r="M78" s="12">
        <f t="array" ref="M78">INDEX(L:L,MIN(IF(ISNUMBER(L78:L274),ROW(L78:L274),"")))</f>
        <v>6.2</v>
      </c>
      <c r="N78" s="13">
        <f>IF('Données projet'!$A$36&gt;35,N77+M78-V77,IF(A78&lt;'Données projet'!$A$36,$K$205^A78,IF(A78='Données projet'!$A$36,'Données projet'!$B$36,N77+M78-V77)))</f>
        <v>251.99999999999991</v>
      </c>
      <c r="O78" s="13">
        <f>N78*VLOOKUP('Données projet'!$B$9,Paramètres!$A$1:$I$89,3,0)*VLOOKUP('Données projet'!$B$9,Paramètres!$A$1:$I$89,5,0)</f>
        <v>228.00959999999992</v>
      </c>
      <c r="P78" s="13">
        <f t="shared" si="87"/>
        <v>55.852093054619829</v>
      </c>
      <c r="Q78" s="20">
        <f t="shared" si="54"/>
        <v>494.3924487367961</v>
      </c>
      <c r="R78" s="59">
        <f t="shared" si="55"/>
        <v>787.72578207012941</v>
      </c>
      <c r="S78" s="59">
        <f ca="1">AVERAGE(OFFSET($R$3,0,0,'Données projet'!$E$9+1,1))-AVERAGE(OFFSET($H$3,0,0,'Données projet'!$E$9+1,1))</f>
        <v>265.50419397354284</v>
      </c>
      <c r="T78" s="59">
        <f t="shared" si="88"/>
        <v>156.67965022779907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21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1.3670490590408988</v>
      </c>
      <c r="AA78" s="21">
        <f>EXP(-LN(2)/25)*AA77+(1-EXP(-LN(2)/25))/(LN(2)/25)*Calculateur!V78*Calculateur!X78*VLOOKUP('Données projet'!$B$9,Paramètres!$A$1:$I$89,3,0)*0.475*44/12</f>
        <v>1.204789795153854</v>
      </c>
      <c r="AB78" s="21">
        <f>EXP(-LN(2)/2)*AB77+(1-EXP(-LN(2)/2))/(LN(2)/2)*V78*Y78*VLOOKUP('Données projet'!$B$9,Paramètres!$A$1:$I$89,3,0)*0.475*44/12</f>
        <v>1.0288418308878327E-6</v>
      </c>
      <c r="AC78" s="22">
        <f t="shared" si="57"/>
        <v>2.5718398830365836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252</v>
      </c>
      <c r="AG78" s="12">
        <f>VLOOKUP(A78,'Données projet'!$A$61:$I$81,9,0)</f>
        <v>6.2</v>
      </c>
      <c r="AH78" s="12">
        <f t="array" ref="AH78">INDEX(AG:AG,MIN(IF(ISNUMBER(AG78:AG274),ROW(AG78:AG274),"")))</f>
        <v>6.2</v>
      </c>
      <c r="AI78" s="13">
        <f>IF('Données projet'!$A$62&gt;35,AI77+AH78-AQ77,IF(A78&lt;'Données projet'!$A$62,$AF$205^A78,IF(A78='Données projet'!$A$62,'Données projet'!$B$62,AI77+AH78-AQ77)))</f>
        <v>251.99999999999991</v>
      </c>
      <c r="AJ78" s="13">
        <f>AI78*VLOOKUP('Données projet'!$B$10,Paramètres!$A$1:$I$89,3,0)*VLOOKUP('Données projet'!$B$10,Paramètres!$A$1:$I$89,5,0)</f>
        <v>255.52799999999993</v>
      </c>
      <c r="AK78" s="13">
        <f t="shared" si="89"/>
        <v>61.768167868721477</v>
      </c>
      <c r="AL78" s="20">
        <f t="shared" si="58"/>
        <v>552.62415903802309</v>
      </c>
      <c r="AM78" s="59">
        <f t="shared" si="59"/>
        <v>845.95749237135647</v>
      </c>
      <c r="AN78" s="59">
        <f ca="1">AVERAGE(OFFSET($AM$3,0,0,'Données projet'!$E$10+1,1))-AVERAGE(OFFSET($H$3,0,0,'Données projet'!$E$10+1,1))</f>
        <v>296.43642006376018</v>
      </c>
      <c r="AO78" s="59">
        <f t="shared" si="90"/>
        <v>179.56041631665812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21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1.5320377385803174</v>
      </c>
      <c r="AV78" s="21">
        <f>EXP(-LN(2)/25)*AV77+(1-EXP(-LN(2)/25))/(LN(2)/25)*Calculateur!AQ78*Calculateur!AS78*VLOOKUP('Données projet'!$B$10,Paramètres!$A$1:$I$89,3,0)*0.475*44/12</f>
        <v>1.3501954600862163</v>
      </c>
      <c r="AW78" s="21">
        <f>EXP(-LN(2)/2)*AW77+(1-EXP(-LN(2)/2))/(LN(2)/2)*AQ78*AT78*VLOOKUP('Données projet'!$B$10,Paramètres!$A$1:$I$89,3,0)*0.475*44/12</f>
        <v>1.1530123966846405E-6</v>
      </c>
      <c r="AX78" s="21">
        <f t="shared" si="60"/>
        <v>2.8822343516789304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5.6843418860808015E-14</v>
      </c>
      <c r="BE78" s="13">
        <f>BD78*VLOOKUP('Données projet'!$B$11,Paramètres!$A$1:$I$89,3,0)*VLOOKUP('Données projet'!$B$11,Paramètres!$A$1:$I$89,5,0)</f>
        <v>3.813056537183002E-14</v>
      </c>
      <c r="BF78" s="13">
        <f t="shared" si="91"/>
        <v>6.4086286045526829E-13</v>
      </c>
      <c r="BG78" s="20">
        <f t="shared" si="61"/>
        <v>1.1825802166488628E-12</v>
      </c>
      <c r="BH78" s="59">
        <f t="shared" si="62"/>
        <v>293.33333333333451</v>
      </c>
      <c r="BI78" s="59">
        <f ca="1">AVERAGE(OFFSET($BH$3,0,0,'Données projet'!$E$11+1,1))-AVERAGE(OFFSET($H$3,0,0,'Données projet'!$E$11+1,1))</f>
        <v>181.32837315090507</v>
      </c>
      <c r="BJ78" s="59">
        <f t="shared" si="92"/>
        <v>175.03267817980338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2.2463339269556863</v>
      </c>
      <c r="BQ78" s="21">
        <f>EXP(-LN(2)/25)*BQ77+(1-EXP(-LN(2)/25))/(LN(2)/25)*Calculateur!BL78*Calculateur!BN78*VLOOKUP('Données projet'!$B$11,Paramètres!$A$1:$I$89,3,0)*0.475*44/12</f>
        <v>1.9534757362671216</v>
      </c>
      <c r="BR78" s="21">
        <f>EXP(-LN(2)/2)*BR77+(1-EXP(-LN(2)/2))/(LN(2)/2)*BL78*BO78*VLOOKUP('Données projet'!$B$11,Paramètres!$A$1:$I$89,3,0)*0.475*44/12</f>
        <v>1.7885490356024518E-7</v>
      </c>
      <c r="BS78" s="22">
        <f t="shared" si="63"/>
        <v>4.1998098420777117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17</v>
      </c>
      <c r="BY78" s="12">
        <f>IF('Données projet'!$A$114&gt;35,BY77+BX78-CG77,IF(A78&lt;'Données projet'!$A$114,$BV$205^A78,IF(A78='Données projet'!$A$114,'Données projet'!$B$114,BY77+BX78-CG77)))</f>
        <v>421.49999999999989</v>
      </c>
      <c r="BZ78" s="13">
        <f>BY78*VLOOKUP('Données projet'!$B$12,Paramètres!$A$1:$I$89,3,0)*VLOOKUP('Données projet'!$B$12,Paramètres!$A$1:$I$89,5,0)</f>
        <v>197.26199999999994</v>
      </c>
      <c r="CA78" s="13">
        <f t="shared" si="93"/>
        <v>49.141956303266518</v>
      </c>
      <c r="CB78" s="20">
        <f t="shared" si="64"/>
        <v>429.15355722818907</v>
      </c>
      <c r="CC78" s="59">
        <f t="shared" si="65"/>
        <v>722.48689056152239</v>
      </c>
      <c r="CD78" s="59">
        <f ca="1">AVERAGE(OFFSET($CC$3,0,0,'Données projet'!$E$12+1,1))-AVERAGE(OFFSET($H$3,0,0,'Données projet'!$E$12+1,1))</f>
        <v>226.0452828290525</v>
      </c>
      <c r="CE78" s="59">
        <f t="shared" si="94"/>
        <v>179.89696397462069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3.7227503989368578</v>
      </c>
      <c r="CL78" s="21">
        <f>EXP(-LN(2)/25)*CL77+(1-EXP(-LN(2)/25))/(LN(2)/25)*Calculateur!CG78*Calculateur!CI78*VLOOKUP('Données projet'!$B$12,Paramètres!$A$1:$I$89,3,0)*0.475*44/12</f>
        <v>3.2023757972392279</v>
      </c>
      <c r="CM78" s="21">
        <f>EXP(-LN(2)/2)*CM77+(1-EXP(-LN(2)/2))/(LN(2)/2)*CG78*CJ78*VLOOKUP('Données projet'!$B$12,Paramètres!$A$1:$I$89,3,0)*0.475*44/12</f>
        <v>1.8617322801122239E-6</v>
      </c>
      <c r="CN78" s="22">
        <f t="shared" si="66"/>
        <v>6.9251280579083661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>
        <f>CT78*VLOOKUP('Données projet'!$B$13,Paramètres!$A$1:$I$89,3,0)*VLOOKUP('Données projet'!$B$13,Paramètres!$A$1:$I$89,5,0)</f>
        <v>0</v>
      </c>
      <c r="CV78" s="13" t="e">
        <f t="shared" si="95"/>
        <v>#NUM!</v>
      </c>
      <c r="CW78" s="20" t="e">
        <f t="shared" si="67"/>
        <v>#NUM!</v>
      </c>
      <c r="CX78" s="59" t="e">
        <f t="shared" si="68"/>
        <v>#NUM!</v>
      </c>
      <c r="CY78" s="59">
        <f ca="1">AVERAGE(OFFSET($CX$3,0,0,'Données projet'!$E$13+1,1))-AVERAGE(OFFSET($H$3,0,0,'Données projet'!$E$13+1,1))</f>
        <v>482.74318690313885</v>
      </c>
      <c r="CZ78" s="59">
        <f t="shared" si="96"/>
        <v>205.57161411620217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4.7081465271587444</v>
      </c>
      <c r="DG78" s="21">
        <f>EXP(-LN(2)/25)*DG77+(1-EXP(-LN(2)/25))/(LN(2)/25)*Calculateur!DB78*Calculateur!DD78*VLOOKUP('Données projet'!$B$13,Paramètres!$A$1:$I$89,3,0)*0.475*44/12</f>
        <v>2.7072208309367474</v>
      </c>
      <c r="DH78" s="21">
        <f>EXP(-LN(2)/2)*DH77+(1-EXP(-LN(2)/2))/(LN(2)/2)*DB78*DE78*VLOOKUP('Données projet'!$B$13,Paramètres!$A$1:$I$89,3,0)*0.475*44/12</f>
        <v>7.6353170347332349E-7</v>
      </c>
      <c r="DI78" s="22">
        <f t="shared" si="69"/>
        <v>7.4153681216271954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26.8</v>
      </c>
      <c r="DO78" s="12">
        <f>IF('Données projet'!$A$166&gt;35,DO77+DN78-DW77,IF(A78&lt;'Données projet'!$A$166,$DL$205^A78,IF(A78='Données projet'!$A$166,'Données projet'!$B$166,DO77+DN78-DW77)))</f>
        <v>632.99999999999966</v>
      </c>
      <c r="DP78" s="17">
        <f>DO78*VLOOKUP('Données projet'!$B$14,Paramètres!$A$1:$I$89,3,0)*VLOOKUP('Données projet'!$B$14,Paramètres!$A$1:$I$89,5,0)</f>
        <v>304.47299999999984</v>
      </c>
      <c r="DQ78" s="13">
        <f t="shared" si="97"/>
        <v>72.113366853738214</v>
      </c>
      <c r="DR78" s="20">
        <f t="shared" si="70"/>
        <v>655.88792227026045</v>
      </c>
      <c r="DS78" s="59">
        <f t="shared" si="71"/>
        <v>949.22125560359382</v>
      </c>
      <c r="DT78" s="59">
        <f ca="1">AVERAGE(OFFSET($DS$3,0,0,'Données projet'!$E$14+1,1))-AVERAGE(OFFSET($H$3,0,0,'Données projet'!$E$14+1,1))</f>
        <v>247.11965163963526</v>
      </c>
      <c r="DU78" s="59">
        <f t="shared" si="98"/>
        <v>61.686311966192704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0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</v>
      </c>
      <c r="N79" s="13">
        <f>IF('Données projet'!$A$36&gt;35,N78+M79-V78,IF(A79&lt;'Données projet'!$A$36,$K$205^A79,IF(A79='Données projet'!$A$36,'Données projet'!$B$36,N78+M79-V78)))</f>
        <v>236.99999999999989</v>
      </c>
      <c r="O79" s="13">
        <f>N79*VLOOKUP('Données projet'!$B$9,Paramètres!$A$1:$I$89,3,0)*VLOOKUP('Données projet'!$B$9,Paramètres!$A$1:$I$89,5,0)</f>
        <v>214.43759999999989</v>
      </c>
      <c r="P79" s="13">
        <f t="shared" si="87"/>
        <v>52.904129603372375</v>
      </c>
      <c r="Q79" s="20">
        <f t="shared" si="54"/>
        <v>465.62017905920658</v>
      </c>
      <c r="R79" s="59">
        <f t="shared" si="55"/>
        <v>758.95351239253989</v>
      </c>
      <c r="S79" s="59">
        <f ca="1">AVERAGE(OFFSET($R$3,0,0,'Données projet'!$E$9+1,1))-AVERAGE(OFFSET($H$3,0,0,'Données projet'!$E$9+1,1))</f>
        <v>265.50419397354284</v>
      </c>
      <c r="T79" s="59">
        <f t="shared" si="88"/>
        <v>156.67965022779907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1.3402420608107002</v>
      </c>
      <c r="AA79" s="21">
        <f>EXP(-LN(2)/25)*AA78+(1-EXP(-LN(2)/25))/(LN(2)/25)*Calculateur!V79*Calculateur!X79*VLOOKUP('Données projet'!$B$9,Paramètres!$A$1:$I$89,3,0)*0.475*44/12</f>
        <v>1.17184475484823</v>
      </c>
      <c r="AB79" s="21">
        <f>EXP(-LN(2)/2)*AB78+(1-EXP(-LN(2)/2))/(LN(2)/2)*V79*Y79*VLOOKUP('Données projet'!$B$9,Paramètres!$A$1:$I$89,3,0)*0.475*44/12</f>
        <v>7.2750103538916968E-7</v>
      </c>
      <c r="AC79" s="22">
        <f t="shared" si="57"/>
        <v>2.5120875431599656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</v>
      </c>
      <c r="AI79" s="13">
        <f>IF('Données projet'!$A$62&gt;35,AI78+AH79-AQ78,IF(A79&lt;'Données projet'!$A$62,$AF$205^A79,IF(A79='Données projet'!$A$62,'Données projet'!$B$62,AI78+AH79-AQ78)))</f>
        <v>236.99999999999989</v>
      </c>
      <c r="AJ79" s="13">
        <f>AI79*VLOOKUP('Données projet'!$B$10,Paramètres!$A$1:$I$89,3,0)*VLOOKUP('Données projet'!$B$10,Paramètres!$A$1:$I$89,5,0)</f>
        <v>240.3179999999999</v>
      </c>
      <c r="AK79" s="13">
        <f t="shared" si="89"/>
        <v>58.507944457766484</v>
      </c>
      <c r="AL79" s="20">
        <f t="shared" si="58"/>
        <v>520.45518659727634</v>
      </c>
      <c r="AM79" s="59">
        <f t="shared" si="59"/>
        <v>813.78851993060971</v>
      </c>
      <c r="AN79" s="59">
        <f ca="1">AVERAGE(OFFSET($AM$3,0,0,'Données projet'!$E$10+1,1))-AVERAGE(OFFSET($H$3,0,0,'Données projet'!$E$10+1,1))</f>
        <v>296.43642006376018</v>
      </c>
      <c r="AO79" s="59">
        <f t="shared" si="90"/>
        <v>179.56041631665812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1.5019954129775086</v>
      </c>
      <c r="AV79" s="21">
        <f>EXP(-LN(2)/25)*AV78+(1-EXP(-LN(2)/25))/(LN(2)/25)*Calculateur!AQ79*Calculateur!AS79*VLOOKUP('Données projet'!$B$10,Paramètres!$A$1:$I$89,3,0)*0.475*44/12</f>
        <v>1.3132742942264652</v>
      </c>
      <c r="AW79" s="21">
        <f>EXP(-LN(2)/2)*AW78+(1-EXP(-LN(2)/2))/(LN(2)/2)*AQ79*AT79*VLOOKUP('Données projet'!$B$10,Paramètres!$A$1:$I$89,3,0)*0.475*44/12</f>
        <v>8.1530288448786285E-7</v>
      </c>
      <c r="AX79" s="21">
        <f t="shared" si="60"/>
        <v>2.8152705225068582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5.6843418860808015E-14</v>
      </c>
      <c r="BE79" s="13">
        <f>BD79*VLOOKUP('Données projet'!$B$11,Paramètres!$A$1:$I$89,3,0)*VLOOKUP('Données projet'!$B$11,Paramètres!$A$1:$I$89,5,0)</f>
        <v>3.813056537183002E-14</v>
      </c>
      <c r="BF79" s="13">
        <f t="shared" si="91"/>
        <v>6.4086286045526829E-13</v>
      </c>
      <c r="BG79" s="20">
        <f t="shared" si="61"/>
        <v>1.1825802166488628E-12</v>
      </c>
      <c r="BH79" s="59">
        <f t="shared" si="62"/>
        <v>293.33333333333451</v>
      </c>
      <c r="BI79" s="59">
        <f ca="1">AVERAGE(OFFSET($BH$3,0,0,'Données projet'!$E$11+1,1))-AVERAGE(OFFSET($H$3,0,0,'Données projet'!$E$11+1,1))</f>
        <v>181.32837315090507</v>
      </c>
      <c r="BJ79" s="59">
        <f t="shared" si="92"/>
        <v>175.03267817980338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2.202284688776492</v>
      </c>
      <c r="BQ79" s="21">
        <f>EXP(-LN(2)/25)*BQ78+(1-EXP(-LN(2)/25))/(LN(2)/25)*Calculateur!BL79*Calculateur!BN79*VLOOKUP('Données projet'!$B$11,Paramètres!$A$1:$I$89,3,0)*0.475*44/12</f>
        <v>1.9000578395300729</v>
      </c>
      <c r="BR79" s="21">
        <f>EXP(-LN(2)/2)*BR78+(1-EXP(-LN(2)/2))/(LN(2)/2)*BL79*BO79*VLOOKUP('Données projet'!$B$11,Paramètres!$A$1:$I$89,3,0)*0.475*44/12</f>
        <v>1.2646951515591535E-7</v>
      </c>
      <c r="BS79" s="22">
        <f t="shared" si="63"/>
        <v>4.1023426547760797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17</v>
      </c>
      <c r="BY79" s="12">
        <f>IF('Données projet'!$A$114&gt;35,BY78+BX79-CG78,IF(A79&lt;'Données projet'!$A$114,$BV$205^A79,IF(A79='Données projet'!$A$114,'Données projet'!$B$114,BY78+BX79-CG78)))</f>
        <v>438.49999999999989</v>
      </c>
      <c r="BZ79" s="13">
        <f>BY79*VLOOKUP('Données projet'!$B$12,Paramètres!$A$1:$I$89,3,0)*VLOOKUP('Données projet'!$B$12,Paramètres!$A$1:$I$89,5,0)</f>
        <v>205.21799999999996</v>
      </c>
      <c r="CA79" s="13">
        <f t="shared" si="93"/>
        <v>50.889201586985514</v>
      </c>
      <c r="CB79" s="20">
        <f t="shared" si="64"/>
        <v>446.05337609733306</v>
      </c>
      <c r="CC79" s="59">
        <f t="shared" si="65"/>
        <v>739.38670943066631</v>
      </c>
      <c r="CD79" s="59">
        <f ca="1">AVERAGE(OFFSET($CC$3,0,0,'Données projet'!$E$12+1,1))-AVERAGE(OFFSET($H$3,0,0,'Données projet'!$E$12+1,1))</f>
        <v>226.0452828290525</v>
      </c>
      <c r="CE79" s="59">
        <f t="shared" si="94"/>
        <v>179.89696397462069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3.649749534267241</v>
      </c>
      <c r="CL79" s="21">
        <f>EXP(-LN(2)/25)*CL78+(1-EXP(-LN(2)/25))/(LN(2)/25)*Calculateur!CG79*Calculateur!CI79*VLOOKUP('Données projet'!$B$12,Paramètres!$A$1:$I$89,3,0)*0.475*44/12</f>
        <v>3.114806662658097</v>
      </c>
      <c r="CM79" s="21">
        <f>EXP(-LN(2)/2)*CM78+(1-EXP(-LN(2)/2))/(LN(2)/2)*CG79*CJ79*VLOOKUP('Données projet'!$B$12,Paramètres!$A$1:$I$89,3,0)*0.475*44/12</f>
        <v>1.3164435200212467E-6</v>
      </c>
      <c r="CN79" s="22">
        <f t="shared" si="66"/>
        <v>6.7645575133688585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>
        <f>CT79*VLOOKUP('Données projet'!$B$13,Paramètres!$A$1:$I$89,3,0)*VLOOKUP('Données projet'!$B$13,Paramètres!$A$1:$I$89,5,0)</f>
        <v>0</v>
      </c>
      <c r="CV79" s="13" t="e">
        <f t="shared" si="95"/>
        <v>#NUM!</v>
      </c>
      <c r="CW79" s="20" t="e">
        <f t="shared" si="67"/>
        <v>#NUM!</v>
      </c>
      <c r="CX79" s="59" t="e">
        <f t="shared" si="68"/>
        <v>#NUM!</v>
      </c>
      <c r="CY79" s="59">
        <f ca="1">AVERAGE(OFFSET($CX$3,0,0,'Données projet'!$E$13+1,1))-AVERAGE(OFFSET($H$3,0,0,'Données projet'!$E$13+1,1))</f>
        <v>482.74318690313885</v>
      </c>
      <c r="CZ79" s="59">
        <f t="shared" si="96"/>
        <v>205.57161411620217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4.6158226454469879</v>
      </c>
      <c r="DG79" s="21">
        <f>EXP(-LN(2)/25)*DG78+(1-EXP(-LN(2)/25))/(LN(2)/25)*Calculateur!DB79*Calculateur!DD79*VLOOKUP('Données projet'!$B$13,Paramètres!$A$1:$I$89,3,0)*0.475*44/12</f>
        <v>2.6331917349482259</v>
      </c>
      <c r="DH79" s="21">
        <f>EXP(-LN(2)/2)*DH78+(1-EXP(-LN(2)/2))/(LN(2)/2)*DB79*DE79*VLOOKUP('Données projet'!$B$13,Paramètres!$A$1:$I$89,3,0)*0.475*44/12</f>
        <v>5.3989844517690324E-7</v>
      </c>
      <c r="DI79" s="22">
        <f t="shared" si="69"/>
        <v>7.2490149202936589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26.8</v>
      </c>
      <c r="DO79" s="12">
        <f>IF('Données projet'!$A$166&gt;35,DO78+DN79-DW78,IF(A79&lt;'Données projet'!$A$166,$DL$205^A79,IF(A79='Données projet'!$A$166,'Données projet'!$B$166,DO78+DN79-DW78)))</f>
        <v>659.79999999999961</v>
      </c>
      <c r="DP79" s="17">
        <f>DO79*VLOOKUP('Données projet'!$B$14,Paramètres!$A$1:$I$89,3,0)*VLOOKUP('Données projet'!$B$14,Paramètres!$A$1:$I$89,5,0)</f>
        <v>317.36379999999986</v>
      </c>
      <c r="DQ79" s="13">
        <f t="shared" si="97"/>
        <v>74.80457718548962</v>
      </c>
      <c r="DR79" s="20">
        <f t="shared" si="70"/>
        <v>683.02659026472747</v>
      </c>
      <c r="DS79" s="59">
        <f t="shared" si="71"/>
        <v>976.35992359806073</v>
      </c>
      <c r="DT79" s="59">
        <f ca="1">AVERAGE(OFFSET($DS$3,0,0,'Données projet'!$E$14+1,1))-AVERAGE(OFFSET($H$3,0,0,'Données projet'!$E$14+1,1))</f>
        <v>247.11965163963526</v>
      </c>
      <c r="DU79" s="59">
        <f t="shared" si="98"/>
        <v>61.686311966192704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0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</v>
      </c>
      <c r="N80" s="13">
        <f>IF('Données projet'!$A$36&gt;35,N79+M80-V79,IF(A80&lt;'Données projet'!$A$36,$K$205^A80,IF(A80='Données projet'!$A$36,'Données projet'!$B$36,N79+M80-V79)))</f>
        <v>242.99999999999989</v>
      </c>
      <c r="O80" s="13">
        <f>N80*VLOOKUP('Données projet'!$B$9,Paramètres!$A$1:$I$89,3,0)*VLOOKUP('Données projet'!$B$9,Paramètres!$A$1:$I$89,5,0)</f>
        <v>219.86639999999989</v>
      </c>
      <c r="P80" s="13">
        <f t="shared" si="87"/>
        <v>54.085847394182416</v>
      </c>
      <c r="Q80" s="20">
        <f t="shared" si="54"/>
        <v>477.13349754486745</v>
      </c>
      <c r="R80" s="59">
        <f t="shared" si="55"/>
        <v>770.46683087820077</v>
      </c>
      <c r="S80" s="59">
        <f ca="1">AVERAGE(OFFSET($R$3,0,0,'Données projet'!$E$9+1,1))-AVERAGE(OFFSET($H$3,0,0,'Données projet'!$E$9+1,1))</f>
        <v>265.50419397354284</v>
      </c>
      <c r="T80" s="59">
        <f t="shared" si="88"/>
        <v>156.67965022779907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1.3139607314651414</v>
      </c>
      <c r="AA80" s="21">
        <f>EXP(-LN(2)/25)*AA79+(1-EXP(-LN(2)/25))/(LN(2)/25)*Calculateur!V80*Calculateur!X80*VLOOKUP('Données projet'!$B$9,Paramètres!$A$1:$I$89,3,0)*0.475*44/12</f>
        <v>1.1398005984022679</v>
      </c>
      <c r="AB80" s="21">
        <f>EXP(-LN(2)/2)*AB79+(1-EXP(-LN(2)/2))/(LN(2)/2)*V80*Y80*VLOOKUP('Données projet'!$B$9,Paramètres!$A$1:$I$89,3,0)*0.475*44/12</f>
        <v>5.1442091544391637E-7</v>
      </c>
      <c r="AC80" s="22">
        <f t="shared" si="57"/>
        <v>2.4537618442883247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</v>
      </c>
      <c r="AI80" s="13">
        <f>IF('Données projet'!$A$62&gt;35,AI79+AH80-AQ79,IF(A80&lt;'Données projet'!$A$62,$AF$205^A80,IF(A80='Données projet'!$A$62,'Données projet'!$B$62,AI79+AH80-AQ79)))</f>
        <v>242.99999999999989</v>
      </c>
      <c r="AJ80" s="13">
        <f>AI80*VLOOKUP('Données projet'!$B$10,Paramètres!$A$1:$I$89,3,0)*VLOOKUP('Données projet'!$B$10,Paramètres!$A$1:$I$89,5,0)</f>
        <v>246.4019999999999</v>
      </c>
      <c r="AK80" s="13">
        <f t="shared" si="89"/>
        <v>59.814834475385474</v>
      </c>
      <c r="AL80" s="20">
        <f t="shared" si="58"/>
        <v>533.32765337796286</v>
      </c>
      <c r="AM80" s="59">
        <f t="shared" si="59"/>
        <v>826.66098671129612</v>
      </c>
      <c r="AN80" s="59">
        <f ca="1">AVERAGE(OFFSET($AM$3,0,0,'Données projet'!$E$10+1,1))-AVERAGE(OFFSET($H$3,0,0,'Données projet'!$E$10+1,1))</f>
        <v>296.43642006376018</v>
      </c>
      <c r="AO80" s="59">
        <f t="shared" si="90"/>
        <v>179.56041631665812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1.4725421990557617</v>
      </c>
      <c r="AV80" s="21">
        <f>EXP(-LN(2)/25)*AV79+(1-EXP(-LN(2)/25))/(LN(2)/25)*Calculateur!AQ80*Calculateur!AS80*VLOOKUP('Données projet'!$B$10,Paramètres!$A$1:$I$89,3,0)*0.475*44/12</f>
        <v>1.277362739588749</v>
      </c>
      <c r="AW80" s="21">
        <f>EXP(-LN(2)/2)*AW79+(1-EXP(-LN(2)/2))/(LN(2)/2)*AQ80*AT80*VLOOKUP('Données projet'!$B$10,Paramètres!$A$1:$I$89,3,0)*0.475*44/12</f>
        <v>5.7650619834232026E-7</v>
      </c>
      <c r="AX80" s="21">
        <f t="shared" si="60"/>
        <v>2.7499055151507088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5.6843418860808015E-14</v>
      </c>
      <c r="BE80" s="13">
        <f>BD80*VLOOKUP('Données projet'!$B$11,Paramètres!$A$1:$I$89,3,0)*VLOOKUP('Données projet'!$B$11,Paramètres!$A$1:$I$89,5,0)</f>
        <v>3.813056537183002E-14</v>
      </c>
      <c r="BF80" s="13">
        <f t="shared" si="91"/>
        <v>6.4086286045526829E-13</v>
      </c>
      <c r="BG80" s="20">
        <f t="shared" si="61"/>
        <v>1.1825802166488628E-12</v>
      </c>
      <c r="BH80" s="59">
        <f t="shared" si="62"/>
        <v>293.33333333333451</v>
      </c>
      <c r="BI80" s="59">
        <f ca="1">AVERAGE(OFFSET($BH$3,0,0,'Données projet'!$E$11+1,1))-AVERAGE(OFFSET($H$3,0,0,'Données projet'!$E$11+1,1))</f>
        <v>181.32837315090507</v>
      </c>
      <c r="BJ80" s="59">
        <f t="shared" si="92"/>
        <v>175.03267817980338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2.159099229290609</v>
      </c>
      <c r="BQ80" s="21">
        <f>EXP(-LN(2)/25)*BQ79+(1-EXP(-LN(2)/25))/(LN(2)/25)*Calculateur!BL80*Calculateur!BN80*VLOOKUP('Données projet'!$B$11,Paramètres!$A$1:$I$89,3,0)*0.475*44/12</f>
        <v>1.8481006579884238</v>
      </c>
      <c r="BR80" s="21">
        <f>EXP(-LN(2)/2)*BR79+(1-EXP(-LN(2)/2))/(LN(2)/2)*BL80*BO80*VLOOKUP('Données projet'!$B$11,Paramètres!$A$1:$I$89,3,0)*0.475*44/12</f>
        <v>8.9427451780122591E-8</v>
      </c>
      <c r="BS80" s="22">
        <f t="shared" si="63"/>
        <v>4.0071999767064845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17</v>
      </c>
      <c r="BY80" s="12">
        <f>IF('Données projet'!$A$114&gt;35,BY79+BX80-CG79,IF(A80&lt;'Données projet'!$A$114,$BV$205^A80,IF(A80='Données projet'!$A$114,'Données projet'!$B$114,BY79+BX80-CG79)))</f>
        <v>455.49999999999989</v>
      </c>
      <c r="BZ80" s="13">
        <f>BY80*VLOOKUP('Données projet'!$B$12,Paramètres!$A$1:$I$89,3,0)*VLOOKUP('Données projet'!$B$12,Paramètres!$A$1:$I$89,5,0)</f>
        <v>213.17399999999995</v>
      </c>
      <c r="CA80" s="13">
        <f t="shared" si="93"/>
        <v>52.628577834232573</v>
      </c>
      <c r="CB80" s="20">
        <f t="shared" si="64"/>
        <v>462.93948972795494</v>
      </c>
      <c r="CC80" s="59">
        <f t="shared" si="65"/>
        <v>756.27282306128825</v>
      </c>
      <c r="CD80" s="59">
        <f ca="1">AVERAGE(OFFSET($CC$3,0,0,'Données projet'!$E$12+1,1))-AVERAGE(OFFSET($H$3,0,0,'Données projet'!$E$12+1,1))</f>
        <v>226.0452828290525</v>
      </c>
      <c r="CE80" s="59">
        <f t="shared" si="94"/>
        <v>179.89696397462069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3.5781801720276647</v>
      </c>
      <c r="CL80" s="21">
        <f>EXP(-LN(2)/25)*CL79+(1-EXP(-LN(2)/25))/(LN(2)/25)*Calculateur!CG80*Calculateur!CI80*VLOOKUP('Données projet'!$B$12,Paramètres!$A$1:$I$89,3,0)*0.475*44/12</f>
        <v>3.0296321106671478</v>
      </c>
      <c r="CM80" s="21">
        <f>EXP(-LN(2)/2)*CM79+(1-EXP(-LN(2)/2))/(LN(2)/2)*CG80*CJ80*VLOOKUP('Données projet'!$B$12,Paramètres!$A$1:$I$89,3,0)*0.475*44/12</f>
        <v>9.3086614005611217E-7</v>
      </c>
      <c r="CN80" s="22">
        <f t="shared" si="66"/>
        <v>6.6078132135609522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>
        <f>CT80*VLOOKUP('Données projet'!$B$13,Paramètres!$A$1:$I$89,3,0)*VLOOKUP('Données projet'!$B$13,Paramètres!$A$1:$I$89,5,0)</f>
        <v>0</v>
      </c>
      <c r="CV80" s="13" t="e">
        <f t="shared" si="95"/>
        <v>#NUM!</v>
      </c>
      <c r="CW80" s="20" t="e">
        <f t="shared" si="67"/>
        <v>#NUM!</v>
      </c>
      <c r="CX80" s="59" t="e">
        <f t="shared" si="68"/>
        <v>#NUM!</v>
      </c>
      <c r="CY80" s="59">
        <f ca="1">AVERAGE(OFFSET($CX$3,0,0,'Données projet'!$E$13+1,1))-AVERAGE(OFFSET($H$3,0,0,'Données projet'!$E$13+1,1))</f>
        <v>482.74318690313885</v>
      </c>
      <c r="CZ80" s="59">
        <f t="shared" si="96"/>
        <v>205.57161411620217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4.5253091787435915</v>
      </c>
      <c r="DG80" s="21">
        <f>EXP(-LN(2)/25)*DG79+(1-EXP(-LN(2)/25))/(LN(2)/25)*Calculateur!DB80*Calculateur!DD80*VLOOKUP('Données projet'!$B$13,Paramètres!$A$1:$I$89,3,0)*0.475*44/12</f>
        <v>2.5611869684825317</v>
      </c>
      <c r="DH80" s="21">
        <f>EXP(-LN(2)/2)*DH79+(1-EXP(-LN(2)/2))/(LN(2)/2)*DB80*DE80*VLOOKUP('Données projet'!$B$13,Paramètres!$A$1:$I$89,3,0)*0.475*44/12</f>
        <v>3.8176585173666174E-7</v>
      </c>
      <c r="DI80" s="22">
        <f t="shared" si="69"/>
        <v>7.086496528991975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26.8</v>
      </c>
      <c r="DO80" s="12">
        <f>IF('Données projet'!$A$166&gt;35,DO79+DN80-DW79,IF(A80&lt;'Données projet'!$A$166,$DL$205^A80,IF(A80='Données projet'!$A$166,'Données projet'!$B$166,DO79+DN80-DW79)))</f>
        <v>686.59999999999957</v>
      </c>
      <c r="DP80" s="17">
        <f>DO80*VLOOKUP('Données projet'!$B$14,Paramètres!$A$1:$I$89,3,0)*VLOOKUP('Données projet'!$B$14,Paramètres!$A$1:$I$89,5,0)</f>
        <v>330.25459999999981</v>
      </c>
      <c r="DQ80" s="13">
        <f t="shared" si="97"/>
        <v>77.483089878044765</v>
      </c>
      <c r="DR80" s="20">
        <f t="shared" si="70"/>
        <v>710.14314320426092</v>
      </c>
      <c r="DS80" s="59">
        <f t="shared" si="71"/>
        <v>1003.4764765375942</v>
      </c>
      <c r="DT80" s="59">
        <f ca="1">AVERAGE(OFFSET($DS$3,0,0,'Données projet'!$E$14+1,1))-AVERAGE(OFFSET($H$3,0,0,'Données projet'!$E$14+1,1))</f>
        <v>247.11965163963526</v>
      </c>
      <c r="DU80" s="59">
        <f t="shared" si="98"/>
        <v>61.686311966192704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0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</v>
      </c>
      <c r="N81" s="13">
        <f>IF('Données projet'!$A$36&gt;35,N80+M81-V80,IF(A81&lt;'Données projet'!$A$36,$K$205^A81,IF(A81='Données projet'!$A$36,'Données projet'!$B$36,N80+M81-V80)))</f>
        <v>248.99999999999989</v>
      </c>
      <c r="O81" s="13">
        <f>N81*VLOOKUP('Données projet'!$B$9,Paramètres!$A$1:$I$89,3,0)*VLOOKUP('Données projet'!$B$9,Paramètres!$A$1:$I$89,5,0)</f>
        <v>225.29519999999991</v>
      </c>
      <c r="P81" s="13">
        <f t="shared" si="87"/>
        <v>55.264173352293078</v>
      </c>
      <c r="Q81" s="20">
        <f t="shared" si="54"/>
        <v>488.64090858857691</v>
      </c>
      <c r="R81" s="59">
        <f t="shared" si="55"/>
        <v>781.97424192191022</v>
      </c>
      <c r="S81" s="59">
        <f ca="1">AVERAGE(OFFSET($R$3,0,0,'Données projet'!$E$9+1,1))-AVERAGE(OFFSET($H$3,0,0,'Données projet'!$E$9+1,1))</f>
        <v>265.50419397354284</v>
      </c>
      <c r="T81" s="59">
        <f t="shared" si="88"/>
        <v>156.67965022779907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1.2881947629580208</v>
      </c>
      <c r="AA81" s="21">
        <f>EXP(-LN(2)/25)*AA80+(1-EXP(-LN(2)/25))/(LN(2)/25)*Calculateur!V81*Calculateur!X81*VLOOKUP('Données projet'!$B$9,Paramètres!$A$1:$I$89,3,0)*0.475*44/12</f>
        <v>1.1086326910994495</v>
      </c>
      <c r="AB81" s="21">
        <f>EXP(-LN(2)/2)*AB80+(1-EXP(-LN(2)/2))/(LN(2)/2)*V81*Y81*VLOOKUP('Données projet'!$B$9,Paramètres!$A$1:$I$89,3,0)*0.475*44/12</f>
        <v>3.6375051769458484E-7</v>
      </c>
      <c r="AC81" s="22">
        <f t="shared" si="57"/>
        <v>2.396827817807988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</v>
      </c>
      <c r="AI81" s="13">
        <f>IF('Données projet'!$A$62&gt;35,AI80+AH81-AQ80,IF(A81&lt;'Données projet'!$A$62,$AF$205^A81,IF(A81='Données projet'!$A$62,'Données projet'!$B$62,AI80+AH81-AQ80)))</f>
        <v>248.99999999999989</v>
      </c>
      <c r="AJ81" s="13">
        <f>AI81*VLOOKUP('Données projet'!$B$10,Paramètres!$A$1:$I$89,3,0)*VLOOKUP('Données projet'!$B$10,Paramètres!$A$1:$I$89,5,0)</f>
        <v>252.4859999999999</v>
      </c>
      <c r="AK81" s="13">
        <f t="shared" si="89"/>
        <v>61.117973383957384</v>
      </c>
      <c r="AL81" s="20">
        <f t="shared" si="58"/>
        <v>546.193586977059</v>
      </c>
      <c r="AM81" s="59">
        <f t="shared" si="59"/>
        <v>839.52692031039237</v>
      </c>
      <c r="AN81" s="59">
        <f ca="1">AVERAGE(OFFSET($AM$3,0,0,'Données projet'!$E$10+1,1))-AVERAGE(OFFSET($H$3,0,0,'Données projet'!$E$10+1,1))</f>
        <v>296.43642006376018</v>
      </c>
      <c r="AO81" s="59">
        <f t="shared" si="90"/>
        <v>179.56041631665812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1.4436665446943335</v>
      </c>
      <c r="AV81" s="21">
        <f>EXP(-LN(2)/25)*AV80+(1-EXP(-LN(2)/25))/(LN(2)/25)*Calculateur!AQ81*Calculateur!AS81*VLOOKUP('Données projet'!$B$10,Paramètres!$A$1:$I$89,3,0)*0.475*44/12</f>
        <v>1.2424331883011077</v>
      </c>
      <c r="AW81" s="21">
        <f>EXP(-LN(2)/2)*AW80+(1-EXP(-LN(2)/2))/(LN(2)/2)*AQ81*AT81*VLOOKUP('Données projet'!$B$10,Paramètres!$A$1:$I$89,3,0)*0.475*44/12</f>
        <v>4.0765144224393142E-7</v>
      </c>
      <c r="AX81" s="21">
        <f t="shared" si="60"/>
        <v>2.6861001406468836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5.6843418860808015E-14</v>
      </c>
      <c r="BE81" s="13">
        <f>BD81*VLOOKUP('Données projet'!$B$11,Paramètres!$A$1:$I$89,3,0)*VLOOKUP('Données projet'!$B$11,Paramètres!$A$1:$I$89,5,0)</f>
        <v>3.813056537183002E-14</v>
      </c>
      <c r="BF81" s="13">
        <f t="shared" si="91"/>
        <v>6.4086286045526829E-13</v>
      </c>
      <c r="BG81" s="20">
        <f t="shared" si="61"/>
        <v>1.1825802166488628E-12</v>
      </c>
      <c r="BH81" s="59">
        <f t="shared" si="62"/>
        <v>293.33333333333451</v>
      </c>
      <c r="BI81" s="59">
        <f ca="1">AVERAGE(OFFSET($BH$3,0,0,'Données projet'!$E$11+1,1))-AVERAGE(OFFSET($H$3,0,0,'Données projet'!$E$11+1,1))</f>
        <v>181.32837315090507</v>
      </c>
      <c r="BJ81" s="59">
        <f t="shared" si="92"/>
        <v>175.03267817980338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2.116760610324715</v>
      </c>
      <c r="BQ81" s="21">
        <f>EXP(-LN(2)/25)*BQ80+(1-EXP(-LN(2)/25))/(LN(2)/25)*Calculateur!BL81*Calculateur!BN81*VLOOKUP('Données projet'!$B$11,Paramètres!$A$1:$I$89,3,0)*0.475*44/12</f>
        <v>1.7975642483083407</v>
      </c>
      <c r="BR81" s="21">
        <f>EXP(-LN(2)/2)*BR80+(1-EXP(-LN(2)/2))/(LN(2)/2)*BL81*BO81*VLOOKUP('Données projet'!$B$11,Paramètres!$A$1:$I$89,3,0)*0.475*44/12</f>
        <v>6.3234757577957674E-8</v>
      </c>
      <c r="BS81" s="22">
        <f t="shared" si="63"/>
        <v>3.9143249218678133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17</v>
      </c>
      <c r="BY81" s="12">
        <f>IF('Données projet'!$A$114&gt;35,BY80+BX81-CG80,IF(A81&lt;'Données projet'!$A$114,$BV$205^A81,IF(A81='Données projet'!$A$114,'Données projet'!$B$114,BY80+BX81-CG80)))</f>
        <v>472.49999999999989</v>
      </c>
      <c r="BZ81" s="13">
        <f>BY81*VLOOKUP('Données projet'!$B$12,Paramètres!$A$1:$I$89,3,0)*VLOOKUP('Données projet'!$B$12,Paramètres!$A$1:$I$89,5,0)</f>
        <v>221.12999999999997</v>
      </c>
      <c r="CA81" s="13">
        <f t="shared" si="93"/>
        <v>54.360412358692685</v>
      </c>
      <c r="CB81" s="20">
        <f t="shared" si="64"/>
        <v>479.81246819138977</v>
      </c>
      <c r="CC81" s="59">
        <f t="shared" si="65"/>
        <v>773.14580152472308</v>
      </c>
      <c r="CD81" s="59">
        <f ca="1">AVERAGE(OFFSET($CC$3,0,0,'Données projet'!$E$12+1,1))-AVERAGE(OFFSET($H$3,0,0,'Données projet'!$E$12+1,1))</f>
        <v>226.0452828290525</v>
      </c>
      <c r="CE81" s="59">
        <f t="shared" si="94"/>
        <v>179.89696397462069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3.5080142413286057</v>
      </c>
      <c r="CL81" s="21">
        <f>EXP(-LN(2)/25)*CL80+(1-EXP(-LN(2)/25))/(LN(2)/25)*Calculateur!CG81*Calculateur!CI81*VLOOKUP('Données projet'!$B$12,Paramètres!$A$1:$I$89,3,0)*0.475*44/12</f>
        <v>2.9467866612795262</v>
      </c>
      <c r="CM81" s="21">
        <f>EXP(-LN(2)/2)*CM80+(1-EXP(-LN(2)/2))/(LN(2)/2)*CG81*CJ81*VLOOKUP('Données projet'!$B$12,Paramètres!$A$1:$I$89,3,0)*0.475*44/12</f>
        <v>6.5822176001062344E-7</v>
      </c>
      <c r="CN81" s="22">
        <f t="shared" si="66"/>
        <v>6.4548015608298916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>
        <f>CT81*VLOOKUP('Données projet'!$B$13,Paramètres!$A$1:$I$89,3,0)*VLOOKUP('Données projet'!$B$13,Paramètres!$A$1:$I$89,5,0)</f>
        <v>0</v>
      </c>
      <c r="CV81" s="13" t="e">
        <f t="shared" si="95"/>
        <v>#NUM!</v>
      </c>
      <c r="CW81" s="20" t="e">
        <f t="shared" si="67"/>
        <v>#NUM!</v>
      </c>
      <c r="CX81" s="59" t="e">
        <f t="shared" si="68"/>
        <v>#NUM!</v>
      </c>
      <c r="CY81" s="59">
        <f ca="1">AVERAGE(OFFSET($CX$3,0,0,'Données projet'!$E$13+1,1))-AVERAGE(OFFSET($H$3,0,0,'Données projet'!$E$13+1,1))</f>
        <v>482.74318690313885</v>
      </c>
      <c r="CZ81" s="59">
        <f t="shared" si="96"/>
        <v>205.57161411620217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4.4365706259144853</v>
      </c>
      <c r="DG81" s="21">
        <f>EXP(-LN(2)/25)*DG80+(1-EXP(-LN(2)/25))/(LN(2)/25)*Calculateur!DB81*Calculateur!DD81*VLOOKUP('Données projet'!$B$13,Paramètres!$A$1:$I$89,3,0)*0.475*44/12</f>
        <v>2.4911511761424077</v>
      </c>
      <c r="DH81" s="21">
        <f>EXP(-LN(2)/2)*DH80+(1-EXP(-LN(2)/2))/(LN(2)/2)*DB81*DE81*VLOOKUP('Données projet'!$B$13,Paramètres!$A$1:$I$89,3,0)*0.475*44/12</f>
        <v>2.6994922258845162E-7</v>
      </c>
      <c r="DI81" s="22">
        <f t="shared" si="69"/>
        <v>6.9277220720061159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26.8</v>
      </c>
      <c r="DO81" s="12">
        <f>IF('Données projet'!$A$166&gt;35,DO80+DN81-DW80,IF(A81&lt;'Données projet'!$A$166,$DL$205^A81,IF(A81='Données projet'!$A$166,'Données projet'!$B$166,DO80+DN81-DW80)))</f>
        <v>713.39999999999952</v>
      </c>
      <c r="DP81" s="17">
        <f>DO81*VLOOKUP('Données projet'!$B$14,Paramètres!$A$1:$I$89,3,0)*VLOOKUP('Données projet'!$B$14,Paramètres!$A$1:$I$89,5,0)</f>
        <v>343.14539999999977</v>
      </c>
      <c r="DQ81" s="13">
        <f t="shared" si="97"/>
        <v>80.149457278745501</v>
      </c>
      <c r="DR81" s="20">
        <f t="shared" si="70"/>
        <v>737.23854309381466</v>
      </c>
      <c r="DS81" s="59">
        <f t="shared" si="71"/>
        <v>1030.571876427148</v>
      </c>
      <c r="DT81" s="59">
        <f ca="1">AVERAGE(OFFSET($DS$3,0,0,'Données projet'!$E$14+1,1))-AVERAGE(OFFSET($H$3,0,0,'Données projet'!$E$14+1,1))</f>
        <v>247.11965163963526</v>
      </c>
      <c r="DU81" s="59">
        <f t="shared" si="98"/>
        <v>61.686311966192704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0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</v>
      </c>
      <c r="N82" s="13">
        <f>IF('Données projet'!$A$36&gt;35,N81+M82-V81,IF(A82&lt;'Données projet'!$A$36,$K$205^A82,IF(A82='Données projet'!$A$36,'Données projet'!$B$36,N81+M82-V81)))</f>
        <v>254.99999999999989</v>
      </c>
      <c r="O82" s="13">
        <f>N82*VLOOKUP('Données projet'!$B$9,Paramètres!$A$1:$I$89,3,0)*VLOOKUP('Données projet'!$B$9,Paramètres!$A$1:$I$89,5,0)</f>
        <v>230.72399999999988</v>
      </c>
      <c r="P82" s="13">
        <f t="shared" si="87"/>
        <v>56.439198612082045</v>
      </c>
      <c r="Q82" s="20">
        <f t="shared" si="54"/>
        <v>500.14257091604264</v>
      </c>
      <c r="R82" s="59">
        <f t="shared" si="55"/>
        <v>793.47590424937596</v>
      </c>
      <c r="S82" s="59">
        <f ca="1">AVERAGE(OFFSET($R$3,0,0,'Données projet'!$E$9+1,1))-AVERAGE(OFFSET($H$3,0,0,'Données projet'!$E$9+1,1))</f>
        <v>265.50419397354284</v>
      </c>
      <c r="T82" s="59">
        <f t="shared" si="88"/>
        <v>156.67965022779907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1.262934049377636</v>
      </c>
      <c r="AA82" s="21">
        <f>EXP(-LN(2)/25)*AA81+(1-EXP(-LN(2)/25))/(LN(2)/25)*Calculateur!V82*Calculateur!X82*VLOOKUP('Données projet'!$B$9,Paramètres!$A$1:$I$89,3,0)*0.475*44/12</f>
        <v>1.0783170718608757</v>
      </c>
      <c r="AB82" s="21">
        <f>EXP(-LN(2)/2)*AB81+(1-EXP(-LN(2)/2))/(LN(2)/2)*V82*Y82*VLOOKUP('Données projet'!$B$9,Paramètres!$A$1:$I$89,3,0)*0.475*44/12</f>
        <v>2.5721045772195818E-7</v>
      </c>
      <c r="AC82" s="22">
        <f t="shared" si="57"/>
        <v>2.3412513784489692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</v>
      </c>
      <c r="AI82" s="13">
        <f>IF('Données projet'!$A$62&gt;35,AI81+AH82-AQ81,IF(A82&lt;'Données projet'!$A$62,$AF$205^A82,IF(A82='Données projet'!$A$62,'Données projet'!$B$62,AI81+AH82-AQ81)))</f>
        <v>254.99999999999989</v>
      </c>
      <c r="AJ82" s="13">
        <f>AI82*VLOOKUP('Données projet'!$B$10,Paramètres!$A$1:$I$89,3,0)*VLOOKUP('Données projet'!$B$10,Paramètres!$A$1:$I$89,5,0)</f>
        <v>258.56999999999994</v>
      </c>
      <c r="AK82" s="13">
        <f t="shared" si="89"/>
        <v>62.417461971173843</v>
      </c>
      <c r="AL82" s="20">
        <f t="shared" si="58"/>
        <v>559.05316293312762</v>
      </c>
      <c r="AM82" s="59">
        <f t="shared" si="59"/>
        <v>852.38649626646088</v>
      </c>
      <c r="AN82" s="59">
        <f ca="1">AVERAGE(OFFSET($AM$3,0,0,'Données projet'!$E$10+1,1))-AVERAGE(OFFSET($H$3,0,0,'Données projet'!$E$10+1,1))</f>
        <v>296.43642006376018</v>
      </c>
      <c r="AO82" s="59">
        <f t="shared" si="90"/>
        <v>179.56041631665812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1.4153571243025229</v>
      </c>
      <c r="AV82" s="21">
        <f>EXP(-LN(2)/25)*AV81+(1-EXP(-LN(2)/25))/(LN(2)/25)*Calculateur!AQ82*Calculateur!AS82*VLOOKUP('Données projet'!$B$10,Paramètres!$A$1:$I$89,3,0)*0.475*44/12</f>
        <v>1.2084587874302921</v>
      </c>
      <c r="AW82" s="21">
        <f>EXP(-LN(2)/2)*AW81+(1-EXP(-LN(2)/2))/(LN(2)/2)*AQ82*AT82*VLOOKUP('Données projet'!$B$10,Paramètres!$A$1:$I$89,3,0)*0.475*44/12</f>
        <v>2.8825309917116013E-7</v>
      </c>
      <c r="AX82" s="21">
        <f t="shared" si="60"/>
        <v>2.6238161999859142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5.6843418860808015E-14</v>
      </c>
      <c r="BE82" s="13">
        <f>BD82*VLOOKUP('Données projet'!$B$11,Paramètres!$A$1:$I$89,3,0)*VLOOKUP('Données projet'!$B$11,Paramètres!$A$1:$I$89,5,0)</f>
        <v>3.813056537183002E-14</v>
      </c>
      <c r="BF82" s="13">
        <f t="shared" si="91"/>
        <v>6.4086286045526829E-13</v>
      </c>
      <c r="BG82" s="20">
        <f t="shared" si="61"/>
        <v>1.1825802166488628E-12</v>
      </c>
      <c r="BH82" s="59">
        <f t="shared" si="62"/>
        <v>293.33333333333451</v>
      </c>
      <c r="BI82" s="59">
        <f ca="1">AVERAGE(OFFSET($BH$3,0,0,'Données projet'!$E$11+1,1))-AVERAGE(OFFSET($H$3,0,0,'Données projet'!$E$11+1,1))</f>
        <v>181.32837315090507</v>
      </c>
      <c r="BJ82" s="59">
        <f t="shared" si="92"/>
        <v>175.03267817980338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2.0752522258527346</v>
      </c>
      <c r="BQ82" s="21">
        <f>EXP(-LN(2)/25)*BQ81+(1-EXP(-LN(2)/25))/(LN(2)/25)*Calculateur!BL82*Calculateur!BN82*VLOOKUP('Données projet'!$B$11,Paramètres!$A$1:$I$89,3,0)*0.475*44/12</f>
        <v>1.7484097594085537</v>
      </c>
      <c r="BR82" s="21">
        <f>EXP(-LN(2)/2)*BR81+(1-EXP(-LN(2)/2))/(LN(2)/2)*BL82*BO82*VLOOKUP('Données projet'!$B$11,Paramètres!$A$1:$I$89,3,0)*0.475*44/12</f>
        <v>4.4713725890061295E-8</v>
      </c>
      <c r="BS82" s="22">
        <f t="shared" si="63"/>
        <v>3.8236620299750141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17</v>
      </c>
      <c r="BY82" s="12">
        <f>IF('Données projet'!$A$114&gt;35,BY81+BX82-CG81,IF(A82&lt;'Données projet'!$A$114,$BV$205^A82,IF(A82='Données projet'!$A$114,'Données projet'!$B$114,BY81+BX82-CG81)))</f>
        <v>489.49999999999989</v>
      </c>
      <c r="BZ82" s="13">
        <f>BY82*VLOOKUP('Données projet'!$B$12,Paramètres!$A$1:$I$89,3,0)*VLOOKUP('Données projet'!$B$12,Paramètres!$A$1:$I$89,5,0)</f>
        <v>229.08599999999993</v>
      </c>
      <c r="CA82" s="13">
        <f t="shared" si="93"/>
        <v>56.085007586294346</v>
      </c>
      <c r="CB82" s="20">
        <f t="shared" si="64"/>
        <v>496.6728382127958</v>
      </c>
      <c r="CC82" s="59">
        <f t="shared" si="65"/>
        <v>790.00617154612905</v>
      </c>
      <c r="CD82" s="59">
        <f ca="1">AVERAGE(OFFSET($CC$3,0,0,'Données projet'!$E$12+1,1))-AVERAGE(OFFSET($H$3,0,0,'Données projet'!$E$12+1,1))</f>
        <v>226.0452828290525</v>
      </c>
      <c r="CE82" s="59">
        <f t="shared" si="94"/>
        <v>179.89696397462069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3.4392242217335633</v>
      </c>
      <c r="CL82" s="21">
        <f>EXP(-LN(2)/25)*CL81+(1-EXP(-LN(2)/25))/(LN(2)/25)*Calculateur!CG82*Calculateur!CI82*VLOOKUP('Données projet'!$B$12,Paramètres!$A$1:$I$89,3,0)*0.475*44/12</f>
        <v>2.8662066250620621</v>
      </c>
      <c r="CM82" s="21">
        <f>EXP(-LN(2)/2)*CM81+(1-EXP(-LN(2)/2))/(LN(2)/2)*CG82*CJ82*VLOOKUP('Données projet'!$B$12,Paramètres!$A$1:$I$89,3,0)*0.475*44/12</f>
        <v>4.6543307002805614E-7</v>
      </c>
      <c r="CN82" s="22">
        <f t="shared" si="66"/>
        <v>6.3054313122286949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>
        <f>CT82*VLOOKUP('Données projet'!$B$13,Paramètres!$A$1:$I$89,3,0)*VLOOKUP('Données projet'!$B$13,Paramètres!$A$1:$I$89,5,0)</f>
        <v>0</v>
      </c>
      <c r="CV82" s="13" t="e">
        <f t="shared" si="95"/>
        <v>#NUM!</v>
      </c>
      <c r="CW82" s="20" t="e">
        <f t="shared" si="67"/>
        <v>#NUM!</v>
      </c>
      <c r="CX82" s="59" t="e">
        <f t="shared" si="68"/>
        <v>#NUM!</v>
      </c>
      <c r="CY82" s="59">
        <f ca="1">AVERAGE(OFFSET($CX$3,0,0,'Données projet'!$E$13+1,1))-AVERAGE(OFFSET($H$3,0,0,'Données projet'!$E$13+1,1))</f>
        <v>482.74318690313885</v>
      </c>
      <c r="CZ82" s="59">
        <f t="shared" si="96"/>
        <v>205.57161411620217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4.349572181981185</v>
      </c>
      <c r="DG82" s="21">
        <f>EXP(-LN(2)/25)*DG81+(1-EXP(-LN(2)/25))/(LN(2)/25)*Calculateur!DB82*Calculateur!DD82*VLOOKUP('Données projet'!$B$13,Paramètres!$A$1:$I$89,3,0)*0.475*44/12</f>
        <v>2.4230305162268468</v>
      </c>
      <c r="DH82" s="21">
        <f>EXP(-LN(2)/2)*DH81+(1-EXP(-LN(2)/2))/(LN(2)/2)*DB82*DE82*VLOOKUP('Données projet'!$B$13,Paramètres!$A$1:$I$89,3,0)*0.475*44/12</f>
        <v>1.9088292586833087E-7</v>
      </c>
      <c r="DI82" s="22">
        <f t="shared" si="69"/>
        <v>6.7726028890909573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26.8</v>
      </c>
      <c r="DO82" s="12">
        <f>IF('Données projet'!$A$166&gt;35,DO81+DN82-DW81,IF(A82&lt;'Données projet'!$A$166,$DL$205^A82,IF(A82='Données projet'!$A$166,'Données projet'!$B$166,DO81+DN82-DW81)))</f>
        <v>740.19999999999948</v>
      </c>
      <c r="DP82" s="17">
        <f>DO82*VLOOKUP('Données projet'!$B$14,Paramètres!$A$1:$I$89,3,0)*VLOOKUP('Données projet'!$B$14,Paramètres!$A$1:$I$89,5,0)</f>
        <v>356.03619999999972</v>
      </c>
      <c r="DQ82" s="13">
        <f t="shared" si="97"/>
        <v>82.804187884423726</v>
      </c>
      <c r="DR82" s="20">
        <f t="shared" si="70"/>
        <v>764.31367556537077</v>
      </c>
      <c r="DS82" s="59">
        <f t="shared" si="71"/>
        <v>1057.6470088987041</v>
      </c>
      <c r="DT82" s="59">
        <f ca="1">AVERAGE(OFFSET($DS$3,0,0,'Données projet'!$E$14+1,1))-AVERAGE(OFFSET($H$3,0,0,'Données projet'!$E$14+1,1))</f>
        <v>247.11965163963526</v>
      </c>
      <c r="DU82" s="59">
        <f t="shared" si="98"/>
        <v>61.686311966192704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0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261</v>
      </c>
      <c r="L83" s="12">
        <f>VLOOKUP(A83,'Données projet'!$A$35:$I$55,9,0)</f>
        <v>6</v>
      </c>
      <c r="M83" s="12">
        <f t="array" ref="M83">INDEX(L:L,MIN(IF(ISNUMBER(L83:L279),ROW(L83:L279),"")))</f>
        <v>6</v>
      </c>
      <c r="N83" s="13">
        <f>IF('Données projet'!$A$36&gt;35,N82+M83-V82,IF(A83&lt;'Données projet'!$A$36,$K$205^A83,IF(A83='Données projet'!$A$36,'Données projet'!$B$36,N82+M83-V82)))</f>
        <v>260.99999999999989</v>
      </c>
      <c r="O83" s="13">
        <f>N83*VLOOKUP('Données projet'!$B$9,Paramètres!$A$1:$I$89,3,0)*VLOOKUP('Données projet'!$B$9,Paramètres!$A$1:$I$89,5,0)</f>
        <v>236.15279999999987</v>
      </c>
      <c r="P83" s="13">
        <f t="shared" si="87"/>
        <v>57.61100977459931</v>
      </c>
      <c r="Q83" s="20">
        <f t="shared" si="54"/>
        <v>511.63863535742689</v>
      </c>
      <c r="R83" s="59">
        <f t="shared" si="55"/>
        <v>804.97196869076015</v>
      </c>
      <c r="S83" s="59">
        <f ca="1">AVERAGE(OFFSET($R$3,0,0,'Données projet'!$E$9+1,1))-AVERAGE(OFFSET($H$3,0,0,'Données projet'!$E$9+1,1))</f>
        <v>265.50419397354284</v>
      </c>
      <c r="T83" s="59">
        <f t="shared" si="88"/>
        <v>156.67965022779907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21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1.2381686829830485</v>
      </c>
      <c r="AA83" s="21">
        <f>EXP(-LN(2)/25)*AA82+(1-EXP(-LN(2)/25))/(LN(2)/25)*Calculateur!V83*Calculateur!X83*VLOOKUP('Données projet'!$B$9,Paramètres!$A$1:$I$89,3,0)*0.475*44/12</f>
        <v>1.0488304348246098</v>
      </c>
      <c r="AB83" s="21">
        <f>EXP(-LN(2)/2)*AB82+(1-EXP(-LN(2)/2))/(LN(2)/2)*V83*Y83*VLOOKUP('Données projet'!$B$9,Paramètres!$A$1:$I$89,3,0)*0.475*44/12</f>
        <v>1.8187525884729242E-7</v>
      </c>
      <c r="AC83" s="22">
        <f t="shared" si="57"/>
        <v>2.2869992996829174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261</v>
      </c>
      <c r="AG83" s="12">
        <f>VLOOKUP(A83,'Données projet'!$A$61:$I$81,9,0)</f>
        <v>6</v>
      </c>
      <c r="AH83" s="12">
        <f t="array" ref="AH83">INDEX(AG:AG,MIN(IF(ISNUMBER(AG83:AG279),ROW(AG83:AG279),"")))</f>
        <v>6</v>
      </c>
      <c r="AI83" s="13">
        <f>IF('Données projet'!$A$62&gt;35,AI82+AH83-AQ82,IF(A83&lt;'Données projet'!$A$62,$AF$205^A83,IF(A83='Données projet'!$A$62,'Données projet'!$B$62,AI82+AH83-AQ82)))</f>
        <v>260.99999999999989</v>
      </c>
      <c r="AJ83" s="13">
        <f>AI83*VLOOKUP('Données projet'!$B$10,Paramètres!$A$1:$I$89,3,0)*VLOOKUP('Données projet'!$B$10,Paramètres!$A$1:$I$89,5,0)</f>
        <v>264.65399999999988</v>
      </c>
      <c r="AK83" s="13">
        <f t="shared" si="89"/>
        <v>63.71339601121106</v>
      </c>
      <c r="AL83" s="20">
        <f t="shared" si="58"/>
        <v>571.90654805285897</v>
      </c>
      <c r="AM83" s="59">
        <f t="shared" si="59"/>
        <v>865.23988138619234</v>
      </c>
      <c r="AN83" s="59">
        <f ca="1">AVERAGE(OFFSET($AM$3,0,0,'Données projet'!$E$10+1,1))-AVERAGE(OFFSET($H$3,0,0,'Données projet'!$E$10+1,1))</f>
        <v>296.43642006376018</v>
      </c>
      <c r="AO83" s="59">
        <f t="shared" si="90"/>
        <v>179.56041631665812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21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1.3876028343775542</v>
      </c>
      <c r="AV83" s="21">
        <f>EXP(-LN(2)/25)*AV82+(1-EXP(-LN(2)/25))/(LN(2)/25)*Calculateur!AQ83*Calculateur!AS83*VLOOKUP('Données projet'!$B$10,Paramètres!$A$1:$I$89,3,0)*0.475*44/12</f>
        <v>1.175413418337925</v>
      </c>
      <c r="AW83" s="21">
        <f>EXP(-LN(2)/2)*AW82+(1-EXP(-LN(2)/2))/(LN(2)/2)*AQ83*AT83*VLOOKUP('Données projet'!$B$10,Paramètres!$A$1:$I$89,3,0)*0.475*44/12</f>
        <v>2.0382572112196571E-7</v>
      </c>
      <c r="AX83" s="21">
        <f t="shared" si="60"/>
        <v>2.5630164565412001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5.6843418860808015E-14</v>
      </c>
      <c r="BE83" s="13">
        <f>BD83*VLOOKUP('Données projet'!$B$11,Paramètres!$A$1:$I$89,3,0)*VLOOKUP('Données projet'!$B$11,Paramètres!$A$1:$I$89,5,0)</f>
        <v>3.813056537183002E-14</v>
      </c>
      <c r="BF83" s="13">
        <f t="shared" si="91"/>
        <v>6.4086286045526829E-13</v>
      </c>
      <c r="BG83" s="20">
        <f t="shared" si="61"/>
        <v>1.1825802166488628E-12</v>
      </c>
      <c r="BH83" s="59">
        <f t="shared" si="62"/>
        <v>293.33333333333451</v>
      </c>
      <c r="BI83" s="59">
        <f ca="1">AVERAGE(OFFSET($BH$3,0,0,'Données projet'!$E$11+1,1))-AVERAGE(OFFSET($H$3,0,0,'Données projet'!$E$11+1,1))</f>
        <v>181.32837315090507</v>
      </c>
      <c r="BJ83" s="59">
        <f t="shared" si="92"/>
        <v>175.03267817980338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2.0345577954826348</v>
      </c>
      <c r="BQ83" s="21">
        <f>EXP(-LN(2)/25)*BQ82+(1-EXP(-LN(2)/25))/(LN(2)/25)*Calculateur!BL83*Calculateur!BN83*VLOOKUP('Données projet'!$B$11,Paramètres!$A$1:$I$89,3,0)*0.475*44/12</f>
        <v>1.7005994025926536</v>
      </c>
      <c r="BR83" s="21">
        <f>EXP(-LN(2)/2)*BR82+(1-EXP(-LN(2)/2))/(LN(2)/2)*BL83*BO83*VLOOKUP('Données projet'!$B$11,Paramètres!$A$1:$I$89,3,0)*0.475*44/12</f>
        <v>3.1617378788978837E-8</v>
      </c>
      <c r="BS83" s="22">
        <f t="shared" si="63"/>
        <v>3.7351572296926676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506.5</v>
      </c>
      <c r="BW83" s="12">
        <f>VLOOKUP(A83,'Données projet'!$A$113:$I$133,9,0)</f>
        <v>17</v>
      </c>
      <c r="BX83" s="12">
        <f t="array" ref="BX83">INDEX(BW:BW,MIN(IF(ISNUMBER(BW83:BW279),ROW(BW83:BW279),"")))</f>
        <v>17</v>
      </c>
      <c r="BY83" s="12">
        <f>IF('Données projet'!$A$114&gt;35,BY82+BX83-CG82,IF(A83&lt;'Données projet'!$A$114,$BV$205^A83,IF(A83='Données projet'!$A$114,'Données projet'!$B$114,BY82+BX83-CG82)))</f>
        <v>506.49999999999989</v>
      </c>
      <c r="BZ83" s="13">
        <f>BY83*VLOOKUP('Données projet'!$B$12,Paramètres!$A$1:$I$89,3,0)*VLOOKUP('Données projet'!$B$12,Paramètres!$A$1:$I$89,5,0)</f>
        <v>237.04199999999994</v>
      </c>
      <c r="CA83" s="13">
        <f t="shared" si="93"/>
        <v>57.802643745601223</v>
      </c>
      <c r="CB83" s="20">
        <f t="shared" si="64"/>
        <v>513.52108785692201</v>
      </c>
      <c r="CC83" s="59">
        <f t="shared" si="65"/>
        <v>806.85442119025538</v>
      </c>
      <c r="CD83" s="59">
        <f ca="1">AVERAGE(OFFSET($CC$3,0,0,'Données projet'!$E$12+1,1))-AVERAGE(OFFSET($H$3,0,0,'Données projet'!$E$12+1,1))</f>
        <v>226.0452828290525</v>
      </c>
      <c r="CE83" s="59">
        <f t="shared" si="94"/>
        <v>179.89696397462069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93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3.3717831324650107</v>
      </c>
      <c r="CL83" s="21">
        <f>EXP(-LN(2)/25)*CL82+(1-EXP(-LN(2)/25))/(LN(2)/25)*Calculateur!CG83*Calculateur!CI83*VLOOKUP('Données projet'!$B$12,Paramètres!$A$1:$I$89,3,0)*0.475*44/12</f>
        <v>2.7878300541724843</v>
      </c>
      <c r="CM83" s="21">
        <f>EXP(-LN(2)/2)*CM82+(1-EXP(-LN(2)/2))/(LN(2)/2)*CG83*CJ83*VLOOKUP('Données projet'!$B$12,Paramètres!$A$1:$I$89,3,0)*0.475*44/12</f>
        <v>3.2911088000531177E-7</v>
      </c>
      <c r="CN83" s="22">
        <f t="shared" si="66"/>
        <v>6.1596135157483749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>
        <f>CT83*VLOOKUP('Données projet'!$B$13,Paramètres!$A$1:$I$89,3,0)*VLOOKUP('Données projet'!$B$13,Paramètres!$A$1:$I$89,5,0)</f>
        <v>0</v>
      </c>
      <c r="CV83" s="13" t="e">
        <f t="shared" si="95"/>
        <v>#NUM!</v>
      </c>
      <c r="CW83" s="20" t="e">
        <f t="shared" si="67"/>
        <v>#NUM!</v>
      </c>
      <c r="CX83" s="59" t="e">
        <f t="shared" si="68"/>
        <v>#NUM!</v>
      </c>
      <c r="CY83" s="59">
        <f ca="1">AVERAGE(OFFSET($CX$3,0,0,'Données projet'!$E$13+1,1))-AVERAGE(OFFSET($H$3,0,0,'Données projet'!$E$13+1,1))</f>
        <v>482.74318690313885</v>
      </c>
      <c r="CZ83" s="59">
        <f t="shared" si="96"/>
        <v>205.57161411620217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4.2642797244696053</v>
      </c>
      <c r="DG83" s="21">
        <f>EXP(-LN(2)/25)*DG82+(1-EXP(-LN(2)/25))/(LN(2)/25)*Calculateur!DB83*Calculateur!DD83*VLOOKUP('Données projet'!$B$13,Paramètres!$A$1:$I$89,3,0)*0.475*44/12</f>
        <v>2.3567726193389866</v>
      </c>
      <c r="DH83" s="21">
        <f>EXP(-LN(2)/2)*DH82+(1-EXP(-LN(2)/2))/(LN(2)/2)*DB83*DE83*VLOOKUP('Données projet'!$B$13,Paramètres!$A$1:$I$89,3,0)*0.475*44/12</f>
        <v>1.3497461129422581E-7</v>
      </c>
      <c r="DI83" s="22">
        <f t="shared" si="69"/>
        <v>6.621052478783203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767</v>
      </c>
      <c r="DM83" s="12">
        <f>VLOOKUP(A83,'Données projet'!$A$165:$I$185,9,0)</f>
        <v>26.8</v>
      </c>
      <c r="DN83" s="12">
        <f t="array" ref="DN83">INDEX(DM:DM,MIN(IF(ISNUMBER(DM83:DM279),ROW(DM83:DM279),"")))</f>
        <v>26.8</v>
      </c>
      <c r="DO83" s="12">
        <f>IF('Données projet'!$A$166&gt;35,DO82+DN83-DW82,IF(A83&lt;'Données projet'!$A$166,$DL$205^A83,IF(A83='Données projet'!$A$166,'Données projet'!$B$166,DO82+DN83-DW82)))</f>
        <v>766.99999999999943</v>
      </c>
      <c r="DP83" s="17">
        <f>DO83*VLOOKUP('Données projet'!$B$14,Paramètres!$A$1:$I$89,3,0)*VLOOKUP('Données projet'!$B$14,Paramètres!$A$1:$I$89,5,0)</f>
        <v>368.92699999999974</v>
      </c>
      <c r="DQ83" s="13">
        <f t="shared" si="97"/>
        <v>85.447751283240834</v>
      </c>
      <c r="DR83" s="20">
        <f t="shared" si="70"/>
        <v>791.3693584849774</v>
      </c>
      <c r="DS83" s="59">
        <f t="shared" si="71"/>
        <v>1084.7026918183108</v>
      </c>
      <c r="DT83" s="59">
        <f ca="1">AVERAGE(OFFSET($DS$3,0,0,'Données projet'!$E$14+1,1))-AVERAGE(OFFSET($H$3,0,0,'Données projet'!$E$14+1,1))</f>
        <v>247.11965163963526</v>
      </c>
      <c r="DU83" s="59">
        <f t="shared" si="98"/>
        <v>61.686311966192704</v>
      </c>
      <c r="DV83" s="15">
        <f>IF(ISNA(VLOOKUP(A83,'Données projet'!$A$165:$I$185,3,0)),0,VLOOKUP(A83,'Données projet'!$A$165:$I$185,3,0))</f>
        <v>3</v>
      </c>
      <c r="DW83" s="15">
        <f>IF(ISNA(VLOOKUP(A83,'Données projet'!$A$165:$I$185,4,0)),0,VLOOKUP(A83,'Données projet'!$A$165:$I$185,4,0))</f>
        <v>263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0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5.8</v>
      </c>
      <c r="N84" s="13">
        <f>IF('Données projet'!$A$36&gt;35,N83+M84-V83,IF(A84&lt;'Données projet'!$A$36,$K$205^A84,IF(A84='Données projet'!$A$36,'Données projet'!$B$36,N83+M84-V83)))</f>
        <v>245.7999999999999</v>
      </c>
      <c r="O84" s="13">
        <f>N84*VLOOKUP('Données projet'!$B$9,Paramètres!$A$1:$I$89,3,0)*VLOOKUP('Données projet'!$B$9,Paramètres!$A$1:$I$89,5,0)</f>
        <v>222.3998399999999</v>
      </c>
      <c r="P84" s="13">
        <f t="shared" si="87"/>
        <v>54.636149281681448</v>
      </c>
      <c r="Q84" s="20">
        <f t="shared" si="54"/>
        <v>482.50434799892832</v>
      </c>
      <c r="R84" s="59">
        <f t="shared" si="55"/>
        <v>775.83768133226158</v>
      </c>
      <c r="S84" s="59">
        <f ca="1">AVERAGE(OFFSET($R$3,0,0,'Données projet'!$E$9+1,1))-AVERAGE(OFFSET($H$3,0,0,'Données projet'!$E$9+1,1))</f>
        <v>265.50419397354284</v>
      </c>
      <c r="T84" s="59">
        <f t="shared" si="88"/>
        <v>156.67965022779907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1.213888950318077</v>
      </c>
      <c r="AA84" s="21">
        <f>EXP(-LN(2)/25)*AA83+(1-EXP(-LN(2)/25))/(LN(2)/25)*Calculateur!V84*Calculateur!X84*VLOOKUP('Données projet'!$B$9,Paramètres!$A$1:$I$89,3,0)*0.475*44/12</f>
        <v>1.0201501114287355</v>
      </c>
      <c r="AB84" s="21">
        <f>EXP(-LN(2)/2)*AB83+(1-EXP(-LN(2)/2))/(LN(2)/2)*V84*Y84*VLOOKUP('Données projet'!$B$9,Paramètres!$A$1:$I$89,3,0)*0.475*44/12</f>
        <v>1.2860522886097909E-7</v>
      </c>
      <c r="AC84" s="22">
        <f t="shared" si="57"/>
        <v>2.2340391903520409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5.8</v>
      </c>
      <c r="AI84" s="13">
        <f>IF('Données projet'!$A$62&gt;35,AI83+AH84-AQ83,IF(A84&lt;'Données projet'!$A$62,$AF$205^A84,IF(A84='Données projet'!$A$62,'Données projet'!$B$62,AI83+AH84-AQ83)))</f>
        <v>245.7999999999999</v>
      </c>
      <c r="AJ84" s="13">
        <f>AI84*VLOOKUP('Données projet'!$B$10,Paramètres!$A$1:$I$89,3,0)*VLOOKUP('Données projet'!$B$10,Paramètres!$A$1:$I$89,5,0)</f>
        <v>249.24119999999988</v>
      </c>
      <c r="AK84" s="13">
        <f t="shared" si="89"/>
        <v>60.42342651744687</v>
      </c>
      <c r="AL84" s="20">
        <f t="shared" si="58"/>
        <v>539.3325578512198</v>
      </c>
      <c r="AM84" s="59">
        <f t="shared" si="59"/>
        <v>832.66589118455317</v>
      </c>
      <c r="AN84" s="59">
        <f ca="1">AVERAGE(OFFSET($AM$3,0,0,'Données projet'!$E$10+1,1))-AVERAGE(OFFSET($H$3,0,0,'Données projet'!$E$10+1,1))</f>
        <v>296.43642006376018</v>
      </c>
      <c r="AO84" s="59">
        <f t="shared" si="90"/>
        <v>179.56041631665812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1.3603927891495688</v>
      </c>
      <c r="AV84" s="21">
        <f>EXP(-LN(2)/25)*AV83+(1-EXP(-LN(2)/25))/(LN(2)/25)*Calculateur!AQ84*Calculateur!AS84*VLOOKUP('Données projet'!$B$10,Paramètres!$A$1:$I$89,3,0)*0.475*44/12</f>
        <v>1.1432716766011692</v>
      </c>
      <c r="AW84" s="21">
        <f>EXP(-LN(2)/2)*AW83+(1-EXP(-LN(2)/2))/(LN(2)/2)*AQ84*AT84*VLOOKUP('Données projet'!$B$10,Paramètres!$A$1:$I$89,3,0)*0.475*44/12</f>
        <v>1.4412654958558006E-7</v>
      </c>
      <c r="AX84" s="21">
        <f t="shared" si="60"/>
        <v>2.5036646098772879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5.6843418860808015E-14</v>
      </c>
      <c r="BE84" s="13">
        <f>BD84*VLOOKUP('Données projet'!$B$11,Paramètres!$A$1:$I$89,3,0)*VLOOKUP('Données projet'!$B$11,Paramètres!$A$1:$I$89,5,0)</f>
        <v>3.813056537183002E-14</v>
      </c>
      <c r="BF84" s="13">
        <f t="shared" si="91"/>
        <v>6.4086286045526829E-13</v>
      </c>
      <c r="BG84" s="20">
        <f t="shared" si="61"/>
        <v>1.1825802166488628E-12</v>
      </c>
      <c r="BH84" s="59">
        <f t="shared" si="62"/>
        <v>293.33333333333451</v>
      </c>
      <c r="BI84" s="59">
        <f ca="1">AVERAGE(OFFSET($BH$3,0,0,'Données projet'!$E$11+1,1))-AVERAGE(OFFSET($H$3,0,0,'Données projet'!$E$11+1,1))</f>
        <v>181.32837315090507</v>
      </c>
      <c r="BJ84" s="59">
        <f t="shared" si="92"/>
        <v>175.03267817980338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1.9946613580709411</v>
      </c>
      <c r="BQ84" s="21">
        <f>EXP(-LN(2)/25)*BQ83+(1-EXP(-LN(2)/25))/(LN(2)/25)*Calculateur!BL84*Calculateur!BN84*VLOOKUP('Données projet'!$B$11,Paramètres!$A$1:$I$89,3,0)*0.475*44/12</f>
        <v>1.6540964224981216</v>
      </c>
      <c r="BR84" s="21">
        <f>EXP(-LN(2)/2)*BR83+(1-EXP(-LN(2)/2))/(LN(2)/2)*BL84*BO84*VLOOKUP('Données projet'!$B$11,Paramètres!$A$1:$I$89,3,0)*0.475*44/12</f>
        <v>2.2356862945030648E-8</v>
      </c>
      <c r="BS84" s="22">
        <f t="shared" si="63"/>
        <v>3.6487578029259256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17.5</v>
      </c>
      <c r="BY84" s="12">
        <f>IF('Données projet'!$A$114&gt;35,BY83+BX84-CG83,IF(A84&lt;'Données projet'!$A$114,$BV$205^A84,IF(A84='Données projet'!$A$114,'Données projet'!$B$114,BY83+BX84-CG83)))</f>
        <v>430.99999999999989</v>
      </c>
      <c r="BZ84" s="13">
        <f>BY84*VLOOKUP('Données projet'!$B$12,Paramètres!$A$1:$I$89,3,0)*VLOOKUP('Données projet'!$B$12,Paramètres!$A$1:$I$89,5,0)</f>
        <v>201.70799999999994</v>
      </c>
      <c r="CA84" s="13">
        <f t="shared" si="93"/>
        <v>50.119348451854243</v>
      </c>
      <c r="CB84" s="20">
        <f t="shared" si="64"/>
        <v>438.59929855364607</v>
      </c>
      <c r="CC84" s="59">
        <f t="shared" si="65"/>
        <v>731.93263188697938</v>
      </c>
      <c r="CD84" s="59">
        <f ca="1">AVERAGE(OFFSET($CC$3,0,0,'Données projet'!$E$12+1,1))-AVERAGE(OFFSET($H$3,0,0,'Données projet'!$E$12+1,1))</f>
        <v>226.0452828290525</v>
      </c>
      <c r="CE84" s="59">
        <f t="shared" si="94"/>
        <v>179.89696397462069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3.305664521822012</v>
      </c>
      <c r="CL84" s="21">
        <f>EXP(-LN(2)/25)*CL83+(1-EXP(-LN(2)/25))/(LN(2)/25)*Calculateur!CG84*Calculateur!CI84*VLOOKUP('Données projet'!$B$12,Paramètres!$A$1:$I$89,3,0)*0.475*44/12</f>
        <v>2.711596694735527</v>
      </c>
      <c r="CM84" s="21">
        <f>EXP(-LN(2)/2)*CM83+(1-EXP(-LN(2)/2))/(LN(2)/2)*CG84*CJ84*VLOOKUP('Données projet'!$B$12,Paramètres!$A$1:$I$89,3,0)*0.475*44/12</f>
        <v>2.327165350140281E-7</v>
      </c>
      <c r="CN84" s="22">
        <f t="shared" si="66"/>
        <v>6.0172614492740744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>
        <f>CT84*VLOOKUP('Données projet'!$B$13,Paramètres!$A$1:$I$89,3,0)*VLOOKUP('Données projet'!$B$13,Paramètres!$A$1:$I$89,5,0)</f>
        <v>0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482.74318690313885</v>
      </c>
      <c r="CZ84" s="59">
        <f t="shared" si="96"/>
        <v>205.57161411620217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4.1806598000265653</v>
      </c>
      <c r="DG84" s="21">
        <f>EXP(-LN(2)/25)*DG83+(1-EXP(-LN(2)/25))/(LN(2)/25)*Calculateur!DB84*Calculateur!DD84*VLOOKUP('Données projet'!$B$13,Paramètres!$A$1:$I$89,3,0)*0.475*44/12</f>
        <v>2.2923265481258763</v>
      </c>
      <c r="DH84" s="21">
        <f>EXP(-LN(2)/2)*DH83+(1-EXP(-LN(2)/2))/(LN(2)/2)*DB84*DE84*VLOOKUP('Données projet'!$B$13,Paramètres!$A$1:$I$89,3,0)*0.475*44/12</f>
        <v>9.5441462934165436E-8</v>
      </c>
      <c r="DI84" s="22">
        <f t="shared" si="69"/>
        <v>6.4729864435939044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23.066666666666666</v>
      </c>
      <c r="DO84" s="12">
        <f>IF('Données projet'!$A$166&gt;35,DO83+DN84-DW83,IF(A84&lt;'Données projet'!$A$166,$DL$205^A84,IF(A84='Données projet'!$A$166,'Données projet'!$B$166,DO83+DN84-DW83)))</f>
        <v>527.06666666666615</v>
      </c>
      <c r="DP84" s="17">
        <f>DO84*VLOOKUP('Données projet'!$B$14,Paramètres!$A$1:$I$89,3,0)*VLOOKUP('Données projet'!$B$14,Paramètres!$A$1:$I$89,5,0)</f>
        <v>253.51906666666642</v>
      </c>
      <c r="DQ84" s="13">
        <f t="shared" si="97"/>
        <v>61.338881883111803</v>
      </c>
      <c r="DR84" s="20">
        <f t="shared" si="70"/>
        <v>548.37759372419703</v>
      </c>
      <c r="DS84" s="59">
        <f t="shared" si="71"/>
        <v>841.7109270575304</v>
      </c>
      <c r="DT84" s="59">
        <f ca="1">AVERAGE(OFFSET($DS$3,0,0,'Données projet'!$E$14+1,1))-AVERAGE(OFFSET($H$3,0,0,'Données projet'!$E$14+1,1))</f>
        <v>247.11965163963526</v>
      </c>
      <c r="DU84" s="59">
        <f t="shared" si="98"/>
        <v>61.686311966192704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0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5.8</v>
      </c>
      <c r="N85" s="13">
        <f>IF('Données projet'!$A$36&gt;35,N84+M85-V84,IF(A85&lt;'Données projet'!$A$36,$K$205^A85,IF(A85='Données projet'!$A$36,'Données projet'!$B$36,N84+M85-V84)))</f>
        <v>251.59999999999991</v>
      </c>
      <c r="O85" s="13">
        <f>N85*VLOOKUP('Données projet'!$B$9,Paramètres!$A$1:$I$89,3,0)*VLOOKUP('Données projet'!$B$9,Paramètres!$A$1:$I$89,5,0)</f>
        <v>227.64767999999992</v>
      </c>
      <c r="P85" s="13">
        <f t="shared" si="87"/>
        <v>55.773751036838313</v>
      </c>
      <c r="Q85" s="20">
        <f t="shared" si="54"/>
        <v>493.62565905582659</v>
      </c>
      <c r="R85" s="59">
        <f t="shared" si="55"/>
        <v>786.9589923891599</v>
      </c>
      <c r="S85" s="59">
        <f ca="1">AVERAGE(OFFSET($R$3,0,0,'Données projet'!$E$9+1,1))-AVERAGE(OFFSET($H$3,0,0,'Données projet'!$E$9+1,1))</f>
        <v>265.50419397354284</v>
      </c>
      <c r="T85" s="59">
        <f t="shared" si="88"/>
        <v>156.67965022779907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1.1900853284014907</v>
      </c>
      <c r="AA85" s="21">
        <f>EXP(-LN(2)/25)*AA84+(1-EXP(-LN(2)/25))/(LN(2)/25)*Calculateur!V85*Calculateur!X85*VLOOKUP('Données projet'!$B$9,Paramètres!$A$1:$I$89,3,0)*0.475*44/12</f>
        <v>0.99225405298435387</v>
      </c>
      <c r="AB85" s="21">
        <f>EXP(-LN(2)/2)*AB84+(1-EXP(-LN(2)/2))/(LN(2)/2)*V85*Y85*VLOOKUP('Données projet'!$B$9,Paramètres!$A$1:$I$89,3,0)*0.475*44/12</f>
        <v>9.093762942364621E-8</v>
      </c>
      <c r="AC85" s="22">
        <f t="shared" si="57"/>
        <v>2.1823394723234739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5.8</v>
      </c>
      <c r="AI85" s="13">
        <f>IF('Données projet'!$A$62&gt;35,AI84+AH85-AQ84,IF(A85&lt;'Données projet'!$A$62,$AF$205^A85,IF(A85='Données projet'!$A$62,'Données projet'!$B$62,AI84+AH85-AQ84)))</f>
        <v>251.59999999999991</v>
      </c>
      <c r="AJ85" s="13">
        <f>AI85*VLOOKUP('Données projet'!$B$10,Paramètres!$A$1:$I$89,3,0)*VLOOKUP('Données projet'!$B$10,Paramètres!$A$1:$I$89,5,0)</f>
        <v>255.12239999999991</v>
      </c>
      <c r="AK85" s="13">
        <f t="shared" si="89"/>
        <v>61.681527554261443</v>
      </c>
      <c r="AL85" s="20">
        <f t="shared" si="58"/>
        <v>551.7668404903385</v>
      </c>
      <c r="AM85" s="59">
        <f t="shared" si="59"/>
        <v>845.10017382367187</v>
      </c>
      <c r="AN85" s="59">
        <f ca="1">AVERAGE(OFFSET($AM$3,0,0,'Données projet'!$E$10+1,1))-AVERAGE(OFFSET($H$3,0,0,'Données projet'!$E$10+1,1))</f>
        <v>296.43642006376018</v>
      </c>
      <c r="AO85" s="59">
        <f t="shared" si="90"/>
        <v>179.56041631665812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1.3337163163120154</v>
      </c>
      <c r="AV85" s="21">
        <f>EXP(-LN(2)/25)*AV84+(1-EXP(-LN(2)/25))/(LN(2)/25)*Calculateur!AQ85*Calculateur!AS85*VLOOKUP('Données projet'!$B$10,Paramètres!$A$1:$I$89,3,0)*0.475*44/12</f>
        <v>1.1120088524824658</v>
      </c>
      <c r="AW85" s="21">
        <f>EXP(-LN(2)/2)*AW84+(1-EXP(-LN(2)/2))/(LN(2)/2)*AQ85*AT85*VLOOKUP('Données projet'!$B$10,Paramètres!$A$1:$I$89,3,0)*0.475*44/12</f>
        <v>1.0191286056098286E-7</v>
      </c>
      <c r="AX85" s="21">
        <f t="shared" si="60"/>
        <v>2.4457252707073414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5.6843418860808015E-14</v>
      </c>
      <c r="BE85" s="13">
        <f>BD85*VLOOKUP('Données projet'!$B$11,Paramètres!$A$1:$I$89,3,0)*VLOOKUP('Données projet'!$B$11,Paramètres!$A$1:$I$89,5,0)</f>
        <v>3.813056537183002E-14</v>
      </c>
      <c r="BF85" s="13">
        <f t="shared" si="91"/>
        <v>6.4086286045526829E-13</v>
      </c>
      <c r="BG85" s="20">
        <f t="shared" si="61"/>
        <v>1.1825802166488628E-12</v>
      </c>
      <c r="BH85" s="59">
        <f t="shared" si="62"/>
        <v>293.33333333333451</v>
      </c>
      <c r="BI85" s="59">
        <f ca="1">AVERAGE(OFFSET($BH$3,0,0,'Données projet'!$E$11+1,1))-AVERAGE(OFFSET($H$3,0,0,'Données projet'!$E$11+1,1))</f>
        <v>181.32837315090507</v>
      </c>
      <c r="BJ85" s="59">
        <f t="shared" si="92"/>
        <v>175.03267817980338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1.9555472654624668</v>
      </c>
      <c r="BQ85" s="21">
        <f>EXP(-LN(2)/25)*BQ84+(1-EXP(-LN(2)/25))/(LN(2)/25)*Calculateur!BL85*Calculateur!BN85*VLOOKUP('Données projet'!$B$11,Paramètres!$A$1:$I$89,3,0)*0.475*44/12</f>
        <v>1.6088650688397601</v>
      </c>
      <c r="BR85" s="21">
        <f>EXP(-LN(2)/2)*BR84+(1-EXP(-LN(2)/2))/(LN(2)/2)*BL85*BO85*VLOOKUP('Données projet'!$B$11,Paramètres!$A$1:$I$89,3,0)*0.475*44/12</f>
        <v>1.5808689394489418E-8</v>
      </c>
      <c r="BS85" s="22">
        <f t="shared" si="63"/>
        <v>3.5644123501109162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17.5</v>
      </c>
      <c r="BY85" s="12">
        <f>IF('Données projet'!$A$114&gt;35,BY84+BX85-CG84,IF(A85&lt;'Données projet'!$A$114,$BV$205^A85,IF(A85='Données projet'!$A$114,'Données projet'!$B$114,BY84+BX85-CG84)))</f>
        <v>448.49999999999989</v>
      </c>
      <c r="BZ85" s="13">
        <f>BY85*VLOOKUP('Données projet'!$B$12,Paramètres!$A$1:$I$89,3,0)*VLOOKUP('Données projet'!$B$12,Paramètres!$A$1:$I$89,5,0)</f>
        <v>209.89799999999994</v>
      </c>
      <c r="CA85" s="13">
        <f t="shared" si="93"/>
        <v>51.913295501810218</v>
      </c>
      <c r="CB85" s="20">
        <f t="shared" si="64"/>
        <v>455.98800633231934</v>
      </c>
      <c r="CC85" s="59">
        <f t="shared" si="65"/>
        <v>749.32133966565266</v>
      </c>
      <c r="CD85" s="59">
        <f ca="1">AVERAGE(OFFSET($CC$3,0,0,'Données projet'!$E$12+1,1))-AVERAGE(OFFSET($H$3,0,0,'Données projet'!$E$12+1,1))</f>
        <v>226.0452828290525</v>
      </c>
      <c r="CE85" s="59">
        <f t="shared" si="94"/>
        <v>179.89696397462069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3.240842456805352</v>
      </c>
      <c r="CL85" s="21">
        <f>EXP(-LN(2)/25)*CL84+(1-EXP(-LN(2)/25))/(LN(2)/25)*Calculateur!CG85*Calculateur!CI85*VLOOKUP('Données projet'!$B$12,Paramètres!$A$1:$I$89,3,0)*0.475*44/12</f>
        <v>2.6374479405213114</v>
      </c>
      <c r="CM85" s="21">
        <f>EXP(-LN(2)/2)*CM84+(1-EXP(-LN(2)/2))/(LN(2)/2)*CG85*CJ85*VLOOKUP('Données projet'!$B$12,Paramètres!$A$1:$I$89,3,0)*0.475*44/12</f>
        <v>1.6455544000265591E-7</v>
      </c>
      <c r="CN85" s="22">
        <f t="shared" si="66"/>
        <v>5.8782905618821042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>
        <f>CT85*VLOOKUP('Données projet'!$B$13,Paramètres!$A$1:$I$89,3,0)*VLOOKUP('Données projet'!$B$13,Paramètres!$A$1:$I$89,5,0)</f>
        <v>0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482.74318690313885</v>
      </c>
      <c r="CZ85" s="59">
        <f t="shared" si="96"/>
        <v>205.57161411620217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4.0986796112987358</v>
      </c>
      <c r="DG85" s="21">
        <f>EXP(-LN(2)/25)*DG84+(1-EXP(-LN(2)/25))/(LN(2)/25)*Calculateur!DB85*Calculateur!DD85*VLOOKUP('Données projet'!$B$13,Paramètres!$A$1:$I$89,3,0)*0.475*44/12</f>
        <v>2.2296427581191605</v>
      </c>
      <c r="DH85" s="21">
        <f>EXP(-LN(2)/2)*DH84+(1-EXP(-LN(2)/2))/(LN(2)/2)*DB85*DE85*VLOOKUP('Données projet'!$B$13,Paramètres!$A$1:$I$89,3,0)*0.475*44/12</f>
        <v>6.7487305647112904E-8</v>
      </c>
      <c r="DI85" s="22">
        <f t="shared" si="69"/>
        <v>6.3283224369052018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23.066666666666666</v>
      </c>
      <c r="DO85" s="12">
        <f>IF('Données projet'!$A$166&gt;35,DO84+DN85-DW84,IF(A85&lt;'Données projet'!$A$166,$DL$205^A85,IF(A85='Données projet'!$A$166,'Données projet'!$B$166,DO84+DN85-DW84)))</f>
        <v>550.13333333333287</v>
      </c>
      <c r="DP85" s="17">
        <f>DO85*VLOOKUP('Données projet'!$B$14,Paramètres!$A$1:$I$89,3,0)*VLOOKUP('Données projet'!$B$14,Paramètres!$A$1:$I$89,5,0)</f>
        <v>264.61413333333309</v>
      </c>
      <c r="DQ85" s="13">
        <f t="shared" si="97"/>
        <v>63.704915505876592</v>
      </c>
      <c r="DR85" s="20">
        <f t="shared" si="70"/>
        <v>571.82234339495687</v>
      </c>
      <c r="DS85" s="59">
        <f t="shared" si="71"/>
        <v>865.15567672829025</v>
      </c>
      <c r="DT85" s="59">
        <f ca="1">AVERAGE(OFFSET($DS$3,0,0,'Données projet'!$E$14+1,1))-AVERAGE(OFFSET($H$3,0,0,'Données projet'!$E$14+1,1))</f>
        <v>247.11965163963526</v>
      </c>
      <c r="DU85" s="59">
        <f t="shared" si="98"/>
        <v>61.686311966192704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0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5.8</v>
      </c>
      <c r="N86" s="13">
        <f>IF('Données projet'!$A$36&gt;35,N85+M86-V85,IF(A86&lt;'Données projet'!$A$36,$K$205^A86,IF(A86='Données projet'!$A$36,'Données projet'!$B$36,N85+M86-V85)))</f>
        <v>257.39999999999992</v>
      </c>
      <c r="O86" s="13">
        <f>N86*VLOOKUP('Données projet'!$B$9,Paramètres!$A$1:$I$89,3,0)*VLOOKUP('Données projet'!$B$9,Paramètres!$A$1:$I$89,5,0)</f>
        <v>232.89551999999992</v>
      </c>
      <c r="P86" s="13">
        <f t="shared" si="87"/>
        <v>56.908304063818662</v>
      </c>
      <c r="Q86" s="20">
        <f t="shared" si="54"/>
        <v>504.74166024448397</v>
      </c>
      <c r="R86" s="59">
        <f t="shared" si="55"/>
        <v>798.07499357781728</v>
      </c>
      <c r="S86" s="59">
        <f ca="1">AVERAGE(OFFSET($R$3,0,0,'Données projet'!$E$9+1,1))-AVERAGE(OFFSET($H$3,0,0,'Données projet'!$E$9+1,1))</f>
        <v>265.50419397354284</v>
      </c>
      <c r="T86" s="59">
        <f t="shared" si="88"/>
        <v>156.67965022779907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1.1667484809919131</v>
      </c>
      <c r="AA86" s="21">
        <f>EXP(-LN(2)/25)*AA85+(1-EXP(-LN(2)/25))/(LN(2)/25)*Calculateur!V86*Calculateur!X86*VLOOKUP('Données projet'!$B$9,Paramètres!$A$1:$I$89,3,0)*0.475*44/12</f>
        <v>0.96512081372512393</v>
      </c>
      <c r="AB86" s="21">
        <f>EXP(-LN(2)/2)*AB85+(1-EXP(-LN(2)/2))/(LN(2)/2)*V86*Y86*VLOOKUP('Données projet'!$B$9,Paramètres!$A$1:$I$89,3,0)*0.475*44/12</f>
        <v>6.4302614430489546E-8</v>
      </c>
      <c r="AC86" s="22">
        <f t="shared" si="57"/>
        <v>2.1318693590196514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5.8</v>
      </c>
      <c r="AI86" s="13">
        <f>IF('Données projet'!$A$62&gt;35,AI85+AH86-AQ85,IF(A86&lt;'Données projet'!$A$62,$AF$205^A86,IF(A86='Données projet'!$A$62,'Données projet'!$B$62,AI85+AH86-AQ85)))</f>
        <v>257.39999999999992</v>
      </c>
      <c r="AJ86" s="13">
        <f>AI86*VLOOKUP('Données projet'!$B$10,Paramètres!$A$1:$I$89,3,0)*VLOOKUP('Données projet'!$B$10,Paramètres!$A$1:$I$89,5,0)</f>
        <v>261.00359999999995</v>
      </c>
      <c r="AK86" s="13">
        <f t="shared" si="89"/>
        <v>62.936256929541173</v>
      </c>
      <c r="AL86" s="20">
        <f t="shared" si="58"/>
        <v>564.19525081895074</v>
      </c>
      <c r="AM86" s="59">
        <f t="shared" si="59"/>
        <v>857.52858415228411</v>
      </c>
      <c r="AN86" s="59">
        <f ca="1">AVERAGE(OFFSET($AM$3,0,0,'Données projet'!$E$10+1,1))-AVERAGE(OFFSET($H$3,0,0,'Données projet'!$E$10+1,1))</f>
        <v>296.43642006376018</v>
      </c>
      <c r="AO86" s="59">
        <f t="shared" si="90"/>
        <v>179.56041631665812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1.3075629528357646</v>
      </c>
      <c r="AV86" s="21">
        <f>EXP(-LN(2)/25)*AV85+(1-EXP(-LN(2)/25))/(LN(2)/25)*Calculateur!AQ86*Calculateur!AS86*VLOOKUP('Données projet'!$B$10,Paramètres!$A$1:$I$89,3,0)*0.475*44/12</f>
        <v>1.0816009119333287</v>
      </c>
      <c r="AW86" s="21">
        <f>EXP(-LN(2)/2)*AW85+(1-EXP(-LN(2)/2))/(LN(2)/2)*AQ86*AT86*VLOOKUP('Données projet'!$B$10,Paramètres!$A$1:$I$89,3,0)*0.475*44/12</f>
        <v>7.2063274792790032E-8</v>
      </c>
      <c r="AX86" s="21">
        <f t="shared" si="60"/>
        <v>2.3891639368323685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5.6843418860808015E-14</v>
      </c>
      <c r="BE86" s="13">
        <f>BD86*VLOOKUP('Données projet'!$B$11,Paramètres!$A$1:$I$89,3,0)*VLOOKUP('Données projet'!$B$11,Paramètres!$A$1:$I$89,5,0)</f>
        <v>3.813056537183002E-14</v>
      </c>
      <c r="BF86" s="13">
        <f t="shared" si="91"/>
        <v>6.4086286045526829E-13</v>
      </c>
      <c r="BG86" s="20">
        <f t="shared" si="61"/>
        <v>1.1825802166488628E-12</v>
      </c>
      <c r="BH86" s="59">
        <f t="shared" si="62"/>
        <v>293.33333333333451</v>
      </c>
      <c r="BI86" s="59">
        <f ca="1">AVERAGE(OFFSET($BH$3,0,0,'Données projet'!$E$11+1,1))-AVERAGE(OFFSET($H$3,0,0,'Données projet'!$E$11+1,1))</f>
        <v>181.32837315090507</v>
      </c>
      <c r="BJ86" s="59">
        <f t="shared" si="92"/>
        <v>175.03267817980338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1.9172001763528039</v>
      </c>
      <c r="BQ86" s="21">
        <f>EXP(-LN(2)/25)*BQ85+(1-EXP(-LN(2)/25))/(LN(2)/25)*Calculateur!BL86*Calculateur!BN86*VLOOKUP('Données projet'!$B$11,Paramètres!$A$1:$I$89,3,0)*0.475*44/12</f>
        <v>1.5648705689258</v>
      </c>
      <c r="BR86" s="21">
        <f>EXP(-LN(2)/2)*BR85+(1-EXP(-LN(2)/2))/(LN(2)/2)*BL86*BO86*VLOOKUP('Données projet'!$B$11,Paramètres!$A$1:$I$89,3,0)*0.475*44/12</f>
        <v>1.1178431472515324E-8</v>
      </c>
      <c r="BS86" s="22">
        <f t="shared" si="63"/>
        <v>3.4820707564570355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17.5</v>
      </c>
      <c r="BY86" s="12">
        <f>IF('Données projet'!$A$114&gt;35,BY85+BX86-CG85,IF(A86&lt;'Données projet'!$A$114,$BV$205^A86,IF(A86='Données projet'!$A$114,'Données projet'!$B$114,BY85+BX86-CG85)))</f>
        <v>465.99999999999989</v>
      </c>
      <c r="BZ86" s="13">
        <f>BY86*VLOOKUP('Données projet'!$B$12,Paramètres!$A$1:$I$89,3,0)*VLOOKUP('Données projet'!$B$12,Paramètres!$A$1:$I$89,5,0)</f>
        <v>218.08799999999997</v>
      </c>
      <c r="CA86" s="13">
        <f t="shared" si="93"/>
        <v>53.699111087780629</v>
      </c>
      <c r="CB86" s="20">
        <f t="shared" si="64"/>
        <v>473.36255181121783</v>
      </c>
      <c r="CC86" s="59">
        <f t="shared" si="65"/>
        <v>766.69588514455108</v>
      </c>
      <c r="CD86" s="59">
        <f ca="1">AVERAGE(OFFSET($CC$3,0,0,'Données projet'!$E$12+1,1))-AVERAGE(OFFSET($H$3,0,0,'Données projet'!$E$12+1,1))</f>
        <v>226.0452828290525</v>
      </c>
      <c r="CE86" s="59">
        <f t="shared" si="94"/>
        <v>179.89696397462069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3.177291512946113</v>
      </c>
      <c r="CL86" s="21">
        <f>EXP(-LN(2)/25)*CL85+(1-EXP(-LN(2)/25))/(LN(2)/25)*Calculateur!CG86*Calculateur!CI86*VLOOKUP('Données projet'!$B$12,Paramètres!$A$1:$I$89,3,0)*0.475*44/12</f>
        <v>2.5653267878903967</v>
      </c>
      <c r="CM86" s="21">
        <f>EXP(-LN(2)/2)*CM85+(1-EXP(-LN(2)/2))/(LN(2)/2)*CG86*CJ86*VLOOKUP('Données projet'!$B$12,Paramètres!$A$1:$I$89,3,0)*0.475*44/12</f>
        <v>1.1635826750701407E-7</v>
      </c>
      <c r="CN86" s="22">
        <f t="shared" si="66"/>
        <v>5.7426184171947776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>
        <f>CT86*VLOOKUP('Données projet'!$B$13,Paramètres!$A$1:$I$89,3,0)*VLOOKUP('Données projet'!$B$13,Paramètres!$A$1:$I$89,5,0)</f>
        <v>0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482.74318690313885</v>
      </c>
      <c r="CZ86" s="59">
        <f t="shared" si="96"/>
        <v>205.57161411620217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4.0183070040688813</v>
      </c>
      <c r="DG86" s="21">
        <f>EXP(-LN(2)/25)*DG85+(1-EXP(-LN(2)/25))/(LN(2)/25)*Calculateur!DB86*Calculateur!DD86*VLOOKUP('Données projet'!$B$13,Paramètres!$A$1:$I$89,3,0)*0.475*44/12</f>
        <v>2.1686730596465753</v>
      </c>
      <c r="DH86" s="21">
        <f>EXP(-LN(2)/2)*DH85+(1-EXP(-LN(2)/2))/(LN(2)/2)*DB86*DE86*VLOOKUP('Données projet'!$B$13,Paramètres!$A$1:$I$89,3,0)*0.475*44/12</f>
        <v>4.7720731467082718E-8</v>
      </c>
      <c r="DI86" s="22">
        <f t="shared" si="69"/>
        <v>6.1869801114361875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23.066666666666666</v>
      </c>
      <c r="DO86" s="12">
        <f>IF('Données projet'!$A$166&gt;35,DO85+DN86-DW85,IF(A86&lt;'Données projet'!$A$166,$DL$205^A86,IF(A86='Données projet'!$A$166,'Données projet'!$B$166,DO85+DN86-DW85)))</f>
        <v>573.19999999999959</v>
      </c>
      <c r="DP86" s="17">
        <f>DO86*VLOOKUP('Données projet'!$B$14,Paramètres!$A$1:$I$89,3,0)*VLOOKUP('Données projet'!$B$14,Paramètres!$A$1:$I$89,5,0)</f>
        <v>275.70919999999978</v>
      </c>
      <c r="DQ86" s="13">
        <f t="shared" si="97"/>
        <v>66.059426122041586</v>
      </c>
      <c r="DR86" s="20">
        <f t="shared" si="70"/>
        <v>595.24702382922203</v>
      </c>
      <c r="DS86" s="59">
        <f t="shared" si="71"/>
        <v>888.5803571625554</v>
      </c>
      <c r="DT86" s="59">
        <f ca="1">AVERAGE(OFFSET($DS$3,0,0,'Données projet'!$E$14+1,1))-AVERAGE(OFFSET($H$3,0,0,'Données projet'!$E$14+1,1))</f>
        <v>247.11965163963526</v>
      </c>
      <c r="DU86" s="59">
        <f t="shared" si="98"/>
        <v>61.686311966192704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0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5.8</v>
      </c>
      <c r="N87" s="13">
        <f>IF('Données projet'!$A$36&gt;35,N86+M87-V86,IF(A87&lt;'Données projet'!$A$36,$K$205^A87,IF(A87='Données projet'!$A$36,'Données projet'!$B$36,N86+M87-V86)))</f>
        <v>263.19999999999993</v>
      </c>
      <c r="O87" s="13">
        <f>N87*VLOOKUP('Données projet'!$B$9,Paramètres!$A$1:$I$89,3,0)*VLOOKUP('Données projet'!$B$9,Paramètres!$A$1:$I$89,5,0)</f>
        <v>238.14335999999992</v>
      </c>
      <c r="P87" s="13">
        <f t="shared" si="87"/>
        <v>58.039884968630489</v>
      </c>
      <c r="Q87" s="20">
        <f t="shared" si="54"/>
        <v>515.85248498703129</v>
      </c>
      <c r="R87" s="59">
        <f t="shared" si="55"/>
        <v>809.18581832036466</v>
      </c>
      <c r="S87" s="59">
        <f ca="1">AVERAGE(OFFSET($R$3,0,0,'Données projet'!$E$9+1,1))-AVERAGE(OFFSET($H$3,0,0,'Données projet'!$E$9+1,1))</f>
        <v>265.50419397354284</v>
      </c>
      <c r="T87" s="59">
        <f t="shared" si="88"/>
        <v>156.67965022779907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1.1438692549259659</v>
      </c>
      <c r="AA87" s="21">
        <f>EXP(-LN(2)/25)*AA86+(1-EXP(-LN(2)/25))/(LN(2)/25)*Calculateur!V87*Calculateur!X87*VLOOKUP('Données projet'!$B$9,Paramètres!$A$1:$I$89,3,0)*0.475*44/12</f>
        <v>0.93872953432031259</v>
      </c>
      <c r="AB87" s="21">
        <f>EXP(-LN(2)/2)*AB86+(1-EXP(-LN(2)/2))/(LN(2)/2)*V87*Y87*VLOOKUP('Données projet'!$B$9,Paramètres!$A$1:$I$89,3,0)*0.475*44/12</f>
        <v>4.5468814711823105E-8</v>
      </c>
      <c r="AC87" s="22">
        <f t="shared" si="57"/>
        <v>2.082598834715093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5.8</v>
      </c>
      <c r="AI87" s="13">
        <f>IF('Données projet'!$A$62&gt;35,AI86+AH87-AQ86,IF(A87&lt;'Données projet'!$A$62,$AF$205^A87,IF(A87='Données projet'!$A$62,'Données projet'!$B$62,AI86+AH87-AQ86)))</f>
        <v>263.19999999999993</v>
      </c>
      <c r="AJ87" s="13">
        <f>AI87*VLOOKUP('Données projet'!$B$10,Paramètres!$A$1:$I$89,3,0)*VLOOKUP('Données projet'!$B$10,Paramètres!$A$1:$I$89,5,0)</f>
        <v>266.88479999999993</v>
      </c>
      <c r="AK87" s="13">
        <f t="shared" si="89"/>
        <v>64.18769936370569</v>
      </c>
      <c r="AL87" s="20">
        <f t="shared" si="58"/>
        <v>576.61793639178723</v>
      </c>
      <c r="AM87" s="59">
        <f t="shared" si="59"/>
        <v>869.95126972512048</v>
      </c>
      <c r="AN87" s="59">
        <f ca="1">AVERAGE(OFFSET($AM$3,0,0,'Données projet'!$E$10+1,1))-AVERAGE(OFFSET($H$3,0,0,'Données projet'!$E$10+1,1))</f>
        <v>296.43642006376018</v>
      </c>
      <c r="AO87" s="59">
        <f t="shared" si="90"/>
        <v>179.56041631665812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1.2819224408653065</v>
      </c>
      <c r="AV87" s="21">
        <f>EXP(-LN(2)/25)*AV86+(1-EXP(-LN(2)/25))/(LN(2)/25)*Calculateur!AQ87*Calculateur!AS87*VLOOKUP('Données projet'!$B$10,Paramètres!$A$1:$I$89,3,0)*0.475*44/12</f>
        <v>1.052024478117592</v>
      </c>
      <c r="AW87" s="21">
        <f>EXP(-LN(2)/2)*AW86+(1-EXP(-LN(2)/2))/(LN(2)/2)*AQ87*AT87*VLOOKUP('Données projet'!$B$10,Paramètres!$A$1:$I$89,3,0)*0.475*44/12</f>
        <v>5.0956430280491428E-8</v>
      </c>
      <c r="AX87" s="21">
        <f t="shared" si="60"/>
        <v>2.3339469699393289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5.6843418860808015E-14</v>
      </c>
      <c r="BE87" s="13">
        <f>BD87*VLOOKUP('Données projet'!$B$11,Paramètres!$A$1:$I$89,3,0)*VLOOKUP('Données projet'!$B$11,Paramètres!$A$1:$I$89,5,0)</f>
        <v>3.813056537183002E-14</v>
      </c>
      <c r="BF87" s="13">
        <f t="shared" si="91"/>
        <v>6.4086286045526829E-13</v>
      </c>
      <c r="BG87" s="20">
        <f t="shared" si="61"/>
        <v>1.1825802166488628E-12</v>
      </c>
      <c r="BH87" s="59">
        <f t="shared" si="62"/>
        <v>293.33333333333451</v>
      </c>
      <c r="BI87" s="59">
        <f ca="1">AVERAGE(OFFSET($BH$3,0,0,'Données projet'!$E$11+1,1))-AVERAGE(OFFSET($H$3,0,0,'Données projet'!$E$11+1,1))</f>
        <v>181.32837315090507</v>
      </c>
      <c r="BJ87" s="59">
        <f t="shared" si="92"/>
        <v>175.03267817980338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1.8796050502711668</v>
      </c>
      <c r="BQ87" s="21">
        <f>EXP(-LN(2)/25)*BQ86+(1-EXP(-LN(2)/25))/(LN(2)/25)*Calculateur!BL87*Calculateur!BN87*VLOOKUP('Données projet'!$B$11,Paramètres!$A$1:$I$89,3,0)*0.475*44/12</f>
        <v>1.5220791009255574</v>
      </c>
      <c r="BR87" s="21">
        <f>EXP(-LN(2)/2)*BR86+(1-EXP(-LN(2)/2))/(LN(2)/2)*BL87*BO87*VLOOKUP('Données projet'!$B$11,Paramètres!$A$1:$I$89,3,0)*0.475*44/12</f>
        <v>7.9043446972447092E-9</v>
      </c>
      <c r="BS87" s="22">
        <f t="shared" si="63"/>
        <v>3.4016841591010687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17.5</v>
      </c>
      <c r="BY87" s="12">
        <f>IF('Données projet'!$A$114&gt;35,BY86+BX87-CG86,IF(A87&lt;'Données projet'!$A$114,$BV$205^A87,IF(A87='Données projet'!$A$114,'Données projet'!$B$114,BY86+BX87-CG86)))</f>
        <v>483.49999999999989</v>
      </c>
      <c r="BZ87" s="13">
        <f>BY87*VLOOKUP('Données projet'!$B$12,Paramètres!$A$1:$I$89,3,0)*VLOOKUP('Données projet'!$B$12,Paramètres!$A$1:$I$89,5,0)</f>
        <v>226.27799999999993</v>
      </c>
      <c r="CA87" s="13">
        <f t="shared" si="93"/>
        <v>55.477135539319008</v>
      </c>
      <c r="CB87" s="20">
        <f t="shared" si="64"/>
        <v>490.72352773098049</v>
      </c>
      <c r="CC87" s="59">
        <f t="shared" si="65"/>
        <v>784.05686106431381</v>
      </c>
      <c r="CD87" s="59">
        <f ca="1">AVERAGE(OFFSET($CC$3,0,0,'Données projet'!$E$12+1,1))-AVERAGE(OFFSET($H$3,0,0,'Données projet'!$E$12+1,1))</f>
        <v>226.0452828290525</v>
      </c>
      <c r="CE87" s="59">
        <f t="shared" si="94"/>
        <v>179.89696397462069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3.1149867643337052</v>
      </c>
      <c r="CL87" s="21">
        <f>EXP(-LN(2)/25)*CL86+(1-EXP(-LN(2)/25))/(LN(2)/25)*Calculateur!CG87*Calculateur!CI87*VLOOKUP('Données projet'!$B$12,Paramètres!$A$1:$I$89,3,0)*0.475*44/12</f>
        <v>2.4951777919708613</v>
      </c>
      <c r="CM87" s="21">
        <f>EXP(-LN(2)/2)*CM86+(1-EXP(-LN(2)/2))/(LN(2)/2)*CG87*CJ87*VLOOKUP('Données projet'!$B$12,Paramètres!$A$1:$I$89,3,0)*0.475*44/12</f>
        <v>8.227772000132797E-8</v>
      </c>
      <c r="CN87" s="22">
        <f t="shared" si="66"/>
        <v>5.6101646385822859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>
        <f>CT87*VLOOKUP('Données projet'!$B$13,Paramètres!$A$1:$I$89,3,0)*VLOOKUP('Données projet'!$B$13,Paramètres!$A$1:$I$89,5,0)</f>
        <v>0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482.74318690313885</v>
      </c>
      <c r="CZ87" s="59">
        <f t="shared" si="96"/>
        <v>205.57161411620217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3.9395104546443545</v>
      </c>
      <c r="DG87" s="21">
        <f>EXP(-LN(2)/25)*DG86+(1-EXP(-LN(2)/25))/(LN(2)/25)*Calculateur!DB87*Calculateur!DD87*VLOOKUP('Données projet'!$B$13,Paramètres!$A$1:$I$89,3,0)*0.475*44/12</f>
        <v>2.1093705807849799</v>
      </c>
      <c r="DH87" s="21">
        <f>EXP(-LN(2)/2)*DH86+(1-EXP(-LN(2)/2))/(LN(2)/2)*DB87*DE87*VLOOKUP('Données projet'!$B$13,Paramètres!$A$1:$I$89,3,0)*0.475*44/12</f>
        <v>3.3743652823556452E-8</v>
      </c>
      <c r="DI87" s="22">
        <f t="shared" si="69"/>
        <v>6.0488810691729871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23.066666666666666</v>
      </c>
      <c r="DO87" s="12">
        <f>IF('Données projet'!$A$166&gt;35,DO86+DN87-DW86,IF(A87&lt;'Données projet'!$A$166,$DL$205^A87,IF(A87='Données projet'!$A$166,'Données projet'!$B$166,DO86+DN87-DW86)))</f>
        <v>596.26666666666631</v>
      </c>
      <c r="DP87" s="17">
        <f>DO87*VLOOKUP('Données projet'!$B$14,Paramètres!$A$1:$I$89,3,0)*VLOOKUP('Données projet'!$B$14,Paramètres!$A$1:$I$89,5,0)</f>
        <v>286.80426666666654</v>
      </c>
      <c r="DQ87" s="13">
        <f t="shared" si="97"/>
        <v>68.402930488770991</v>
      </c>
      <c r="DR87" s="20">
        <f t="shared" si="70"/>
        <v>618.65253504572036</v>
      </c>
      <c r="DS87" s="59">
        <f t="shared" si="71"/>
        <v>911.98586837905373</v>
      </c>
      <c r="DT87" s="59">
        <f ca="1">AVERAGE(OFFSET($DS$3,0,0,'Données projet'!$E$14+1,1))-AVERAGE(OFFSET($H$3,0,0,'Données projet'!$E$14+1,1))</f>
        <v>247.11965163963526</v>
      </c>
      <c r="DU87" s="59">
        <f t="shared" si="98"/>
        <v>61.686311966192704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0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269</v>
      </c>
      <c r="L88" s="12">
        <f>VLOOKUP(A88,'Données projet'!$A$35:$I$55,9,0)</f>
        <v>5.8</v>
      </c>
      <c r="M88" s="12">
        <f t="array" ref="M88">INDEX(L:L,MIN(IF(ISNUMBER(L88:L284),ROW(L88:L284),"")))</f>
        <v>5.8</v>
      </c>
      <c r="N88" s="13">
        <f>IF('Données projet'!$A$36&gt;35,N87+M88-V87,IF(A88&lt;'Données projet'!$A$36,$K$205^A88,IF(A88='Données projet'!$A$36,'Données projet'!$B$36,N87+M88-V87)))</f>
        <v>268.99999999999994</v>
      </c>
      <c r="O88" s="13">
        <f>N88*VLOOKUP('Données projet'!$B$9,Paramètres!$A$1:$I$89,3,0)*VLOOKUP('Données projet'!$B$9,Paramètres!$A$1:$I$89,5,0)</f>
        <v>243.39119999999994</v>
      </c>
      <c r="P88" s="13">
        <f t="shared" si="87"/>
        <v>59.168566788241527</v>
      </c>
      <c r="Q88" s="20">
        <f t="shared" si="54"/>
        <v>526.95826048952051</v>
      </c>
      <c r="R88" s="59">
        <f t="shared" si="55"/>
        <v>820.29159382285388</v>
      </c>
      <c r="S88" s="59">
        <f ca="1">AVERAGE(OFFSET($R$3,0,0,'Données projet'!$E$9+1,1))-AVERAGE(OFFSET($H$3,0,0,'Données projet'!$E$9+1,1))</f>
        <v>265.50419397354284</v>
      </c>
      <c r="T88" s="59">
        <f t="shared" si="88"/>
        <v>156.67965022779907</v>
      </c>
      <c r="U88" s="15">
        <f>IF(ISNA(VLOOKUP(A88,'Données projet'!$A$35:$I$55,3,0)),0,VLOOKUP(A88,'Données projet'!$A$35:$I$55,3,0))</f>
        <v>14</v>
      </c>
      <c r="V88" s="15">
        <f>IF(ISNA(VLOOKUP(A88,'Données projet'!$A$35:$I$55,4,0)),0,VLOOKUP(A88,'Données projet'!$A$35:$I$55,4,0))</f>
        <v>21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1.1214386765282218</v>
      </c>
      <c r="AA88" s="21">
        <f>EXP(-LN(2)/25)*AA87+(1-EXP(-LN(2)/25))/(LN(2)/25)*Calculateur!V88*Calculateur!X88*VLOOKUP('Données projet'!$B$9,Paramètres!$A$1:$I$89,3,0)*0.475*44/12</f>
        <v>0.9130599258386829</v>
      </c>
      <c r="AB88" s="21">
        <f>EXP(-LN(2)/2)*AB87+(1-EXP(-LN(2)/2))/(LN(2)/2)*V88*Y88*VLOOKUP('Données projet'!$B$9,Paramètres!$A$1:$I$89,3,0)*0.475*44/12</f>
        <v>3.2151307215244773E-8</v>
      </c>
      <c r="AC88" s="22">
        <f t="shared" si="57"/>
        <v>2.0344986345182123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269</v>
      </c>
      <c r="AG88" s="12">
        <f>VLOOKUP(A88,'Données projet'!$A$61:$I$81,9,0)</f>
        <v>5.8</v>
      </c>
      <c r="AH88" s="12">
        <f t="array" ref="AH88">INDEX(AG:AG,MIN(IF(ISNUMBER(AG88:AG284),ROW(AG88:AG284),"")))</f>
        <v>5.8</v>
      </c>
      <c r="AI88" s="13">
        <f>IF('Données projet'!$A$62&gt;35,AI87+AH88-AQ87,IF(A88&lt;'Données projet'!$A$62,$AF$205^A88,IF(A88='Données projet'!$A$62,'Données projet'!$B$62,AI87+AH88-AQ87)))</f>
        <v>268.99999999999994</v>
      </c>
      <c r="AJ88" s="13">
        <f>AI88*VLOOKUP('Données projet'!$B$10,Paramètres!$A$1:$I$89,3,0)*VLOOKUP('Données projet'!$B$10,Paramètres!$A$1:$I$89,5,0)</f>
        <v>272.76599999999996</v>
      </c>
      <c r="AK88" s="13">
        <f t="shared" si="89"/>
        <v>65.43593563008757</v>
      </c>
      <c r="AL88" s="20">
        <f t="shared" si="58"/>
        <v>589.03503788906914</v>
      </c>
      <c r="AM88" s="59">
        <f t="shared" si="59"/>
        <v>882.3683712224024</v>
      </c>
      <c r="AN88" s="59">
        <f ca="1">AVERAGE(OFFSET($AM$3,0,0,'Données projet'!$E$10+1,1))-AVERAGE(OFFSET($H$3,0,0,'Données projet'!$E$10+1,1))</f>
        <v>296.43642006376018</v>
      </c>
      <c r="AO88" s="59">
        <f t="shared" si="90"/>
        <v>179.56041631665812</v>
      </c>
      <c r="AP88" s="15">
        <f>IF(ISNA(VLOOKUP(A88,'Données projet'!$A$61:$I$81,3,0)),0,VLOOKUP(A88,'Données projet'!$A$61:$I$81,3,0))</f>
        <v>14</v>
      </c>
      <c r="AQ88" s="15">
        <f>IF(ISNA(VLOOKUP(A88,'Données projet'!$A$61:$I$81,4,0)),0,VLOOKUP(A88,'Données projet'!$A$61:$I$81,4,0))</f>
        <v>21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1.256784723695421</v>
      </c>
      <c r="AV88" s="21">
        <f>EXP(-LN(2)/25)*AV87+(1-EXP(-LN(2)/25))/(LN(2)/25)*Calculateur!AQ88*Calculateur!AS88*VLOOKUP('Données projet'!$B$10,Paramètres!$A$1:$I$89,3,0)*0.475*44/12</f>
        <v>1.0232568134399036</v>
      </c>
      <c r="AW88" s="21">
        <f>EXP(-LN(2)/2)*AW87+(1-EXP(-LN(2)/2))/(LN(2)/2)*AQ88*AT88*VLOOKUP('Données projet'!$B$10,Paramètres!$A$1:$I$89,3,0)*0.475*44/12</f>
        <v>3.6031637396395016E-8</v>
      </c>
      <c r="AX88" s="21">
        <f t="shared" si="60"/>
        <v>2.2800415731669617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5.6843418860808015E-14</v>
      </c>
      <c r="BE88" s="13">
        <f>BD88*VLOOKUP('Données projet'!$B$11,Paramètres!$A$1:$I$89,3,0)*VLOOKUP('Données projet'!$B$11,Paramètres!$A$1:$I$89,5,0)</f>
        <v>3.813056537183002E-14</v>
      </c>
      <c r="BF88" s="13">
        <f t="shared" si="91"/>
        <v>6.4086286045526829E-13</v>
      </c>
      <c r="BG88" s="20">
        <f t="shared" si="61"/>
        <v>1.1825802166488628E-12</v>
      </c>
      <c r="BH88" s="59">
        <f t="shared" si="62"/>
        <v>293.33333333333451</v>
      </c>
      <c r="BI88" s="59">
        <f ca="1">AVERAGE(OFFSET($BH$3,0,0,'Données projet'!$E$11+1,1))-AVERAGE(OFFSET($H$3,0,0,'Données projet'!$E$11+1,1))</f>
        <v>181.32837315090507</v>
      </c>
      <c r="BJ88" s="59">
        <f t="shared" si="92"/>
        <v>175.03267817980338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1.8427471416812278</v>
      </c>
      <c r="BQ88" s="21">
        <f>EXP(-LN(2)/25)*BQ87+(1-EXP(-LN(2)/25))/(LN(2)/25)*Calculateur!BL88*Calculateur!BN88*VLOOKUP('Données projet'!$B$11,Paramètres!$A$1:$I$89,3,0)*0.475*44/12</f>
        <v>1.4804577678680868</v>
      </c>
      <c r="BR88" s="21">
        <f>EXP(-LN(2)/2)*BR87+(1-EXP(-LN(2)/2))/(LN(2)/2)*BL88*BO88*VLOOKUP('Données projet'!$B$11,Paramètres!$A$1:$I$89,3,0)*0.475*44/12</f>
        <v>5.5892157362576619E-9</v>
      </c>
      <c r="BS88" s="22">
        <f t="shared" si="63"/>
        <v>3.3232049151385303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17.5</v>
      </c>
      <c r="BY88" s="12">
        <f>IF('Données projet'!$A$114&gt;35,BY87+BX88-CG87,IF(A88&lt;'Données projet'!$A$114,$BV$205^A88,IF(A88='Données projet'!$A$114,'Données projet'!$B$114,BY87+BX88-CG87)))</f>
        <v>500.99999999999989</v>
      </c>
      <c r="BZ88" s="13">
        <f>BY88*VLOOKUP('Données projet'!$B$12,Paramètres!$A$1:$I$89,3,0)*VLOOKUP('Données projet'!$B$12,Paramètres!$A$1:$I$89,5,0)</f>
        <v>234.46799999999996</v>
      </c>
      <c r="CA88" s="13">
        <f t="shared" si="93"/>
        <v>57.247683153605394</v>
      </c>
      <c r="CB88" s="20">
        <f t="shared" si="64"/>
        <v>508.0714814925293</v>
      </c>
      <c r="CC88" s="59">
        <f t="shared" si="65"/>
        <v>801.40481482586256</v>
      </c>
      <c r="CD88" s="59">
        <f ca="1">AVERAGE(OFFSET($CC$3,0,0,'Données projet'!$E$12+1,1))-AVERAGE(OFFSET($H$3,0,0,'Données projet'!$E$12+1,1))</f>
        <v>226.0452828290525</v>
      </c>
      <c r="CE88" s="59">
        <f t="shared" si="94"/>
        <v>179.89696397462069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3.0539037738394428</v>
      </c>
      <c r="CL88" s="21">
        <f>EXP(-LN(2)/25)*CL87+(1-EXP(-LN(2)/25))/(LN(2)/25)*Calculateur!CG88*Calculateur!CI88*VLOOKUP('Données projet'!$B$12,Paramètres!$A$1:$I$89,3,0)*0.475*44/12</f>
        <v>2.426947024033721</v>
      </c>
      <c r="CM88" s="21">
        <f>EXP(-LN(2)/2)*CM87+(1-EXP(-LN(2)/2))/(LN(2)/2)*CG88*CJ88*VLOOKUP('Données projet'!$B$12,Paramètres!$A$1:$I$89,3,0)*0.475*44/12</f>
        <v>5.8179133753507044E-8</v>
      </c>
      <c r="CN88" s="22">
        <f t="shared" si="66"/>
        <v>5.4808508560522968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>
        <f>CT88*VLOOKUP('Données projet'!$B$13,Paramètres!$A$1:$I$89,3,0)*VLOOKUP('Données projet'!$B$13,Paramètres!$A$1:$I$89,5,0)</f>
        <v>0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482.74318690313885</v>
      </c>
      <c r="CZ88" s="59">
        <f t="shared" si="96"/>
        <v>205.57161411620217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3.862259057492893</v>
      </c>
      <c r="DG88" s="21">
        <f>EXP(-LN(2)/25)*DG87+(1-EXP(-LN(2)/25))/(LN(2)/25)*Calculateur!DB88*Calculateur!DD88*VLOOKUP('Données projet'!$B$13,Paramètres!$A$1:$I$89,3,0)*0.475*44/12</f>
        <v>2.0516897313264368</v>
      </c>
      <c r="DH88" s="21">
        <f>EXP(-LN(2)/2)*DH87+(1-EXP(-LN(2)/2))/(LN(2)/2)*DB88*DE88*VLOOKUP('Données projet'!$B$13,Paramètres!$A$1:$I$89,3,0)*0.475*44/12</f>
        <v>2.3860365733541359E-8</v>
      </c>
      <c r="DI88" s="22">
        <f t="shared" si="69"/>
        <v>5.9139488126796955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23.066666666666666</v>
      </c>
      <c r="DO88" s="12">
        <f>IF('Données projet'!$A$166&gt;35,DO87+DN88-DW87,IF(A88&lt;'Données projet'!$A$166,$DL$205^A88,IF(A88='Données projet'!$A$166,'Données projet'!$B$166,DO87+DN88-DW87)))</f>
        <v>619.33333333333303</v>
      </c>
      <c r="DP88" s="17">
        <f>DO88*VLOOKUP('Données projet'!$B$14,Paramètres!$A$1:$I$89,3,0)*VLOOKUP('Données projet'!$B$14,Paramètres!$A$1:$I$89,5,0)</f>
        <v>297.89933333333317</v>
      </c>
      <c r="DQ88" s="13">
        <f t="shared" si="97"/>
        <v>70.73590311752821</v>
      </c>
      <c r="DR88" s="20">
        <f t="shared" si="70"/>
        <v>642.03970348525024</v>
      </c>
      <c r="DS88" s="59">
        <f t="shared" si="71"/>
        <v>935.37303681858361</v>
      </c>
      <c r="DT88" s="59">
        <f ca="1">AVERAGE(OFFSET($DS$3,0,0,'Données projet'!$E$14+1,1))-AVERAGE(OFFSET($H$3,0,0,'Données projet'!$E$14+1,1))</f>
        <v>247.11965163963526</v>
      </c>
      <c r="DU88" s="59">
        <f t="shared" si="98"/>
        <v>61.686311966192704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0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5.4</v>
      </c>
      <c r="N89" s="13">
        <f>IF('Données projet'!$A$36&gt;35,N88+M89-V88,IF(A89&lt;'Données projet'!$A$36,$K$205^A89,IF(A89='Données projet'!$A$36,'Données projet'!$B$36,N88+M89-V88)))</f>
        <v>253.39999999999992</v>
      </c>
      <c r="O89" s="13">
        <f>N89*VLOOKUP('Données projet'!$B$9,Paramètres!$A$1:$I$89,3,0)*VLOOKUP('Données projet'!$B$9,Paramètres!$A$1:$I$89,5,0)</f>
        <v>229.27631999999994</v>
      </c>
      <c r="P89" s="13">
        <f t="shared" si="87"/>
        <v>56.126176307517476</v>
      </c>
      <c r="Q89" s="20">
        <f t="shared" si="54"/>
        <v>497.07601440225949</v>
      </c>
      <c r="R89" s="59">
        <f t="shared" si="55"/>
        <v>790.40934773559275</v>
      </c>
      <c r="S89" s="59">
        <f ca="1">AVERAGE(OFFSET($R$3,0,0,'Données projet'!$E$9+1,1))-AVERAGE(OFFSET($H$3,0,0,'Données projet'!$E$9+1,1))</f>
        <v>265.50419397354284</v>
      </c>
      <c r="T89" s="59">
        <f t="shared" si="88"/>
        <v>156.67965022779907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1.0994479480915558</v>
      </c>
      <c r="AA89" s="21">
        <f>EXP(-LN(2)/25)*AA88+(1-EXP(-LN(2)/25))/(LN(2)/25)*Calculateur!V89*Calculateur!X89*VLOOKUP('Données projet'!$B$9,Paramètres!$A$1:$I$89,3,0)*0.475*44/12</f>
        <v>0.88809225415088944</v>
      </c>
      <c r="AB89" s="21">
        <f>EXP(-LN(2)/2)*AB88+(1-EXP(-LN(2)/2))/(LN(2)/2)*V89*Y89*VLOOKUP('Données projet'!$B$9,Paramètres!$A$1:$I$89,3,0)*0.475*44/12</f>
        <v>2.2734407355911552E-8</v>
      </c>
      <c r="AC89" s="22">
        <f t="shared" si="57"/>
        <v>1.9875402249768523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5.4</v>
      </c>
      <c r="AI89" s="13">
        <f>IF('Données projet'!$A$62&gt;35,AI88+AH89-AQ88,IF(A89&lt;'Données projet'!$A$62,$AF$205^A89,IF(A89='Données projet'!$A$62,'Données projet'!$B$62,AI88+AH89-AQ88)))</f>
        <v>253.39999999999992</v>
      </c>
      <c r="AJ89" s="13">
        <f>AI89*VLOOKUP('Données projet'!$B$10,Paramètres!$A$1:$I$89,3,0)*VLOOKUP('Données projet'!$B$10,Paramètres!$A$1:$I$89,5,0)</f>
        <v>256.94759999999991</v>
      </c>
      <c r="AK89" s="13">
        <f t="shared" si="89"/>
        <v>62.071283104858246</v>
      </c>
      <c r="AL89" s="20">
        <f t="shared" si="58"/>
        <v>555.62455474096134</v>
      </c>
      <c r="AM89" s="59">
        <f t="shared" si="59"/>
        <v>848.95788807429471</v>
      </c>
      <c r="AN89" s="59">
        <f ca="1">AVERAGE(OFFSET($AM$3,0,0,'Données projet'!$E$10+1,1))-AVERAGE(OFFSET($H$3,0,0,'Données projet'!$E$10+1,1))</f>
        <v>296.43642006376018</v>
      </c>
      <c r="AO89" s="59">
        <f t="shared" si="90"/>
        <v>179.56041631665812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1.2321399418267436</v>
      </c>
      <c r="AV89" s="21">
        <f>EXP(-LN(2)/25)*AV88+(1-EXP(-LN(2)/25))/(LN(2)/25)*Calculateur!AQ89*Calculateur!AS89*VLOOKUP('Données projet'!$B$10,Paramètres!$A$1:$I$89,3,0)*0.475*44/12</f>
        <v>0.99527580206565225</v>
      </c>
      <c r="AW89" s="21">
        <f>EXP(-LN(2)/2)*AW88+(1-EXP(-LN(2)/2))/(LN(2)/2)*AQ89*AT89*VLOOKUP('Données projet'!$B$10,Paramètres!$A$1:$I$89,3,0)*0.475*44/12</f>
        <v>2.5478215140245714E-8</v>
      </c>
      <c r="AX89" s="21">
        <f t="shared" si="60"/>
        <v>2.2274157693706109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5.6843418860808015E-14</v>
      </c>
      <c r="BE89" s="13">
        <f>BD89*VLOOKUP('Données projet'!$B$11,Paramètres!$A$1:$I$89,3,0)*VLOOKUP('Données projet'!$B$11,Paramètres!$A$1:$I$89,5,0)</f>
        <v>3.813056537183002E-14</v>
      </c>
      <c r="BF89" s="13">
        <f t="shared" si="91"/>
        <v>6.4086286045526829E-13</v>
      </c>
      <c r="BG89" s="20">
        <f t="shared" si="61"/>
        <v>1.1825802166488628E-12</v>
      </c>
      <c r="BH89" s="59">
        <f t="shared" si="62"/>
        <v>293.33333333333451</v>
      </c>
      <c r="BI89" s="59">
        <f ca="1">AVERAGE(OFFSET($BH$3,0,0,'Données projet'!$E$11+1,1))-AVERAGE(OFFSET($H$3,0,0,'Données projet'!$E$11+1,1))</f>
        <v>181.32837315090507</v>
      </c>
      <c r="BJ89" s="59">
        <f t="shared" si="92"/>
        <v>175.03267817980338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1.8066119941976331</v>
      </c>
      <c r="BQ89" s="21">
        <f>EXP(-LN(2)/25)*BQ88+(1-EXP(-LN(2)/25))/(LN(2)/25)*Calculateur!BL89*Calculateur!BN89*VLOOKUP('Données projet'!$B$11,Paramètres!$A$1:$I$89,3,0)*0.475*44/12</f>
        <v>1.4399745723518436</v>
      </c>
      <c r="BR89" s="21">
        <f>EXP(-LN(2)/2)*BR88+(1-EXP(-LN(2)/2))/(LN(2)/2)*BL89*BO89*VLOOKUP('Données projet'!$B$11,Paramètres!$A$1:$I$89,3,0)*0.475*44/12</f>
        <v>3.9521723486223546E-9</v>
      </c>
      <c r="BS89" s="22">
        <f t="shared" si="63"/>
        <v>3.2465865705016488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17.5</v>
      </c>
      <c r="BY89" s="12">
        <f>IF('Données projet'!$A$114&gt;35,BY88+BX89-CG88,IF(A89&lt;'Données projet'!$A$114,$BV$205^A89,IF(A89='Données projet'!$A$114,'Données projet'!$B$114,BY88+BX89-CG88)))</f>
        <v>518.49999999999989</v>
      </c>
      <c r="BZ89" s="13">
        <f>BY89*VLOOKUP('Données projet'!$B$12,Paramètres!$A$1:$I$89,3,0)*VLOOKUP('Données projet'!$B$12,Paramètres!$A$1:$I$89,5,0)</f>
        <v>242.65799999999993</v>
      </c>
      <c r="CA89" s="13">
        <f t="shared" si="93"/>
        <v>59.011045025839607</v>
      </c>
      <c r="CB89" s="20">
        <f t="shared" si="64"/>
        <v>525.40692008667054</v>
      </c>
      <c r="CC89" s="59">
        <f t="shared" si="65"/>
        <v>818.74025342000391</v>
      </c>
      <c r="CD89" s="59">
        <f ca="1">AVERAGE(OFFSET($CC$3,0,0,'Données projet'!$E$12+1,1))-AVERAGE(OFFSET($H$3,0,0,'Données projet'!$E$12+1,1))</f>
        <v>226.0452828290525</v>
      </c>
      <c r="CE89" s="59">
        <f t="shared" si="94"/>
        <v>179.89696397462069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2.9940185835318274</v>
      </c>
      <c r="CL89" s="21">
        <f>EXP(-LN(2)/25)*CL88+(1-EXP(-LN(2)/25))/(LN(2)/25)*Calculateur!CG89*Calculateur!CI89*VLOOKUP('Données projet'!$B$12,Paramètres!$A$1:$I$89,3,0)*0.475*44/12</f>
        <v>2.3605820300339215</v>
      </c>
      <c r="CM89" s="21">
        <f>EXP(-LN(2)/2)*CM88+(1-EXP(-LN(2)/2))/(LN(2)/2)*CG89*CJ89*VLOOKUP('Données projet'!$B$12,Paramètres!$A$1:$I$89,3,0)*0.475*44/12</f>
        <v>4.1138860000663991E-8</v>
      </c>
      <c r="CN89" s="22">
        <f t="shared" si="66"/>
        <v>5.3546006547046092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>
        <f>CT89*VLOOKUP('Données projet'!$B$13,Paramètres!$A$1:$I$89,3,0)*VLOOKUP('Données projet'!$B$13,Paramètres!$A$1:$I$89,5,0)</f>
        <v>0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482.74318690313885</v>
      </c>
      <c r="CZ89" s="59">
        <f t="shared" si="96"/>
        <v>205.57161411620217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3.7865225131208717</v>
      </c>
      <c r="DG89" s="21">
        <f>EXP(-LN(2)/25)*DG88+(1-EXP(-LN(2)/25))/(LN(2)/25)*Calculateur!DB89*Calculateur!DD89*VLOOKUP('Données projet'!$B$13,Paramètres!$A$1:$I$89,3,0)*0.475*44/12</f>
        <v>1.9955861677296416</v>
      </c>
      <c r="DH89" s="21">
        <f>EXP(-LN(2)/2)*DH88+(1-EXP(-LN(2)/2))/(LN(2)/2)*DB89*DE89*VLOOKUP('Données projet'!$B$13,Paramètres!$A$1:$I$89,3,0)*0.475*44/12</f>
        <v>1.6871826411778226E-8</v>
      </c>
      <c r="DI89" s="22">
        <f t="shared" si="69"/>
        <v>5.7821086977223395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23.066666666666666</v>
      </c>
      <c r="DO89" s="12">
        <f>IF('Données projet'!$A$166&gt;35,DO88+DN89-DW88,IF(A89&lt;'Données projet'!$A$166,$DL$205^A89,IF(A89='Données projet'!$A$166,'Données projet'!$B$166,DO88+DN89-DW88)))</f>
        <v>642.39999999999975</v>
      </c>
      <c r="DP89" s="17">
        <f>DO89*VLOOKUP('Données projet'!$B$14,Paramètres!$A$1:$I$89,3,0)*VLOOKUP('Données projet'!$B$14,Paramètres!$A$1:$I$89,5,0)</f>
        <v>308.99439999999987</v>
      </c>
      <c r="DQ89" s="13">
        <f t="shared" si="97"/>
        <v>73.058781171507107</v>
      </c>
      <c r="DR89" s="20">
        <f t="shared" si="70"/>
        <v>665.40929054037463</v>
      </c>
      <c r="DS89" s="59">
        <f t="shared" si="71"/>
        <v>958.742623873708</v>
      </c>
      <c r="DT89" s="59">
        <f ca="1">AVERAGE(OFFSET($DS$3,0,0,'Données projet'!$E$14+1,1))-AVERAGE(OFFSET($H$3,0,0,'Données projet'!$E$14+1,1))</f>
        <v>247.11965163963526</v>
      </c>
      <c r="DU89" s="59">
        <f t="shared" si="98"/>
        <v>61.686311966192704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0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5.4</v>
      </c>
      <c r="N90" s="13">
        <f>IF('Données projet'!$A$36&gt;35,N89+M90-V89,IF(A90&lt;'Données projet'!$A$36,$K$205^A90,IF(A90='Données projet'!$A$36,'Données projet'!$B$36,N89+M90-V89)))</f>
        <v>258.7999999999999</v>
      </c>
      <c r="O90" s="13">
        <f>N90*VLOOKUP('Données projet'!$B$9,Paramètres!$A$1:$I$89,3,0)*VLOOKUP('Données projet'!$B$9,Paramètres!$A$1:$I$89,5,0)</f>
        <v>234.16223999999988</v>
      </c>
      <c r="P90" s="13">
        <f t="shared" si="87"/>
        <v>57.181713578143047</v>
      </c>
      <c r="Q90" s="20">
        <f t="shared" si="54"/>
        <v>507.42405248193222</v>
      </c>
      <c r="R90" s="59">
        <f t="shared" si="55"/>
        <v>800.75738581526548</v>
      </c>
      <c r="S90" s="59">
        <f ca="1">AVERAGE(OFFSET($R$3,0,0,'Données projet'!$E$9+1,1))-AVERAGE(OFFSET($H$3,0,0,'Données projet'!$E$9+1,1))</f>
        <v>265.50419397354284</v>
      </c>
      <c r="T90" s="59">
        <f t="shared" si="88"/>
        <v>156.67965022779907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1.0778884444265127</v>
      </c>
      <c r="AA90" s="21">
        <f>EXP(-LN(2)/25)*AA89+(1-EXP(-LN(2)/25))/(LN(2)/25)*Calculateur!V90*Calculateur!X90*VLOOKUP('Données projet'!$B$9,Paramètres!$A$1:$I$89,3,0)*0.475*44/12</f>
        <v>0.8638073247583915</v>
      </c>
      <c r="AB90" s="21">
        <f>EXP(-LN(2)/2)*AB89+(1-EXP(-LN(2)/2))/(LN(2)/2)*V90*Y90*VLOOKUP('Données projet'!$B$9,Paramètres!$A$1:$I$89,3,0)*0.475*44/12</f>
        <v>1.6075653607622387E-8</v>
      </c>
      <c r="AC90" s="22">
        <f t="shared" si="57"/>
        <v>1.9416957852605579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5.4</v>
      </c>
      <c r="AI90" s="13">
        <f>IF('Données projet'!$A$62&gt;35,AI89+AH90-AQ89,IF(A90&lt;'Données projet'!$A$62,$AF$205^A90,IF(A90='Données projet'!$A$62,'Données projet'!$B$62,AI89+AH90-AQ89)))</f>
        <v>258.7999999999999</v>
      </c>
      <c r="AJ90" s="13">
        <f>AI90*VLOOKUP('Données projet'!$B$10,Paramètres!$A$1:$I$89,3,0)*VLOOKUP('Données projet'!$B$10,Paramètres!$A$1:$I$89,5,0)</f>
        <v>262.42319999999989</v>
      </c>
      <c r="AK90" s="13">
        <f t="shared" si="89"/>
        <v>63.238627062047733</v>
      </c>
      <c r="AL90" s="20">
        <f t="shared" si="58"/>
        <v>567.19434879973289</v>
      </c>
      <c r="AM90" s="59">
        <f t="shared" si="59"/>
        <v>860.52768213306626</v>
      </c>
      <c r="AN90" s="59">
        <f ca="1">AVERAGE(OFFSET($AM$3,0,0,'Données projet'!$E$10+1,1))-AVERAGE(OFFSET($H$3,0,0,'Données projet'!$E$10+1,1))</f>
        <v>296.43642006376018</v>
      </c>
      <c r="AO90" s="59">
        <f t="shared" si="90"/>
        <v>179.56041631665812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1.2079784290986781</v>
      </c>
      <c r="AV90" s="21">
        <f>EXP(-LN(2)/25)*AV89+(1-EXP(-LN(2)/25))/(LN(2)/25)*Calculateur!AQ90*Calculateur!AS90*VLOOKUP('Données projet'!$B$10,Paramètres!$A$1:$I$89,3,0)*0.475*44/12</f>
        <v>0.96805993291888726</v>
      </c>
      <c r="AW90" s="21">
        <f>EXP(-LN(2)/2)*AW89+(1-EXP(-LN(2)/2))/(LN(2)/2)*AQ90*AT90*VLOOKUP('Données projet'!$B$10,Paramètres!$A$1:$I$89,3,0)*0.475*44/12</f>
        <v>1.8015818698197508E-8</v>
      </c>
      <c r="AX90" s="21">
        <f t="shared" si="60"/>
        <v>2.176038380033384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5.6843418860808015E-14</v>
      </c>
      <c r="BE90" s="13">
        <f>BD90*VLOOKUP('Données projet'!$B$11,Paramètres!$A$1:$I$89,3,0)*VLOOKUP('Données projet'!$B$11,Paramètres!$A$1:$I$89,5,0)</f>
        <v>3.813056537183002E-14</v>
      </c>
      <c r="BF90" s="13">
        <f t="shared" si="91"/>
        <v>6.4086286045526829E-13</v>
      </c>
      <c r="BG90" s="20">
        <f t="shared" si="61"/>
        <v>1.1825802166488628E-12</v>
      </c>
      <c r="BH90" s="59">
        <f t="shared" si="62"/>
        <v>293.33333333333451</v>
      </c>
      <c r="BI90" s="59">
        <f ca="1">AVERAGE(OFFSET($BH$3,0,0,'Données projet'!$E$11+1,1))-AVERAGE(OFFSET($H$3,0,0,'Données projet'!$E$11+1,1))</f>
        <v>181.32837315090507</v>
      </c>
      <c r="BJ90" s="59">
        <f t="shared" si="92"/>
        <v>175.03267817980338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1.7711854349159279</v>
      </c>
      <c r="BQ90" s="21">
        <f>EXP(-LN(2)/25)*BQ89+(1-EXP(-LN(2)/25))/(LN(2)/25)*Calculateur!BL90*Calculateur!BN90*VLOOKUP('Données projet'!$B$11,Paramètres!$A$1:$I$89,3,0)*0.475*44/12</f>
        <v>1.4005983919459108</v>
      </c>
      <c r="BR90" s="21">
        <f>EXP(-LN(2)/2)*BR89+(1-EXP(-LN(2)/2))/(LN(2)/2)*BL90*BO90*VLOOKUP('Données projet'!$B$11,Paramètres!$A$1:$I$89,3,0)*0.475*44/12</f>
        <v>2.794607868128831E-9</v>
      </c>
      <c r="BS90" s="22">
        <f t="shared" si="63"/>
        <v>3.1717838296564467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17.5</v>
      </c>
      <c r="BY90" s="12">
        <f>IF('Données projet'!$A$114&gt;35,BY89+BX90-CG89,IF(A90&lt;'Données projet'!$A$114,$BV$205^A90,IF(A90='Données projet'!$A$114,'Données projet'!$B$114,BY89+BX90-CG89)))</f>
        <v>535.99999999999989</v>
      </c>
      <c r="BZ90" s="13">
        <f>BY90*VLOOKUP('Données projet'!$B$12,Paramètres!$A$1:$I$89,3,0)*VLOOKUP('Données projet'!$B$12,Paramètres!$A$1:$I$89,5,0)</f>
        <v>250.84799999999996</v>
      </c>
      <c r="CA90" s="13">
        <f t="shared" si="93"/>
        <v>60.767491486783541</v>
      </c>
      <c r="CB90" s="20">
        <f t="shared" si="64"/>
        <v>542.7303143394812</v>
      </c>
      <c r="CC90" s="59">
        <f t="shared" si="65"/>
        <v>836.06364767281457</v>
      </c>
      <c r="CD90" s="59">
        <f ca="1">AVERAGE(OFFSET($CC$3,0,0,'Données projet'!$E$12+1,1))-AVERAGE(OFFSET($H$3,0,0,'Données projet'!$E$12+1,1))</f>
        <v>226.0452828290525</v>
      </c>
      <c r="CE90" s="59">
        <f t="shared" si="94"/>
        <v>179.89696397462069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2.9353077052797847</v>
      </c>
      <c r="CL90" s="21">
        <f>EXP(-LN(2)/25)*CL89+(1-EXP(-LN(2)/25))/(LN(2)/25)*Calculateur!CG90*Calculateur!CI90*VLOOKUP('Données projet'!$B$12,Paramètres!$A$1:$I$89,3,0)*0.475*44/12</f>
        <v>2.29603179028503</v>
      </c>
      <c r="CM90" s="21">
        <f>EXP(-LN(2)/2)*CM89+(1-EXP(-LN(2)/2))/(LN(2)/2)*CG90*CJ90*VLOOKUP('Données projet'!$B$12,Paramètres!$A$1:$I$89,3,0)*0.475*44/12</f>
        <v>2.9089566876753529E-8</v>
      </c>
      <c r="CN90" s="22">
        <f t="shared" si="66"/>
        <v>5.2313395246543815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>
        <f>CT90*VLOOKUP('Données projet'!$B$13,Paramètres!$A$1:$I$89,3,0)*VLOOKUP('Données projet'!$B$13,Paramètres!$A$1:$I$89,5,0)</f>
        <v>0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482.74318690313885</v>
      </c>
      <c r="CZ90" s="59">
        <f t="shared" si="96"/>
        <v>205.57161411620217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3.7122711161892554</v>
      </c>
      <c r="DG90" s="21">
        <f>EXP(-LN(2)/25)*DG89+(1-EXP(-LN(2)/25))/(LN(2)/25)*Calculateur!DB90*Calculateur!DD90*VLOOKUP('Données projet'!$B$13,Paramètres!$A$1:$I$89,3,0)*0.475*44/12</f>
        <v>1.9410167590297589</v>
      </c>
      <c r="DH90" s="21">
        <f>EXP(-LN(2)/2)*DH89+(1-EXP(-LN(2)/2))/(LN(2)/2)*DB90*DE90*VLOOKUP('Données projet'!$B$13,Paramètres!$A$1:$I$89,3,0)*0.475*44/12</f>
        <v>1.1930182866770679E-8</v>
      </c>
      <c r="DI90" s="22">
        <f t="shared" si="69"/>
        <v>5.6532878871491974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23.066666666666666</v>
      </c>
      <c r="DO90" s="12">
        <f>IF('Données projet'!$A$166&gt;35,DO89+DN90-DW89,IF(A90&lt;'Données projet'!$A$166,$DL$205^A90,IF(A90='Données projet'!$A$166,'Données projet'!$B$166,DO89+DN90-DW89)))</f>
        <v>665.46666666666647</v>
      </c>
      <c r="DP90" s="17">
        <f>DO90*VLOOKUP('Données projet'!$B$14,Paramètres!$A$1:$I$89,3,0)*VLOOKUP('Données projet'!$B$14,Paramètres!$A$1:$I$89,5,0)</f>
        <v>320.08946666666657</v>
      </c>
      <c r="DQ90" s="13">
        <f t="shared" si="97"/>
        <v>75.371968639887413</v>
      </c>
      <c r="DR90" s="20">
        <f t="shared" si="70"/>
        <v>688.76199982558148</v>
      </c>
      <c r="DS90" s="59">
        <f t="shared" si="71"/>
        <v>982.09533315891485</v>
      </c>
      <c r="DT90" s="59">
        <f ca="1">AVERAGE(OFFSET($DS$3,0,0,'Données projet'!$E$14+1,1))-AVERAGE(OFFSET($H$3,0,0,'Données projet'!$E$14+1,1))</f>
        <v>247.11965163963526</v>
      </c>
      <c r="DU90" s="59">
        <f t="shared" si="98"/>
        <v>61.686311966192704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0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5.4</v>
      </c>
      <c r="N91" s="13">
        <f>IF('Données projet'!$A$36&gt;35,N90+M91-V90,IF(A91&lt;'Données projet'!$A$36,$K$205^A91,IF(A91='Données projet'!$A$36,'Données projet'!$B$36,N90+M91-V90)))</f>
        <v>264.19999999999987</v>
      </c>
      <c r="O91" s="13">
        <f>N91*VLOOKUP('Données projet'!$B$9,Paramètres!$A$1:$I$89,3,0)*VLOOKUP('Données projet'!$B$9,Paramètres!$A$1:$I$89,5,0)</f>
        <v>239.04815999999985</v>
      </c>
      <c r="P91" s="13">
        <f t="shared" si="87"/>
        <v>58.234690128947292</v>
      </c>
      <c r="Q91" s="20">
        <f t="shared" si="54"/>
        <v>517.76763064124964</v>
      </c>
      <c r="R91" s="59">
        <f t="shared" si="55"/>
        <v>811.10096397458301</v>
      </c>
      <c r="S91" s="59">
        <f ca="1">AVERAGE(OFFSET($R$3,0,0,'Données projet'!$E$9+1,1))-AVERAGE(OFFSET($H$3,0,0,'Données projet'!$E$9+1,1))</f>
        <v>265.50419397354284</v>
      </c>
      <c r="T91" s="59">
        <f t="shared" si="88"/>
        <v>156.67965022779907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1.0567517094783423</v>
      </c>
      <c r="AA91" s="21">
        <f>EXP(-LN(2)/25)*AA90+(1-EXP(-LN(2)/25))/(LN(2)/25)*Calculateur!V91*Calculateur!X91*VLOOKUP('Données projet'!$B$9,Paramètres!$A$1:$I$89,3,0)*0.475*44/12</f>
        <v>0.8401864680372203</v>
      </c>
      <c r="AB91" s="21">
        <f>EXP(-LN(2)/2)*AB90+(1-EXP(-LN(2)/2))/(LN(2)/2)*V91*Y91*VLOOKUP('Données projet'!$B$9,Paramètres!$A$1:$I$89,3,0)*0.475*44/12</f>
        <v>1.1367203677955776E-8</v>
      </c>
      <c r="AC91" s="22">
        <f t="shared" si="57"/>
        <v>1.8969381888827663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5.4</v>
      </c>
      <c r="AI91" s="13">
        <f>IF('Données projet'!$A$62&gt;35,AI90+AH91-AQ90,IF(A91&lt;'Données projet'!$A$62,$AF$205^A91,IF(A91='Données projet'!$A$62,'Données projet'!$B$62,AI90+AH91-AQ90)))</f>
        <v>264.19999999999987</v>
      </c>
      <c r="AJ91" s="13">
        <f>AI91*VLOOKUP('Données projet'!$B$10,Paramètres!$A$1:$I$89,3,0)*VLOOKUP('Données projet'!$B$10,Paramètres!$A$1:$I$89,5,0)</f>
        <v>267.89879999999988</v>
      </c>
      <c r="AK91" s="13">
        <f t="shared" si="89"/>
        <v>64.403139057834508</v>
      </c>
      <c r="AL91" s="20">
        <f t="shared" si="58"/>
        <v>578.75921052572812</v>
      </c>
      <c r="AM91" s="59">
        <f t="shared" si="59"/>
        <v>872.09254385906138</v>
      </c>
      <c r="AN91" s="59">
        <f ca="1">AVERAGE(OFFSET($AM$3,0,0,'Données projet'!$E$10+1,1))-AVERAGE(OFFSET($H$3,0,0,'Données projet'!$E$10+1,1))</f>
        <v>296.43642006376018</v>
      </c>
      <c r="AO91" s="59">
        <f t="shared" si="90"/>
        <v>179.56041631665812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1.1842907088981425</v>
      </c>
      <c r="AV91" s="21">
        <f>EXP(-LN(2)/25)*AV90+(1-EXP(-LN(2)/25))/(LN(2)/25)*Calculateur!AQ91*Calculateur!AS91*VLOOKUP('Données projet'!$B$10,Paramètres!$A$1:$I$89,3,0)*0.475*44/12</f>
        <v>0.94158828314516096</v>
      </c>
      <c r="AW91" s="21">
        <f>EXP(-LN(2)/2)*AW90+(1-EXP(-LN(2)/2))/(LN(2)/2)*AQ91*AT91*VLOOKUP('Données projet'!$B$10,Paramètres!$A$1:$I$89,3,0)*0.475*44/12</f>
        <v>1.2739107570122857E-8</v>
      </c>
      <c r="AX91" s="21">
        <f t="shared" si="60"/>
        <v>2.1258790047824112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5.6843418860808015E-14</v>
      </c>
      <c r="BE91" s="13">
        <f>BD91*VLOOKUP('Données projet'!$B$11,Paramètres!$A$1:$I$89,3,0)*VLOOKUP('Données projet'!$B$11,Paramètres!$A$1:$I$89,5,0)</f>
        <v>3.813056537183002E-14</v>
      </c>
      <c r="BF91" s="13">
        <f t="shared" si="91"/>
        <v>6.4086286045526829E-13</v>
      </c>
      <c r="BG91" s="20">
        <f t="shared" si="61"/>
        <v>1.1825802166488628E-12</v>
      </c>
      <c r="BH91" s="59">
        <f t="shared" si="62"/>
        <v>293.33333333333451</v>
      </c>
      <c r="BI91" s="59">
        <f ca="1">AVERAGE(OFFSET($BH$3,0,0,'Données projet'!$E$11+1,1))-AVERAGE(OFFSET($H$3,0,0,'Données projet'!$E$11+1,1))</f>
        <v>181.32837315090507</v>
      </c>
      <c r="BJ91" s="59">
        <f t="shared" si="92"/>
        <v>175.03267817980338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1.7364535688536695</v>
      </c>
      <c r="BQ91" s="21">
        <f>EXP(-LN(2)/25)*BQ90+(1-EXP(-LN(2)/25))/(LN(2)/25)*Calculateur!BL91*Calculateur!BN91*VLOOKUP('Données projet'!$B$11,Paramètres!$A$1:$I$89,3,0)*0.475*44/12</f>
        <v>1.3622989552638816</v>
      </c>
      <c r="BR91" s="21">
        <f>EXP(-LN(2)/2)*BR90+(1-EXP(-LN(2)/2))/(LN(2)/2)*BL91*BO91*VLOOKUP('Données projet'!$B$11,Paramètres!$A$1:$I$89,3,0)*0.475*44/12</f>
        <v>1.9760861743111773E-9</v>
      </c>
      <c r="BS91" s="22">
        <f t="shared" si="63"/>
        <v>3.0987525260936373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17.5</v>
      </c>
      <c r="BY91" s="12">
        <f>IF('Données projet'!$A$114&gt;35,BY90+BX91-CG90,IF(A91&lt;'Données projet'!$A$114,$BV$205^A91,IF(A91='Données projet'!$A$114,'Données projet'!$B$114,BY90+BX91-CG90)))</f>
        <v>553.49999999999989</v>
      </c>
      <c r="BZ91" s="13">
        <f>BY91*VLOOKUP('Données projet'!$B$12,Paramètres!$A$1:$I$89,3,0)*VLOOKUP('Données projet'!$B$12,Paramètres!$A$1:$I$89,5,0)</f>
        <v>259.03799999999995</v>
      </c>
      <c r="CA91" s="13">
        <f t="shared" si="93"/>
        <v>62.517274213025487</v>
      </c>
      <c r="CB91" s="20">
        <f t="shared" si="64"/>
        <v>560.04210258768592</v>
      </c>
      <c r="CC91" s="59">
        <f t="shared" si="65"/>
        <v>853.37543592101929</v>
      </c>
      <c r="CD91" s="59">
        <f ca="1">AVERAGE(OFFSET($CC$3,0,0,'Données projet'!$E$12+1,1))-AVERAGE(OFFSET($H$3,0,0,'Données projet'!$E$12+1,1))</f>
        <v>226.0452828290525</v>
      </c>
      <c r="CE91" s="59">
        <f t="shared" si="94"/>
        <v>179.89696397462069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2.8777481115401651</v>
      </c>
      <c r="CL91" s="21">
        <f>EXP(-LN(2)/25)*CL90+(1-EXP(-LN(2)/25))/(LN(2)/25)*Calculateur!CG91*Calculateur!CI91*VLOOKUP('Données projet'!$B$12,Paramètres!$A$1:$I$89,3,0)*0.475*44/12</f>
        <v>2.2332466802366215</v>
      </c>
      <c r="CM91" s="21">
        <f>EXP(-LN(2)/2)*CM90+(1-EXP(-LN(2)/2))/(LN(2)/2)*CG91*CJ91*VLOOKUP('Données projet'!$B$12,Paramètres!$A$1:$I$89,3,0)*0.475*44/12</f>
        <v>2.0569430000331999E-8</v>
      </c>
      <c r="CN91" s="22">
        <f t="shared" si="66"/>
        <v>5.1109948123462159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>
        <f>CT91*VLOOKUP('Données projet'!$B$13,Paramètres!$A$1:$I$89,3,0)*VLOOKUP('Données projet'!$B$13,Paramètres!$A$1:$I$89,5,0)</f>
        <v>0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482.74318690313885</v>
      </c>
      <c r="CZ91" s="59">
        <f t="shared" si="96"/>
        <v>205.57161411620217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3.6394757438625875</v>
      </c>
      <c r="DG91" s="21">
        <f>EXP(-LN(2)/25)*DG90+(1-EXP(-LN(2)/25))/(LN(2)/25)*Calculateur!DB91*Calculateur!DD91*VLOOKUP('Données projet'!$B$13,Paramètres!$A$1:$I$89,3,0)*0.475*44/12</f>
        <v>1.8879395536804551</v>
      </c>
      <c r="DH91" s="21">
        <f>EXP(-LN(2)/2)*DH90+(1-EXP(-LN(2)/2))/(LN(2)/2)*DB91*DE91*VLOOKUP('Données projet'!$B$13,Paramètres!$A$1:$I$89,3,0)*0.475*44/12</f>
        <v>8.4359132058891131E-9</v>
      </c>
      <c r="DI91" s="22">
        <f t="shared" si="69"/>
        <v>5.5274153059789555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23.066666666666666</v>
      </c>
      <c r="DO91" s="12">
        <f>IF('Données projet'!$A$166&gt;35,DO90+DN91-DW90,IF(A91&lt;'Données projet'!$A$166,$DL$205^A91,IF(A91='Données projet'!$A$166,'Données projet'!$B$166,DO90+DN91-DW90)))</f>
        <v>688.53333333333319</v>
      </c>
      <c r="DP91" s="17">
        <f>DO91*VLOOKUP('Données projet'!$B$14,Paramètres!$A$1:$I$89,3,0)*VLOOKUP('Données projet'!$B$14,Paramètres!$A$1:$I$89,5,0)</f>
        <v>331.18453333333326</v>
      </c>
      <c r="DQ91" s="13">
        <f t="shared" si="97"/>
        <v>77.67583991707086</v>
      </c>
      <c r="DR91" s="20">
        <f t="shared" si="70"/>
        <v>712.09848341112047</v>
      </c>
      <c r="DS91" s="59">
        <f t="shared" si="71"/>
        <v>1005.4318167444537</v>
      </c>
      <c r="DT91" s="59">
        <f ca="1">AVERAGE(OFFSET($DS$3,0,0,'Données projet'!$E$14+1,1))-AVERAGE(OFFSET($H$3,0,0,'Données projet'!$E$14+1,1))</f>
        <v>247.11965163963526</v>
      </c>
      <c r="DU91" s="59">
        <f t="shared" si="98"/>
        <v>61.686311966192704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0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5.4</v>
      </c>
      <c r="N92" s="13">
        <f>IF('Données projet'!$A$36&gt;35,N91+M92-V91,IF(A92&lt;'Données projet'!$A$36,$K$205^A92,IF(A92='Données projet'!$A$36,'Données projet'!$B$36,N91+M92-V91)))</f>
        <v>269.59999999999985</v>
      </c>
      <c r="O92" s="13">
        <f>N92*VLOOKUP('Données projet'!$B$9,Paramètres!$A$1:$I$89,3,0)*VLOOKUP('Données projet'!$B$9,Paramètres!$A$1:$I$89,5,0)</f>
        <v>243.93407999999988</v>
      </c>
      <c r="P92" s="13">
        <f t="shared" si="87"/>
        <v>59.285164329617594</v>
      </c>
      <c r="Q92" s="20">
        <f t="shared" si="54"/>
        <v>528.10685054075043</v>
      </c>
      <c r="R92" s="59">
        <f t="shared" si="55"/>
        <v>821.44018387408369</v>
      </c>
      <c r="S92" s="59">
        <f ca="1">AVERAGE(OFFSET($R$3,0,0,'Données projet'!$E$9+1,1))-AVERAGE(OFFSET($H$3,0,0,'Données projet'!$E$9+1,1))</f>
        <v>265.50419397354284</v>
      </c>
      <c r="T92" s="59">
        <f t="shared" si="88"/>
        <v>156.67965022779907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1.0360294530103702</v>
      </c>
      <c r="AA92" s="21">
        <f>EXP(-LN(2)/25)*AA91+(1-EXP(-LN(2)/25))/(LN(2)/25)*Calculateur!V92*Calculateur!X92*VLOOKUP('Données projet'!$B$9,Paramètres!$A$1:$I$89,3,0)*0.475*44/12</f>
        <v>0.81721152488525639</v>
      </c>
      <c r="AB92" s="21">
        <f>EXP(-LN(2)/2)*AB91+(1-EXP(-LN(2)/2))/(LN(2)/2)*V92*Y92*VLOOKUP('Données projet'!$B$9,Paramètres!$A$1:$I$89,3,0)*0.475*44/12</f>
        <v>8.0378268038111933E-9</v>
      </c>
      <c r="AC92" s="22">
        <f t="shared" si="57"/>
        <v>1.8532409859334535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5.4</v>
      </c>
      <c r="AI92" s="13">
        <f>IF('Données projet'!$A$62&gt;35,AI91+AH92-AQ91,IF(A92&lt;'Données projet'!$A$62,$AF$205^A92,IF(A92='Données projet'!$A$62,'Données projet'!$B$62,AI91+AH92-AQ91)))</f>
        <v>269.59999999999985</v>
      </c>
      <c r="AJ92" s="13">
        <f>AI92*VLOOKUP('Données projet'!$B$10,Paramètres!$A$1:$I$89,3,0)*VLOOKUP('Données projet'!$B$10,Paramètres!$A$1:$I$89,5,0)</f>
        <v>273.37439999999987</v>
      </c>
      <c r="AK92" s="13">
        <f t="shared" si="89"/>
        <v>65.564883644654373</v>
      </c>
      <c r="AL92" s="20">
        <f t="shared" si="58"/>
        <v>590.3192523477727</v>
      </c>
      <c r="AM92" s="59">
        <f t="shared" si="59"/>
        <v>883.65258568110607</v>
      </c>
      <c r="AN92" s="59">
        <f ca="1">AVERAGE(OFFSET($AM$3,0,0,'Données projet'!$E$10+1,1))-AVERAGE(OFFSET($H$3,0,0,'Données projet'!$E$10+1,1))</f>
        <v>296.43642006376018</v>
      </c>
      <c r="AO92" s="59">
        <f t="shared" si="90"/>
        <v>179.56041631665812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1.1610674904426566</v>
      </c>
      <c r="AV92" s="21">
        <f>EXP(-LN(2)/25)*AV91+(1-EXP(-LN(2)/25))/(LN(2)/25)*Calculateur!AQ92*Calculateur!AS92*VLOOKUP('Données projet'!$B$10,Paramètres!$A$1:$I$89,3,0)*0.475*44/12</f>
        <v>0.91584050202658074</v>
      </c>
      <c r="AW92" s="21">
        <f>EXP(-LN(2)/2)*AW91+(1-EXP(-LN(2)/2))/(LN(2)/2)*AQ92*AT92*VLOOKUP('Données projet'!$B$10,Paramètres!$A$1:$I$89,3,0)*0.475*44/12</f>
        <v>9.007909349098754E-9</v>
      </c>
      <c r="AX92" s="21">
        <f t="shared" si="60"/>
        <v>2.0769080014771468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5.6843418860808015E-14</v>
      </c>
      <c r="BE92" s="13">
        <f>BD92*VLOOKUP('Données projet'!$B$11,Paramètres!$A$1:$I$89,3,0)*VLOOKUP('Données projet'!$B$11,Paramètres!$A$1:$I$89,5,0)</f>
        <v>3.813056537183002E-14</v>
      </c>
      <c r="BF92" s="13">
        <f t="shared" si="91"/>
        <v>6.4086286045526829E-13</v>
      </c>
      <c r="BG92" s="20">
        <f t="shared" si="61"/>
        <v>1.1825802166488628E-12</v>
      </c>
      <c r="BH92" s="59">
        <f t="shared" si="62"/>
        <v>293.33333333333451</v>
      </c>
      <c r="BI92" s="59">
        <f ca="1">AVERAGE(OFFSET($BH$3,0,0,'Données projet'!$E$11+1,1))-AVERAGE(OFFSET($H$3,0,0,'Données projet'!$E$11+1,1))</f>
        <v>181.32837315090507</v>
      </c>
      <c r="BJ92" s="59">
        <f t="shared" si="92"/>
        <v>175.03267817980338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1.7024027735005454</v>
      </c>
      <c r="BQ92" s="21">
        <f>EXP(-LN(2)/25)*BQ91+(1-EXP(-LN(2)/25))/(LN(2)/25)*Calculateur!BL92*Calculateur!BN92*VLOOKUP('Données projet'!$B$11,Paramètres!$A$1:$I$89,3,0)*0.475*44/12</f>
        <v>1.3250468186920021</v>
      </c>
      <c r="BR92" s="21">
        <f>EXP(-LN(2)/2)*BR91+(1-EXP(-LN(2)/2))/(LN(2)/2)*BL92*BO92*VLOOKUP('Données projet'!$B$11,Paramètres!$A$1:$I$89,3,0)*0.475*44/12</f>
        <v>1.3973039340644155E-9</v>
      </c>
      <c r="BS92" s="22">
        <f t="shared" si="63"/>
        <v>3.0274495935898513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17.5</v>
      </c>
      <c r="BY92" s="12">
        <f>IF('Données projet'!$A$114&gt;35,BY91+BX92-CG91,IF(A92&lt;'Données projet'!$A$114,$BV$205^A92,IF(A92='Données projet'!$A$114,'Données projet'!$B$114,BY91+BX92-CG91)))</f>
        <v>570.99999999999989</v>
      </c>
      <c r="BZ92" s="13">
        <f>BY92*VLOOKUP('Données projet'!$B$12,Paramètres!$A$1:$I$89,3,0)*VLOOKUP('Données projet'!$B$12,Paramètres!$A$1:$I$89,5,0)</f>
        <v>267.22799999999995</v>
      </c>
      <c r="CA92" s="13">
        <f t="shared" si="93"/>
        <v>64.260628062866161</v>
      </c>
      <c r="CB92" s="20">
        <f t="shared" si="64"/>
        <v>577.34269387615848</v>
      </c>
      <c r="CC92" s="59">
        <f t="shared" si="65"/>
        <v>870.67602720949185</v>
      </c>
      <c r="CD92" s="59">
        <f ca="1">AVERAGE(OFFSET($CC$3,0,0,'Données projet'!$E$12+1,1))-AVERAGE(OFFSET($H$3,0,0,'Données projet'!$E$12+1,1))</f>
        <v>226.0452828290525</v>
      </c>
      <c r="CE92" s="59">
        <f t="shared" si="94"/>
        <v>179.89696397462069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2.8213172263258937</v>
      </c>
      <c r="CL92" s="21">
        <f>EXP(-LN(2)/25)*CL91+(1-EXP(-LN(2)/25))/(LN(2)/25)*Calculateur!CG92*Calculateur!CI92*VLOOKUP('Données projet'!$B$12,Paramètres!$A$1:$I$89,3,0)*0.475*44/12</f>
        <v>2.1721784323242121</v>
      </c>
      <c r="CM92" s="21">
        <f>EXP(-LN(2)/2)*CM91+(1-EXP(-LN(2)/2))/(LN(2)/2)*CG92*CJ92*VLOOKUP('Données projet'!$B$12,Paramètres!$A$1:$I$89,3,0)*0.475*44/12</f>
        <v>1.4544783438376766E-8</v>
      </c>
      <c r="CN92" s="22">
        <f t="shared" si="66"/>
        <v>4.9934956731948894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>
        <f>CT92*VLOOKUP('Données projet'!$B$13,Paramètres!$A$1:$I$89,3,0)*VLOOKUP('Données projet'!$B$13,Paramètres!$A$1:$I$89,5,0)</f>
        <v>0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482.74318690313885</v>
      </c>
      <c r="CZ92" s="59">
        <f t="shared" si="96"/>
        <v>205.57161411620217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3.5681078443864527</v>
      </c>
      <c r="DG92" s="21">
        <f>EXP(-LN(2)/25)*DG91+(1-EXP(-LN(2)/25))/(LN(2)/25)*Calculateur!DB92*Calculateur!DD92*VLOOKUP('Données projet'!$B$13,Paramètres!$A$1:$I$89,3,0)*0.475*44/12</f>
        <v>1.8363137473026367</v>
      </c>
      <c r="DH92" s="21">
        <f>EXP(-LN(2)/2)*DH91+(1-EXP(-LN(2)/2))/(LN(2)/2)*DB92*DE92*VLOOKUP('Données projet'!$B$13,Paramètres!$A$1:$I$89,3,0)*0.475*44/12</f>
        <v>5.9650914333853397E-9</v>
      </c>
      <c r="DI92" s="22">
        <f t="shared" si="69"/>
        <v>5.4044215976541814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23.066666666666666</v>
      </c>
      <c r="DO92" s="12">
        <f>IF('Données projet'!$A$166&gt;35,DO91+DN92-DW91,IF(A92&lt;'Données projet'!$A$166,$DL$205^A92,IF(A92='Données projet'!$A$166,'Données projet'!$B$166,DO91+DN92-DW91)))</f>
        <v>711.59999999999991</v>
      </c>
      <c r="DP92" s="17">
        <f>DO92*VLOOKUP('Données projet'!$B$14,Paramètres!$A$1:$I$89,3,0)*VLOOKUP('Données projet'!$B$14,Paramètres!$A$1:$I$89,5,0)</f>
        <v>342.27959999999996</v>
      </c>
      <c r="DQ92" s="13">
        <f t="shared" si="97"/>
        <v>79.970742888809141</v>
      </c>
      <c r="DR92" s="20">
        <f t="shared" si="70"/>
        <v>735.41934719800918</v>
      </c>
      <c r="DS92" s="59">
        <f t="shared" si="71"/>
        <v>1028.7526805313425</v>
      </c>
      <c r="DT92" s="59">
        <f ca="1">AVERAGE(OFFSET($DS$3,0,0,'Données projet'!$E$14+1,1))-AVERAGE(OFFSET($H$3,0,0,'Données projet'!$E$14+1,1))</f>
        <v>247.11965163963526</v>
      </c>
      <c r="DU92" s="59">
        <f t="shared" si="98"/>
        <v>61.686311966192704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0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275</v>
      </c>
      <c r="L93" s="12">
        <f>VLOOKUP(A93,'Données projet'!$A$35:$I$55,9,0)</f>
        <v>5.4</v>
      </c>
      <c r="M93" s="12">
        <f t="array" ref="M93">INDEX(L:L,MIN(IF(ISNUMBER(L93:L289),ROW(L93:L289),"")))</f>
        <v>5.4</v>
      </c>
      <c r="N93" s="13">
        <f>IF('Données projet'!$A$36&gt;35,N92+M93-V92,IF(A93&lt;'Données projet'!$A$36,$K$205^A93,IF(A93='Données projet'!$A$36,'Données projet'!$B$36,N92+M93-V92)))</f>
        <v>274.99999999999983</v>
      </c>
      <c r="O93" s="13">
        <f>N93*VLOOKUP('Données projet'!$B$9,Paramètres!$A$1:$I$89,3,0)*VLOOKUP('Données projet'!$B$9,Paramètres!$A$1:$I$89,5,0)</f>
        <v>248.81999999999982</v>
      </c>
      <c r="P93" s="13">
        <f t="shared" si="87"/>
        <v>60.333192077890018</v>
      </c>
      <c r="Q93" s="20">
        <f t="shared" si="54"/>
        <v>538.44180953565808</v>
      </c>
      <c r="R93" s="59">
        <f t="shared" si="55"/>
        <v>831.77514286899145</v>
      </c>
      <c r="S93" s="59">
        <f ca="1">AVERAGE(OFFSET($R$3,0,0,'Données projet'!$E$9+1,1))-AVERAGE(OFFSET($H$3,0,0,'Données projet'!$E$9+1,1))</f>
        <v>265.50419397354284</v>
      </c>
      <c r="T93" s="59">
        <f t="shared" si="88"/>
        <v>156.67965022779907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21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1.0157135473524066</v>
      </c>
      <c r="AA93" s="21">
        <f>EXP(-LN(2)/25)*AA92+(1-EXP(-LN(2)/25))/(LN(2)/25)*Calculateur!V93*Calculateur!X93*VLOOKUP('Données projet'!$B$9,Paramètres!$A$1:$I$89,3,0)*0.475*44/12</f>
        <v>0.79486483276198272</v>
      </c>
      <c r="AB93" s="21">
        <f>EXP(-LN(2)/2)*AB92+(1-EXP(-LN(2)/2))/(LN(2)/2)*V93*Y93*VLOOKUP('Données projet'!$B$9,Paramètres!$A$1:$I$89,3,0)*0.475*44/12</f>
        <v>5.6836018389778881E-9</v>
      </c>
      <c r="AC93" s="22">
        <f t="shared" si="57"/>
        <v>1.8105783857979911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275</v>
      </c>
      <c r="AG93" s="12">
        <f>VLOOKUP(A93,'Données projet'!$A$61:$I$81,9,0)</f>
        <v>5.4</v>
      </c>
      <c r="AH93" s="12">
        <f t="array" ref="AH93">INDEX(AG:AG,MIN(IF(ISNUMBER(AG93:AG289),ROW(AG93:AG289),"")))</f>
        <v>5.4</v>
      </c>
      <c r="AI93" s="13">
        <f>IF('Données projet'!$A$62&gt;35,AI92+AH93-AQ92,IF(A93&lt;'Données projet'!$A$62,$AF$205^A93,IF(A93='Données projet'!$A$62,'Données projet'!$B$62,AI92+AH93-AQ92)))</f>
        <v>274.99999999999983</v>
      </c>
      <c r="AJ93" s="13">
        <f>AI93*VLOOKUP('Données projet'!$B$10,Paramètres!$A$1:$I$89,3,0)*VLOOKUP('Données projet'!$B$10,Paramètres!$A$1:$I$89,5,0)</f>
        <v>278.84999999999985</v>
      </c>
      <c r="AK93" s="13">
        <f t="shared" si="89"/>
        <v>66.723922641152967</v>
      </c>
      <c r="AL93" s="20">
        <f t="shared" si="58"/>
        <v>601.87458193334112</v>
      </c>
      <c r="AM93" s="59">
        <f t="shared" si="59"/>
        <v>895.20791526667449</v>
      </c>
      <c r="AN93" s="59">
        <f ca="1">AVERAGE(OFFSET($AM$3,0,0,'Données projet'!$E$10+1,1))-AVERAGE(OFFSET($H$3,0,0,'Données projet'!$E$10+1,1))</f>
        <v>296.43642006376018</v>
      </c>
      <c r="AO93" s="59">
        <f t="shared" si="90"/>
        <v>179.56041631665812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275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1.1382996651363182</v>
      </c>
      <c r="AV93" s="21">
        <f>EXP(-LN(2)/25)*AV92+(1-EXP(-LN(2)/25))/(LN(2)/25)*Calculateur!AQ93*Calculateur!AS93*VLOOKUP('Données projet'!$B$10,Paramètres!$A$1:$I$89,3,0)*0.475*44/12</f>
        <v>0.89079679533670508</v>
      </c>
      <c r="AW93" s="21">
        <f>EXP(-LN(2)/2)*AW92+(1-EXP(-LN(2)/2))/(LN(2)/2)*AQ93*AT93*VLOOKUP('Données projet'!$B$10,Paramètres!$A$1:$I$89,3,0)*0.475*44/12</f>
        <v>6.3695537850614285E-9</v>
      </c>
      <c r="AX93" s="21">
        <f t="shared" si="60"/>
        <v>2.0290964668425771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5.6843418860808015E-14</v>
      </c>
      <c r="BE93" s="13">
        <f>BD93*VLOOKUP('Données projet'!$B$11,Paramètres!$A$1:$I$89,3,0)*VLOOKUP('Données projet'!$B$11,Paramètres!$A$1:$I$89,5,0)</f>
        <v>3.813056537183002E-14</v>
      </c>
      <c r="BF93" s="13">
        <f t="shared" si="91"/>
        <v>6.4086286045526829E-13</v>
      </c>
      <c r="BG93" s="20">
        <f t="shared" si="61"/>
        <v>1.1825802166488628E-12</v>
      </c>
      <c r="BH93" s="59">
        <f t="shared" si="62"/>
        <v>293.33333333333451</v>
      </c>
      <c r="BI93" s="59">
        <f ca="1">AVERAGE(OFFSET($BH$3,0,0,'Données projet'!$E$11+1,1))-AVERAGE(OFFSET($H$3,0,0,'Données projet'!$E$11+1,1))</f>
        <v>181.32837315090507</v>
      </c>
      <c r="BJ93" s="59">
        <f t="shared" si="92"/>
        <v>175.03267817980338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1.6690196934753616</v>
      </c>
      <c r="BQ93" s="21">
        <f>EXP(-LN(2)/25)*BQ92+(1-EXP(-LN(2)/25))/(LN(2)/25)*Calculateur!BL93*Calculateur!BN93*VLOOKUP('Données projet'!$B$11,Paramètres!$A$1:$I$89,3,0)*0.475*44/12</f>
        <v>1.2888133437536855</v>
      </c>
      <c r="BR93" s="21">
        <f>EXP(-LN(2)/2)*BR92+(1-EXP(-LN(2)/2))/(LN(2)/2)*BL93*BO93*VLOOKUP('Données projet'!$B$11,Paramètres!$A$1:$I$89,3,0)*0.475*44/12</f>
        <v>9.8804308715558865E-10</v>
      </c>
      <c r="BS93" s="22">
        <f t="shared" si="63"/>
        <v>2.9578330382170903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588.5</v>
      </c>
      <c r="BW93" s="12">
        <f>VLOOKUP(A93,'Données projet'!$A$113:$I$133,9,0)</f>
        <v>17.5</v>
      </c>
      <c r="BX93" s="12">
        <f t="array" ref="BX93">INDEX(BW:BW,MIN(IF(ISNUMBER(BW93:BW289),ROW(BW93:BW289),"")))</f>
        <v>17.5</v>
      </c>
      <c r="BY93" s="12">
        <f>IF('Données projet'!$A$114&gt;35,BY92+BX93-CG92,IF(A93&lt;'Données projet'!$A$114,$BV$205^A93,IF(A93='Données projet'!$A$114,'Données projet'!$B$114,BY92+BX93-CG92)))</f>
        <v>588.49999999999989</v>
      </c>
      <c r="BZ93" s="13">
        <f>BY93*VLOOKUP('Données projet'!$B$12,Paramètres!$A$1:$I$89,3,0)*VLOOKUP('Données projet'!$B$12,Paramètres!$A$1:$I$89,5,0)</f>
        <v>275.41799999999995</v>
      </c>
      <c r="CA93" s="13">
        <f t="shared" si="93"/>
        <v>65.997772680817278</v>
      </c>
      <c r="CB93" s="20">
        <f t="shared" si="64"/>
        <v>594.63247075242327</v>
      </c>
      <c r="CC93" s="59">
        <f t="shared" si="65"/>
        <v>887.96580408575664</v>
      </c>
      <c r="CD93" s="59">
        <f ca="1">AVERAGE(OFFSET($CC$3,0,0,'Données projet'!$E$12+1,1))-AVERAGE(OFFSET($H$3,0,0,'Données projet'!$E$12+1,1))</f>
        <v>226.0452828290525</v>
      </c>
      <c r="CE93" s="59">
        <f t="shared" si="94"/>
        <v>179.89696397462069</v>
      </c>
      <c r="CF93" s="15">
        <f>IF(ISNA(VLOOKUP(A93,'Données projet'!$A$113:$I$133,3,0)),0,VLOOKUP(A93,'Données projet'!$A$113:$I$133,3,0))</f>
        <v>8</v>
      </c>
      <c r="CG93" s="15">
        <f>IF(ISNA(VLOOKUP(A93,'Données projet'!$A$113:$I$133,4,0)),0,VLOOKUP(A93,'Données projet'!$A$113:$I$133,4,0))</f>
        <v>98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2.7659929163512329</v>
      </c>
      <c r="CL93" s="21">
        <f>EXP(-LN(2)/25)*CL92+(1-EXP(-LN(2)/25))/(LN(2)/25)*Calculateur!CG93*Calculateur!CI93*VLOOKUP('Données projet'!$B$12,Paramètres!$A$1:$I$89,3,0)*0.475*44/12</f>
        <v>2.1127800988624075</v>
      </c>
      <c r="CM93" s="21">
        <f>EXP(-LN(2)/2)*CM92+(1-EXP(-LN(2)/2))/(LN(2)/2)*CG93*CJ93*VLOOKUP('Données projet'!$B$12,Paramètres!$A$1:$I$89,3,0)*0.475*44/12</f>
        <v>1.0284715000166001E-8</v>
      </c>
      <c r="CN93" s="22">
        <f t="shared" si="66"/>
        <v>4.8787730254983561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>
        <f>CT93*VLOOKUP('Données projet'!$B$13,Paramètres!$A$1:$I$89,3,0)*VLOOKUP('Données projet'!$B$13,Paramètres!$A$1:$I$89,5,0)</f>
        <v>0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482.74318690313885</v>
      </c>
      <c r="CZ93" s="59">
        <f t="shared" si="96"/>
        <v>205.57161411620217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3.4981394258889247</v>
      </c>
      <c r="DG93" s="21">
        <f>EXP(-LN(2)/25)*DG92+(1-EXP(-LN(2)/25))/(LN(2)/25)*Calculateur!DB93*Calculateur!DD93*VLOOKUP('Données projet'!$B$13,Paramètres!$A$1:$I$89,3,0)*0.475*44/12</f>
        <v>1.7860996513151031</v>
      </c>
      <c r="DH93" s="21">
        <f>EXP(-LN(2)/2)*DH92+(1-EXP(-LN(2)/2))/(LN(2)/2)*DB93*DE93*VLOOKUP('Données projet'!$B$13,Paramètres!$A$1:$I$89,3,0)*0.475*44/12</f>
        <v>4.2179566029445565E-9</v>
      </c>
      <c r="DI93" s="22">
        <f t="shared" si="69"/>
        <v>5.2842390814219842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23.066666666666666</v>
      </c>
      <c r="DO93" s="12">
        <f>IF('Données projet'!$A$166&gt;35,DO92+DN93-DW92,IF(A93&lt;'Données projet'!$A$166,$DL$205^A93,IF(A93='Données projet'!$A$166,'Données projet'!$B$166,DO92+DN93-DW92)))</f>
        <v>734.66666666666663</v>
      </c>
      <c r="DP93" s="17">
        <f>DO93*VLOOKUP('Données projet'!$B$14,Paramètres!$A$1:$I$89,3,0)*VLOOKUP('Données projet'!$B$14,Paramètres!$A$1:$I$89,5,0)</f>
        <v>353.37466666666666</v>
      </c>
      <c r="DQ93" s="13">
        <f t="shared" si="97"/>
        <v>82.257001606942026</v>
      </c>
      <c r="DR93" s="20">
        <f t="shared" si="70"/>
        <v>758.72515557653514</v>
      </c>
      <c r="DS93" s="59">
        <f t="shared" si="71"/>
        <v>1052.0584889098684</v>
      </c>
      <c r="DT93" s="59">
        <f ca="1">AVERAGE(OFFSET($DS$3,0,0,'Données projet'!$E$14+1,1))-AVERAGE(OFFSET($H$3,0,0,'Données projet'!$E$14+1,1))</f>
        <v>247.11965163963526</v>
      </c>
      <c r="DU93" s="59">
        <f t="shared" si="98"/>
        <v>61.686311966192704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0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5</v>
      </c>
      <c r="N94" s="13">
        <f>IF('Données projet'!$A$36&gt;35,N93+M94-V93,IF(A94&lt;'Données projet'!$A$36,$K$205^A94,IF(A94='Données projet'!$A$36,'Données projet'!$B$36,N93+M94-V93)))</f>
        <v>258.99999999999983</v>
      </c>
      <c r="O94" s="13">
        <f>N94*VLOOKUP('Données projet'!$B$9,Paramètres!$A$1:$I$89,3,0)*VLOOKUP('Données projet'!$B$9,Paramètres!$A$1:$I$89,5,0)</f>
        <v>234.34319999999983</v>
      </c>
      <c r="P94" s="13">
        <f t="shared" si="87"/>
        <v>57.220758006491614</v>
      </c>
      <c r="Q94" s="20">
        <f t="shared" si="54"/>
        <v>507.80722686130588</v>
      </c>
      <c r="R94" s="59">
        <f t="shared" si="55"/>
        <v>801.14056019463919</v>
      </c>
      <c r="S94" s="59">
        <f ca="1">AVERAGE(OFFSET($R$3,0,0,'Données projet'!$E$9+1,1))-AVERAGE(OFFSET($H$3,0,0,'Données projet'!$E$9+1,1))</f>
        <v>265.50419397354284</v>
      </c>
      <c r="T94" s="59">
        <f t="shared" si="88"/>
        <v>156.67965022779907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0.99579602421291691</v>
      </c>
      <c r="AA94" s="21">
        <f>EXP(-LN(2)/25)*AA93+(1-EXP(-LN(2)/25))/(LN(2)/25)*Calculateur!V94*Calculateur!X94*VLOOKUP('Données projet'!$B$9,Paramètres!$A$1:$I$89,3,0)*0.475*44/12</f>
        <v>0.77312921210998142</v>
      </c>
      <c r="AB94" s="21">
        <f>EXP(-LN(2)/2)*AB93+(1-EXP(-LN(2)/2))/(LN(2)/2)*V94*Y94*VLOOKUP('Données projet'!$B$9,Paramètres!$A$1:$I$89,3,0)*0.475*44/12</f>
        <v>4.0189134019055966E-9</v>
      </c>
      <c r="AC94" s="22">
        <f t="shared" si="57"/>
        <v>1.7689252403418119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55.8</v>
      </c>
      <c r="AI94" s="13">
        <f>IF('Données projet'!$A$62&gt;35,AI93+AH94-AQ93,IF(A94&lt;'Données projet'!$A$62,$AF$205^A94,IF(A94='Données projet'!$A$62,'Données projet'!$B$62,AI93+AH94-AQ93)))</f>
        <v>55.799999999999841</v>
      </c>
      <c r="AJ94" s="13">
        <f>AI94*VLOOKUP('Données projet'!$B$10,Paramètres!$A$1:$I$89,3,0)*VLOOKUP('Données projet'!$B$10,Paramètres!$A$1:$I$89,5,0)</f>
        <v>56.581199999999839</v>
      </c>
      <c r="AK94" s="13">
        <f t="shared" si="89"/>
        <v>16.300959938283775</v>
      </c>
      <c r="AL94" s="20">
        <f t="shared" si="58"/>
        <v>126.93642855917729</v>
      </c>
      <c r="AM94" s="59">
        <f t="shared" si="59"/>
        <v>420.26976189251059</v>
      </c>
      <c r="AN94" s="59">
        <f ca="1">AVERAGE(OFFSET($AM$3,0,0,'Données projet'!$E$10+1,1))-AVERAGE(OFFSET($H$3,0,0,'Données projet'!$E$10+1,1))</f>
        <v>296.43642006376018</v>
      </c>
      <c r="AO94" s="59">
        <f t="shared" si="90"/>
        <v>179.56041631665812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1.1159783029972348</v>
      </c>
      <c r="AV94" s="21">
        <f>EXP(-LN(2)/25)*AV93+(1-EXP(-LN(2)/25))/(LN(2)/25)*Calculateur!AQ94*Calculateur!AS94*VLOOKUP('Données projet'!$B$10,Paramètres!$A$1:$I$89,3,0)*0.475*44/12</f>
        <v>0.86643791012325533</v>
      </c>
      <c r="AW94" s="21">
        <f>EXP(-LN(2)/2)*AW93+(1-EXP(-LN(2)/2))/(LN(2)/2)*AQ94*AT94*VLOOKUP('Données projet'!$B$10,Paramètres!$A$1:$I$89,3,0)*0.475*44/12</f>
        <v>4.503954674549377E-9</v>
      </c>
      <c r="AX94" s="21">
        <f t="shared" si="60"/>
        <v>1.9824162176244449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5.6843418860808015E-14</v>
      </c>
      <c r="BE94" s="13">
        <f>BD94*VLOOKUP('Données projet'!$B$11,Paramètres!$A$1:$I$89,3,0)*VLOOKUP('Données projet'!$B$11,Paramètres!$A$1:$I$89,5,0)</f>
        <v>3.813056537183002E-14</v>
      </c>
      <c r="BF94" s="13">
        <f t="shared" si="91"/>
        <v>6.4086286045526829E-13</v>
      </c>
      <c r="BG94" s="20">
        <f t="shared" si="61"/>
        <v>1.1825802166488628E-12</v>
      </c>
      <c r="BH94" s="59">
        <f t="shared" si="62"/>
        <v>293.33333333333451</v>
      </c>
      <c r="BI94" s="59">
        <f ca="1">AVERAGE(OFFSET($BH$3,0,0,'Données projet'!$E$11+1,1))-AVERAGE(OFFSET($H$3,0,0,'Données projet'!$E$11+1,1))</f>
        <v>181.32837315090507</v>
      </c>
      <c r="BJ94" s="59">
        <f t="shared" si="92"/>
        <v>175.03267817980338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1.6362912352878034</v>
      </c>
      <c r="BQ94" s="21">
        <f>EXP(-LN(2)/25)*BQ93+(1-EXP(-LN(2)/25))/(LN(2)/25)*Calculateur!BL94*Calculateur!BN94*VLOOKUP('Données projet'!$B$11,Paramètres!$A$1:$I$89,3,0)*0.475*44/12</f>
        <v>1.2535706750929929</v>
      </c>
      <c r="BR94" s="21">
        <f>EXP(-LN(2)/2)*BR93+(1-EXP(-LN(2)/2))/(LN(2)/2)*BL94*BO94*VLOOKUP('Données projet'!$B$11,Paramètres!$A$1:$I$89,3,0)*0.475*44/12</f>
        <v>6.9865196703220774E-10</v>
      </c>
      <c r="BS94" s="22">
        <f t="shared" si="63"/>
        <v>2.8898619110794481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18.5</v>
      </c>
      <c r="BY94" s="12">
        <f>IF('Données projet'!$A$114&gt;35,BY93+BX94-CG93,IF(A94&lt;'Données projet'!$A$114,$BV$205^A94,IF(A94='Données projet'!$A$114,'Données projet'!$B$114,BY93+BX94-CG93)))</f>
        <v>508.99999999999989</v>
      </c>
      <c r="BZ94" s="13">
        <f>BY94*VLOOKUP('Données projet'!$B$12,Paramètres!$A$1:$I$89,3,0)*VLOOKUP('Données projet'!$B$12,Paramètres!$A$1:$I$89,5,0)</f>
        <v>238.21199999999993</v>
      </c>
      <c r="CA94" s="13">
        <f t="shared" si="93"/>
        <v>58.054666307163771</v>
      </c>
      <c r="CB94" s="20">
        <f t="shared" si="64"/>
        <v>515.99777715164339</v>
      </c>
      <c r="CC94" s="59">
        <f t="shared" si="65"/>
        <v>809.33111048497676</v>
      </c>
      <c r="CD94" s="59">
        <f ca="1">AVERAGE(OFFSET($CC$3,0,0,'Données projet'!$E$12+1,1))-AVERAGE(OFFSET($H$3,0,0,'Données projet'!$E$12+1,1))</f>
        <v>226.0452828290525</v>
      </c>
      <c r="CE94" s="59">
        <f t="shared" si="94"/>
        <v>179.89696397462069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2.7117534823506779</v>
      </c>
      <c r="CL94" s="21">
        <f>EXP(-LN(2)/25)*CL93+(1-EXP(-LN(2)/25))/(LN(2)/25)*Calculateur!CG94*Calculateur!CI94*VLOOKUP('Données projet'!$B$12,Paramètres!$A$1:$I$89,3,0)*0.475*44/12</f>
        <v>2.0550060159527384</v>
      </c>
      <c r="CM94" s="21">
        <f>EXP(-LN(2)/2)*CM93+(1-EXP(-LN(2)/2))/(LN(2)/2)*CG94*CJ94*VLOOKUP('Données projet'!$B$12,Paramètres!$A$1:$I$89,3,0)*0.475*44/12</f>
        <v>7.2723917191883838E-9</v>
      </c>
      <c r="CN94" s="22">
        <f t="shared" si="66"/>
        <v>4.7667595055758083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>
        <f>CT94*VLOOKUP('Données projet'!$B$13,Paramètres!$A$1:$I$89,3,0)*VLOOKUP('Données projet'!$B$13,Paramètres!$A$1:$I$89,5,0)</f>
        <v>0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482.74318690313885</v>
      </c>
      <c r="CZ94" s="59">
        <f t="shared" si="96"/>
        <v>205.57161411620217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3.4295430454016116</v>
      </c>
      <c r="DG94" s="21">
        <f>EXP(-LN(2)/25)*DG93+(1-EXP(-LN(2)/25))/(LN(2)/25)*Calculateur!DB94*Calculateur!DD94*VLOOKUP('Données projet'!$B$13,Paramètres!$A$1:$I$89,3,0)*0.475*44/12</f>
        <v>1.7372586624229931</v>
      </c>
      <c r="DH94" s="21">
        <f>EXP(-LN(2)/2)*DH93+(1-EXP(-LN(2)/2))/(LN(2)/2)*DB94*DE94*VLOOKUP('Données projet'!$B$13,Paramètres!$A$1:$I$89,3,0)*0.475*44/12</f>
        <v>2.9825457166926699E-9</v>
      </c>
      <c r="DI94" s="22">
        <f t="shared" si="69"/>
        <v>5.1668017108071504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23.066666666666666</v>
      </c>
      <c r="DO94" s="12">
        <f>IF('Données projet'!$A$166&gt;35,DO93+DN94-DW93,IF(A94&lt;'Données projet'!$A$166,$DL$205^A94,IF(A94='Données projet'!$A$166,'Données projet'!$B$166,DO93+DN94-DW93)))</f>
        <v>757.73333333333335</v>
      </c>
      <c r="DP94" s="17">
        <f>DO94*VLOOKUP('Données projet'!$B$14,Paramètres!$A$1:$I$89,3,0)*VLOOKUP('Données projet'!$B$14,Paramètres!$A$1:$I$89,5,0)</f>
        <v>364.46973333333335</v>
      </c>
      <c r="DQ94" s="13">
        <f t="shared" si="97"/>
        <v>84.534918618777695</v>
      </c>
      <c r="DR94" s="20">
        <f t="shared" si="70"/>
        <v>782.01643548326001</v>
      </c>
      <c r="DS94" s="59">
        <f t="shared" si="71"/>
        <v>1075.3497688165933</v>
      </c>
      <c r="DT94" s="59">
        <f ca="1">AVERAGE(OFFSET($DS$3,0,0,'Données projet'!$E$14+1,1))-AVERAGE(OFFSET($H$3,0,0,'Données projet'!$E$14+1,1))</f>
        <v>247.11965163963526</v>
      </c>
      <c r="DU94" s="59">
        <f t="shared" si="98"/>
        <v>61.686311966192704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0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5</v>
      </c>
      <c r="N95" s="13">
        <f>IF('Données projet'!$A$36&gt;35,N94+M95-V94,IF(A95&lt;'Données projet'!$A$36,$K$205^A95,IF(A95='Données projet'!$A$36,'Données projet'!$B$36,N94+M95-V94)))</f>
        <v>263.99999999999983</v>
      </c>
      <c r="O95" s="13">
        <f>N95*VLOOKUP('Données projet'!$B$9,Paramètres!$A$1:$I$89,3,0)*VLOOKUP('Données projet'!$B$9,Paramètres!$A$1:$I$89,5,0)</f>
        <v>238.86719999999983</v>
      </c>
      <c r="P95" s="13">
        <f t="shared" si="87"/>
        <v>58.195735973104156</v>
      </c>
      <c r="Q95" s="20">
        <f t="shared" si="54"/>
        <v>517.38461348648946</v>
      </c>
      <c r="R95" s="59">
        <f t="shared" si="55"/>
        <v>810.71794681982283</v>
      </c>
      <c r="S95" s="59">
        <f ca="1">AVERAGE(OFFSET($R$3,0,0,'Données projet'!$E$9+1,1))-AVERAGE(OFFSET($H$3,0,0,'Données projet'!$E$9+1,1))</f>
        <v>265.50419397354284</v>
      </c>
      <c r="T95" s="59">
        <f t="shared" si="88"/>
        <v>156.67965022779907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0.97626907155370302</v>
      </c>
      <c r="AA95" s="21">
        <f>EXP(-LN(2)/25)*AA94+(1-EXP(-LN(2)/25))/(LN(2)/25)*Calculateur!V95*Calculateur!X95*VLOOKUP('Données projet'!$B$9,Paramètres!$A$1:$I$89,3,0)*0.475*44/12</f>
        <v>0.7519879531477357</v>
      </c>
      <c r="AB95" s="21">
        <f>EXP(-LN(2)/2)*AB94+(1-EXP(-LN(2)/2))/(LN(2)/2)*V95*Y95*VLOOKUP('Données projet'!$B$9,Paramètres!$A$1:$I$89,3,0)*0.475*44/12</f>
        <v>2.841800919488944E-9</v>
      </c>
      <c r="AC95" s="22">
        <f t="shared" si="57"/>
        <v>1.7282570275432398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55.8</v>
      </c>
      <c r="AI95" s="13">
        <f>IF('Données projet'!$A$62&gt;35,AI94+AH95-AQ94,IF(A95&lt;'Données projet'!$A$62,$AF$205^A95,IF(A95='Données projet'!$A$62,'Données projet'!$B$62,AI94+AH95-AQ94)))</f>
        <v>111.59999999999984</v>
      </c>
      <c r="AJ95" s="13">
        <f>AI95*VLOOKUP('Données projet'!$B$10,Paramètres!$A$1:$I$89,3,0)*VLOOKUP('Données projet'!$B$10,Paramètres!$A$1:$I$89,5,0)</f>
        <v>113.16239999999983</v>
      </c>
      <c r="AK95" s="13">
        <f t="shared" si="89"/>
        <v>30.074837140704911</v>
      </c>
      <c r="AL95" s="20">
        <f t="shared" si="58"/>
        <v>249.47152135339408</v>
      </c>
      <c r="AM95" s="59">
        <f t="shared" si="59"/>
        <v>542.80485468672737</v>
      </c>
      <c r="AN95" s="59">
        <f ca="1">AVERAGE(OFFSET($AM$3,0,0,'Données projet'!$E$10+1,1))-AVERAGE(OFFSET($H$3,0,0,'Données projet'!$E$10+1,1))</f>
        <v>296.43642006376018</v>
      </c>
      <c r="AO95" s="59">
        <f t="shared" si="90"/>
        <v>179.56041631665812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1.0940946491550123</v>
      </c>
      <c r="AV95" s="21">
        <f>EXP(-LN(2)/25)*AV94+(1-EXP(-LN(2)/25))/(LN(2)/25)*Calculateur!AQ95*Calculateur!AS95*VLOOKUP('Données projet'!$B$10,Paramètres!$A$1:$I$89,3,0)*0.475*44/12</f>
        <v>0.84274511990694545</v>
      </c>
      <c r="AW95" s="21">
        <f>EXP(-LN(2)/2)*AW94+(1-EXP(-LN(2)/2))/(LN(2)/2)*AQ95*AT95*VLOOKUP('Données projet'!$B$10,Paramètres!$A$1:$I$89,3,0)*0.475*44/12</f>
        <v>3.1847768925307142E-9</v>
      </c>
      <c r="AX95" s="21">
        <f t="shared" si="60"/>
        <v>1.9368397722467345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5.6843418860808015E-14</v>
      </c>
      <c r="BE95" s="13">
        <f>BD95*VLOOKUP('Données projet'!$B$11,Paramètres!$A$1:$I$89,3,0)*VLOOKUP('Données projet'!$B$11,Paramètres!$A$1:$I$89,5,0)</f>
        <v>3.813056537183002E-14</v>
      </c>
      <c r="BF95" s="13">
        <f t="shared" si="91"/>
        <v>6.4086286045526829E-13</v>
      </c>
      <c r="BG95" s="20">
        <f t="shared" si="61"/>
        <v>1.1825802166488628E-12</v>
      </c>
      <c r="BH95" s="59">
        <f t="shared" si="62"/>
        <v>293.33333333333451</v>
      </c>
      <c r="BI95" s="59">
        <f ca="1">AVERAGE(OFFSET($BH$3,0,0,'Données projet'!$E$11+1,1))-AVERAGE(OFFSET($H$3,0,0,'Données projet'!$E$11+1,1))</f>
        <v>181.32837315090507</v>
      </c>
      <c r="BJ95" s="59">
        <f t="shared" si="92"/>
        <v>175.03267817980338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1.6042045622029149</v>
      </c>
      <c r="BQ95" s="21">
        <f>EXP(-LN(2)/25)*BQ94+(1-EXP(-LN(2)/25))/(LN(2)/25)*Calculateur!BL95*Calculateur!BN95*VLOOKUP('Données projet'!$B$11,Paramètres!$A$1:$I$89,3,0)*0.475*44/12</f>
        <v>1.2192917190601582</v>
      </c>
      <c r="BR95" s="21">
        <f>EXP(-LN(2)/2)*BR94+(1-EXP(-LN(2)/2))/(LN(2)/2)*BL95*BO95*VLOOKUP('Données projet'!$B$11,Paramètres!$A$1:$I$89,3,0)*0.475*44/12</f>
        <v>4.9402154357779433E-10</v>
      </c>
      <c r="BS95" s="22">
        <f t="shared" si="63"/>
        <v>2.8234962817570946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18.5</v>
      </c>
      <c r="BY95" s="12">
        <f>IF('Données projet'!$A$114&gt;35,BY94+BX95-CG94,IF(A95&lt;'Données projet'!$A$114,$BV$205^A95,IF(A95='Données projet'!$A$114,'Données projet'!$B$114,BY94+BX95-CG94)))</f>
        <v>527.49999999999989</v>
      </c>
      <c r="BZ95" s="13">
        <f>BY95*VLOOKUP('Données projet'!$B$12,Paramètres!$A$1:$I$89,3,0)*VLOOKUP('Données projet'!$B$12,Paramètres!$A$1:$I$89,5,0)</f>
        <v>246.86999999999995</v>
      </c>
      <c r="CA95" s="13">
        <f t="shared" si="93"/>
        <v>59.91520778876734</v>
      </c>
      <c r="CB95" s="20">
        <f t="shared" si="64"/>
        <v>534.31757023210309</v>
      </c>
      <c r="CC95" s="59">
        <f t="shared" si="65"/>
        <v>827.65090356543647</v>
      </c>
      <c r="CD95" s="59">
        <f ca="1">AVERAGE(OFFSET($CC$3,0,0,'Données projet'!$E$12+1,1))-AVERAGE(OFFSET($H$3,0,0,'Données projet'!$E$12+1,1))</f>
        <v>226.0452828290525</v>
      </c>
      <c r="CE95" s="59">
        <f t="shared" si="94"/>
        <v>179.89696397462069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2.6585776505680858</v>
      </c>
      <c r="CL95" s="21">
        <f>EXP(-LN(2)/25)*CL94+(1-EXP(-LN(2)/25))/(LN(2)/25)*Calculateur!CG95*Calculateur!CI95*VLOOKUP('Données projet'!$B$12,Paramètres!$A$1:$I$89,3,0)*0.475*44/12</f>
        <v>1.9988117683784412</v>
      </c>
      <c r="CM95" s="21">
        <f>EXP(-LN(2)/2)*CM94+(1-EXP(-LN(2)/2))/(LN(2)/2)*CG95*CJ95*VLOOKUP('Données projet'!$B$12,Paramètres!$A$1:$I$89,3,0)*0.475*44/12</f>
        <v>5.1423575000830014E-9</v>
      </c>
      <c r="CN95" s="22">
        <f t="shared" si="66"/>
        <v>4.6573894240888851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>
        <f>CT95*VLOOKUP('Données projet'!$B$13,Paramètres!$A$1:$I$89,3,0)*VLOOKUP('Données projet'!$B$13,Paramètres!$A$1:$I$89,5,0)</f>
        <v>0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482.74318690313885</v>
      </c>
      <c r="CZ95" s="59">
        <f t="shared" si="96"/>
        <v>205.57161411620217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3.3622917980959941</v>
      </c>
      <c r="DG95" s="21">
        <f>EXP(-LN(2)/25)*DG94+(1-EXP(-LN(2)/25))/(LN(2)/25)*Calculateur!DB95*Calculateur!DD95*VLOOKUP('Données projet'!$B$13,Paramètres!$A$1:$I$89,3,0)*0.475*44/12</f>
        <v>1.6897532329405738</v>
      </c>
      <c r="DH95" s="21">
        <f>EXP(-LN(2)/2)*DH94+(1-EXP(-LN(2)/2))/(LN(2)/2)*DB95*DE95*VLOOKUP('Données projet'!$B$13,Paramètres!$A$1:$I$89,3,0)*0.475*44/12</f>
        <v>2.1089783014722783E-9</v>
      </c>
      <c r="DI95" s="22">
        <f t="shared" si="69"/>
        <v>5.0520450331455455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23.066666666666666</v>
      </c>
      <c r="DO95" s="12">
        <f>IF('Données projet'!$A$166&gt;35,DO94+DN95-DW94,IF(A95&lt;'Données projet'!$A$166,$DL$205^A95,IF(A95='Données projet'!$A$166,'Données projet'!$B$166,DO94+DN95-DW94)))</f>
        <v>780.80000000000007</v>
      </c>
      <c r="DP95" s="17">
        <f>DO95*VLOOKUP('Données projet'!$B$14,Paramètres!$A$1:$I$89,3,0)*VLOOKUP('Données projet'!$B$14,Paramètres!$A$1:$I$89,5,0)</f>
        <v>375.56480000000005</v>
      </c>
      <c r="DQ95" s="13">
        <f t="shared" si="97"/>
        <v>86.804777004864235</v>
      </c>
      <c r="DR95" s="20">
        <f t="shared" si="70"/>
        <v>805.29367995013854</v>
      </c>
      <c r="DS95" s="59">
        <f t="shared" si="71"/>
        <v>1098.6270132834718</v>
      </c>
      <c r="DT95" s="59">
        <f ca="1">AVERAGE(OFFSET($DS$3,0,0,'Données projet'!$E$14+1,1))-AVERAGE(OFFSET($H$3,0,0,'Données projet'!$E$14+1,1))</f>
        <v>247.11965163963526</v>
      </c>
      <c r="DU95" s="59">
        <f t="shared" si="98"/>
        <v>61.686311966192704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0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5</v>
      </c>
      <c r="N96" s="13">
        <f>IF('Données projet'!$A$36&gt;35,N95+M96-V95,IF(A96&lt;'Données projet'!$A$36,$K$205^A96,IF(A96='Données projet'!$A$36,'Données projet'!$B$36,N95+M96-V95)))</f>
        <v>268.99999999999983</v>
      </c>
      <c r="O96" s="13">
        <f>N96*VLOOKUP('Données projet'!$B$9,Paramètres!$A$1:$I$89,3,0)*VLOOKUP('Données projet'!$B$9,Paramètres!$A$1:$I$89,5,0)</f>
        <v>243.39119999999986</v>
      </c>
      <c r="P96" s="13">
        <f t="shared" si="87"/>
        <v>59.168566788241527</v>
      </c>
      <c r="Q96" s="20">
        <f t="shared" si="54"/>
        <v>526.95826048952051</v>
      </c>
      <c r="R96" s="59">
        <f t="shared" si="55"/>
        <v>820.29159382285388</v>
      </c>
      <c r="S96" s="59">
        <f ca="1">AVERAGE(OFFSET($R$3,0,0,'Données projet'!$E$9+1,1))-AVERAGE(OFFSET($H$3,0,0,'Données projet'!$E$9+1,1))</f>
        <v>265.50419397354284</v>
      </c>
      <c r="T96" s="59">
        <f t="shared" si="88"/>
        <v>156.67965022779907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0.95712503052587128</v>
      </c>
      <c r="AA96" s="21">
        <f>EXP(-LN(2)/25)*AA95+(1-EXP(-LN(2)/25))/(LN(2)/25)*Calculateur!V96*Calculateur!X96*VLOOKUP('Données projet'!$B$9,Paramètres!$A$1:$I$89,3,0)*0.475*44/12</f>
        <v>0.73142480302358315</v>
      </c>
      <c r="AB96" s="21">
        <f>EXP(-LN(2)/2)*AB95+(1-EXP(-LN(2)/2))/(LN(2)/2)*V96*Y96*VLOOKUP('Données projet'!$B$9,Paramètres!$A$1:$I$89,3,0)*0.475*44/12</f>
        <v>2.0094567009527983E-9</v>
      </c>
      <c r="AC96" s="22">
        <f t="shared" si="57"/>
        <v>1.688549835558911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55.8</v>
      </c>
      <c r="AI96" s="13">
        <f>IF('Données projet'!$A$62&gt;35,AI95+AH96-AQ95,IF(A96&lt;'Données projet'!$A$62,$AF$205^A96,IF(A96='Données projet'!$A$62,'Données projet'!$B$62,AI95+AH96-AQ95)))</f>
        <v>167.39999999999984</v>
      </c>
      <c r="AJ96" s="13">
        <f>AI96*VLOOKUP('Données projet'!$B$10,Paramètres!$A$1:$I$89,3,0)*VLOOKUP('Données projet'!$B$10,Paramètres!$A$1:$I$89,5,0)</f>
        <v>169.74359999999984</v>
      </c>
      <c r="AK96" s="13">
        <f t="shared" si="89"/>
        <v>43.032593471060402</v>
      </c>
      <c r="AL96" s="20">
        <f t="shared" si="58"/>
        <v>370.58520362876328</v>
      </c>
      <c r="AM96" s="59">
        <f t="shared" si="59"/>
        <v>663.9185369620966</v>
      </c>
      <c r="AN96" s="59">
        <f ca="1">AVERAGE(OFFSET($AM$3,0,0,'Données projet'!$E$10+1,1))-AVERAGE(OFFSET($H$3,0,0,'Données projet'!$E$10+1,1))</f>
        <v>296.43642006376018</v>
      </c>
      <c r="AO96" s="59">
        <f t="shared" si="90"/>
        <v>179.56041631665812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1.0726401204169249</v>
      </c>
      <c r="AV96" s="21">
        <f>EXP(-LN(2)/25)*AV95+(1-EXP(-LN(2)/25))/(LN(2)/25)*Calculateur!AQ96*Calculateur!AS96*VLOOKUP('Données projet'!$B$10,Paramètres!$A$1:$I$89,3,0)*0.475*44/12</f>
        <v>0.81970021028505025</v>
      </c>
      <c r="AW96" s="21">
        <f>EXP(-LN(2)/2)*AW95+(1-EXP(-LN(2)/2))/(LN(2)/2)*AQ96*AT96*VLOOKUP('Données projet'!$B$10,Paramètres!$A$1:$I$89,3,0)*0.475*44/12</f>
        <v>2.2519773372746885E-9</v>
      </c>
      <c r="AX96" s="21">
        <f t="shared" si="60"/>
        <v>1.8923403329539523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5.6843418860808015E-14</v>
      </c>
      <c r="BE96" s="13">
        <f>BD96*VLOOKUP('Données projet'!$B$11,Paramètres!$A$1:$I$89,3,0)*VLOOKUP('Données projet'!$B$11,Paramètres!$A$1:$I$89,5,0)</f>
        <v>3.813056537183002E-14</v>
      </c>
      <c r="BF96" s="13">
        <f t="shared" si="91"/>
        <v>6.4086286045526829E-13</v>
      </c>
      <c r="BG96" s="20">
        <f t="shared" si="61"/>
        <v>1.1825802166488628E-12</v>
      </c>
      <c r="BH96" s="59">
        <f t="shared" si="62"/>
        <v>293.33333333333451</v>
      </c>
      <c r="BI96" s="59">
        <f ca="1">AVERAGE(OFFSET($BH$3,0,0,'Données projet'!$E$11+1,1))-AVERAGE(OFFSET($H$3,0,0,'Données projet'!$E$11+1,1))</f>
        <v>181.32837315090507</v>
      </c>
      <c r="BJ96" s="59">
        <f t="shared" si="92"/>
        <v>175.03267817980338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1.5727470892062829</v>
      </c>
      <c r="BQ96" s="21">
        <f>EXP(-LN(2)/25)*BQ95+(1-EXP(-LN(2)/25))/(LN(2)/25)*Calculateur!BL96*Calculateur!BN96*VLOOKUP('Données projet'!$B$11,Paramètres!$A$1:$I$89,3,0)*0.475*44/12</f>
        <v>1.1859501228826934</v>
      </c>
      <c r="BR96" s="21">
        <f>EXP(-LN(2)/2)*BR95+(1-EXP(-LN(2)/2))/(LN(2)/2)*BL96*BO96*VLOOKUP('Données projet'!$B$11,Paramètres!$A$1:$I$89,3,0)*0.475*44/12</f>
        <v>3.4932598351610387E-10</v>
      </c>
      <c r="BS96" s="22">
        <f t="shared" si="63"/>
        <v>2.7586972124383022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18.5</v>
      </c>
      <c r="BY96" s="12">
        <f>IF('Données projet'!$A$114&gt;35,BY95+BX96-CG95,IF(A96&lt;'Données projet'!$A$114,$BV$205^A96,IF(A96='Données projet'!$A$114,'Données projet'!$B$114,BY95+BX96-CG95)))</f>
        <v>545.99999999999989</v>
      </c>
      <c r="BZ96" s="13">
        <f>BY96*VLOOKUP('Données projet'!$B$12,Paramètres!$A$1:$I$89,3,0)*VLOOKUP('Données projet'!$B$12,Paramètres!$A$1:$I$89,5,0)</f>
        <v>255.52799999999993</v>
      </c>
      <c r="CA96" s="13">
        <f t="shared" si="93"/>
        <v>61.768167868721477</v>
      </c>
      <c r="CB96" s="20">
        <f t="shared" si="64"/>
        <v>552.62415903802309</v>
      </c>
      <c r="CC96" s="59">
        <f t="shared" si="65"/>
        <v>845.95749237135647</v>
      </c>
      <c r="CD96" s="59">
        <f ca="1">AVERAGE(OFFSET($CC$3,0,0,'Données projet'!$E$12+1,1))-AVERAGE(OFFSET($H$3,0,0,'Données projet'!$E$12+1,1))</f>
        <v>226.0452828290525</v>
      </c>
      <c r="CE96" s="59">
        <f t="shared" si="94"/>
        <v>179.89696397462069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2.6064445644126955</v>
      </c>
      <c r="CL96" s="21">
        <f>EXP(-LN(2)/25)*CL95+(1-EXP(-LN(2)/25))/(LN(2)/25)*Calculateur!CG96*Calculateur!CI96*VLOOKUP('Données projet'!$B$12,Paramètres!$A$1:$I$89,3,0)*0.475*44/12</f>
        <v>1.9441541554591901</v>
      </c>
      <c r="CM96" s="21">
        <f>EXP(-LN(2)/2)*CM95+(1-EXP(-LN(2)/2))/(LN(2)/2)*CG96*CJ96*VLOOKUP('Données projet'!$B$12,Paramètres!$A$1:$I$89,3,0)*0.475*44/12</f>
        <v>3.6361958595941927E-9</v>
      </c>
      <c r="CN96" s="22">
        <f t="shared" si="66"/>
        <v>4.5505987235080818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>
        <f>CT96*VLOOKUP('Données projet'!$B$13,Paramètres!$A$1:$I$89,3,0)*VLOOKUP('Données projet'!$B$13,Paramètres!$A$1:$I$89,5,0)</f>
        <v>0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482.74318690313885</v>
      </c>
      <c r="CZ96" s="59">
        <f t="shared" si="96"/>
        <v>205.57161411620217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3.2963593067308294</v>
      </c>
      <c r="DG96" s="21">
        <f>EXP(-LN(2)/25)*DG95+(1-EXP(-LN(2)/25))/(LN(2)/25)*Calculateur!DB96*Calculateur!DD96*VLOOKUP('Données projet'!$B$13,Paramètres!$A$1:$I$89,3,0)*0.475*44/12</f>
        <v>1.6435468419255532</v>
      </c>
      <c r="DH96" s="21">
        <f>EXP(-LN(2)/2)*DH95+(1-EXP(-LN(2)/2))/(LN(2)/2)*DB96*DE96*VLOOKUP('Données projet'!$B$13,Paramètres!$A$1:$I$89,3,0)*0.475*44/12</f>
        <v>1.4912728583463349E-9</v>
      </c>
      <c r="DI96" s="22">
        <f t="shared" si="69"/>
        <v>4.9399061501476558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23.066666666666666</v>
      </c>
      <c r="DO96" s="12">
        <f>IF('Données projet'!$A$166&gt;35,DO95+DN96-DW95,IF(A96&lt;'Données projet'!$A$166,$DL$205^A96,IF(A96='Données projet'!$A$166,'Données projet'!$B$166,DO95+DN96-DW95)))</f>
        <v>803.86666666666679</v>
      </c>
      <c r="DP96" s="17">
        <f>DO96*VLOOKUP('Données projet'!$B$14,Paramètres!$A$1:$I$89,3,0)*VLOOKUP('Données projet'!$B$14,Paramètres!$A$1:$I$89,5,0)</f>
        <v>386.65986666666674</v>
      </c>
      <c r="DQ96" s="13">
        <f t="shared" si="97"/>
        <v>89.06684216919237</v>
      </c>
      <c r="DR96" s="20">
        <f t="shared" si="70"/>
        <v>828.5573512224546</v>
      </c>
      <c r="DS96" s="59">
        <f t="shared" si="71"/>
        <v>1121.8906845557879</v>
      </c>
      <c r="DT96" s="59">
        <f ca="1">AVERAGE(OFFSET($DS$3,0,0,'Données projet'!$E$14+1,1))-AVERAGE(OFFSET($H$3,0,0,'Données projet'!$E$14+1,1))</f>
        <v>247.11965163963526</v>
      </c>
      <c r="DU96" s="59">
        <f t="shared" si="98"/>
        <v>61.686311966192704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0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5</v>
      </c>
      <c r="N97" s="13">
        <f>IF('Données projet'!$A$36&gt;35,N96+M97-V96,IF(A97&lt;'Données projet'!$A$36,$K$205^A97,IF(A97='Données projet'!$A$36,'Données projet'!$B$36,N96+M97-V96)))</f>
        <v>273.99999999999983</v>
      </c>
      <c r="O97" s="13">
        <f>N97*VLOOKUP('Données projet'!$B$9,Paramètres!$A$1:$I$89,3,0)*VLOOKUP('Données projet'!$B$9,Paramètres!$A$1:$I$89,5,0)</f>
        <v>247.91519999999986</v>
      </c>
      <c r="P97" s="13">
        <f t="shared" si="87"/>
        <v>60.139294964297406</v>
      </c>
      <c r="Q97" s="20">
        <f t="shared" si="54"/>
        <v>536.52824539615096</v>
      </c>
      <c r="R97" s="59">
        <f t="shared" si="55"/>
        <v>829.86157872948434</v>
      </c>
      <c r="S97" s="59">
        <f ca="1">AVERAGE(OFFSET($R$3,0,0,'Données projet'!$E$9+1,1))-AVERAGE(OFFSET($H$3,0,0,'Données projet'!$E$9+1,1))</f>
        <v>265.50419397354284</v>
      </c>
      <c r="T97" s="59">
        <f t="shared" si="88"/>
        <v>156.67965022779907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0.9383563924658832</v>
      </c>
      <c r="AA97" s="21">
        <f>EXP(-LN(2)/25)*AA96+(1-EXP(-LN(2)/25))/(LN(2)/25)*Calculateur!V97*Calculateur!X97*VLOOKUP('Données projet'!$B$9,Paramètres!$A$1:$I$89,3,0)*0.475*44/12</f>
        <v>0.71142395332094455</v>
      </c>
      <c r="AB97" s="21">
        <f>EXP(-LN(2)/2)*AB96+(1-EXP(-LN(2)/2))/(LN(2)/2)*V97*Y97*VLOOKUP('Données projet'!$B$9,Paramètres!$A$1:$I$89,3,0)*0.475*44/12</f>
        <v>1.420900459744472E-9</v>
      </c>
      <c r="AC97" s="22">
        <f t="shared" si="57"/>
        <v>1.6497803472077284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55.8</v>
      </c>
      <c r="AI97" s="13">
        <f>IF('Données projet'!$A$62&gt;35,AI96+AH97-AQ96,IF(A97&lt;'Données projet'!$A$62,$AF$205^A97,IF(A97='Données projet'!$A$62,'Données projet'!$B$62,AI96+AH97-AQ96)))</f>
        <v>223.19999999999982</v>
      </c>
      <c r="AJ97" s="13">
        <f>AI97*VLOOKUP('Données projet'!$B$10,Paramètres!$A$1:$I$89,3,0)*VLOOKUP('Données projet'!$B$10,Paramètres!$A$1:$I$89,5,0)</f>
        <v>226.32479999999984</v>
      </c>
      <c r="AK97" s="13">
        <f t="shared" si="89"/>
        <v>55.48727390683667</v>
      </c>
      <c r="AL97" s="20">
        <f t="shared" si="58"/>
        <v>490.82269538774034</v>
      </c>
      <c r="AM97" s="59">
        <f t="shared" si="59"/>
        <v>784.15602872107365</v>
      </c>
      <c r="AN97" s="59">
        <f ca="1">AVERAGE(OFFSET($AM$3,0,0,'Données projet'!$E$10+1,1))-AVERAGE(OFFSET($H$3,0,0,'Données projet'!$E$10+1,1))</f>
        <v>296.43642006376018</v>
      </c>
      <c r="AO97" s="59">
        <f t="shared" si="90"/>
        <v>179.56041631665812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1.051606301901421</v>
      </c>
      <c r="AV97" s="21">
        <f>EXP(-LN(2)/25)*AV96+(1-EXP(-LN(2)/25))/(LN(2)/25)*Calculateur!AQ97*Calculateur!AS97*VLOOKUP('Données projet'!$B$10,Paramètres!$A$1:$I$89,3,0)*0.475*44/12</f>
        <v>0.79728546492864494</v>
      </c>
      <c r="AW97" s="21">
        <f>EXP(-LN(2)/2)*AW96+(1-EXP(-LN(2)/2))/(LN(2)/2)*AQ97*AT97*VLOOKUP('Données projet'!$B$10,Paramètres!$A$1:$I$89,3,0)*0.475*44/12</f>
        <v>1.5923884462653571E-9</v>
      </c>
      <c r="AX97" s="21">
        <f t="shared" si="60"/>
        <v>1.8488917684224544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5.6843418860808015E-14</v>
      </c>
      <c r="BE97" s="13">
        <f>BD97*VLOOKUP('Données projet'!$B$11,Paramètres!$A$1:$I$89,3,0)*VLOOKUP('Données projet'!$B$11,Paramètres!$A$1:$I$89,5,0)</f>
        <v>3.813056537183002E-14</v>
      </c>
      <c r="BF97" s="13">
        <f t="shared" si="91"/>
        <v>6.4086286045526829E-13</v>
      </c>
      <c r="BG97" s="20">
        <f t="shared" si="61"/>
        <v>1.1825802166488628E-12</v>
      </c>
      <c r="BH97" s="59">
        <f t="shared" si="62"/>
        <v>293.33333333333451</v>
      </c>
      <c r="BI97" s="59">
        <f ca="1">AVERAGE(OFFSET($BH$3,0,0,'Données projet'!$E$11+1,1))-AVERAGE(OFFSET($H$3,0,0,'Données projet'!$E$11+1,1))</f>
        <v>181.32837315090507</v>
      </c>
      <c r="BJ97" s="59">
        <f t="shared" si="92"/>
        <v>175.03267817980338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1.541906478067951</v>
      </c>
      <c r="BQ97" s="21">
        <f>EXP(-LN(2)/25)*BQ96+(1-EXP(-LN(2)/25))/(LN(2)/25)*Calculateur!BL97*Calculateur!BN97*VLOOKUP('Données projet'!$B$11,Paramètres!$A$1:$I$89,3,0)*0.475*44/12</f>
        <v>1.1535202544060597</v>
      </c>
      <c r="BR97" s="21">
        <f>EXP(-LN(2)/2)*BR96+(1-EXP(-LN(2)/2))/(LN(2)/2)*BL97*BO97*VLOOKUP('Données projet'!$B$11,Paramètres!$A$1:$I$89,3,0)*0.475*44/12</f>
        <v>2.4701077178889716E-10</v>
      </c>
      <c r="BS97" s="22">
        <f t="shared" si="63"/>
        <v>2.6954267327210215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18.5</v>
      </c>
      <c r="BY97" s="12">
        <f>IF('Données projet'!$A$114&gt;35,BY96+BX97-CG96,IF(A97&lt;'Données projet'!$A$114,$BV$205^A97,IF(A97='Données projet'!$A$114,'Données projet'!$B$114,BY96+BX97-CG96)))</f>
        <v>564.49999999999989</v>
      </c>
      <c r="BZ97" s="13">
        <f>BY97*VLOOKUP('Données projet'!$B$12,Paramètres!$A$1:$I$89,3,0)*VLOOKUP('Données projet'!$B$12,Paramètres!$A$1:$I$89,5,0)</f>
        <v>264.18599999999992</v>
      </c>
      <c r="CA97" s="13">
        <f t="shared" si="93"/>
        <v>63.613832873262751</v>
      </c>
      <c r="CB97" s="20">
        <f t="shared" si="64"/>
        <v>570.91804225426574</v>
      </c>
      <c r="CC97" s="59">
        <f t="shared" si="65"/>
        <v>864.25137558759911</v>
      </c>
      <c r="CD97" s="59">
        <f ca="1">AVERAGE(OFFSET($CC$3,0,0,'Données projet'!$E$12+1,1))-AVERAGE(OFFSET($H$3,0,0,'Données projet'!$E$12+1,1))</f>
        <v>226.0452828290525</v>
      </c>
      <c r="CE97" s="59">
        <f t="shared" si="94"/>
        <v>179.89696397462069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2.5553337762787698</v>
      </c>
      <c r="CL97" s="21">
        <f>EXP(-LN(2)/25)*CL96+(1-EXP(-LN(2)/25))/(LN(2)/25)*Calculateur!CG97*Calculateur!CI97*VLOOKUP('Données projet'!$B$12,Paramètres!$A$1:$I$89,3,0)*0.475*44/12</f>
        <v>1.8909911578395349</v>
      </c>
      <c r="CM97" s="21">
        <f>EXP(-LN(2)/2)*CM96+(1-EXP(-LN(2)/2))/(LN(2)/2)*CG97*CJ97*VLOOKUP('Données projet'!$B$12,Paramètres!$A$1:$I$89,3,0)*0.475*44/12</f>
        <v>2.5711787500415011E-9</v>
      </c>
      <c r="CN97" s="22">
        <f t="shared" si="66"/>
        <v>4.4463249366894839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>
        <f>CT97*VLOOKUP('Données projet'!$B$13,Paramètres!$A$1:$I$89,3,0)*VLOOKUP('Données projet'!$B$13,Paramètres!$A$1:$I$89,5,0)</f>
        <v>0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482.74318690313885</v>
      </c>
      <c r="CZ97" s="59">
        <f t="shared" si="96"/>
        <v>205.57161411620217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3.2317197113064866</v>
      </c>
      <c r="DG97" s="21">
        <f>EXP(-LN(2)/25)*DG96+(1-EXP(-LN(2)/25))/(LN(2)/25)*Calculateur!DB97*Calculateur!DD97*VLOOKUP('Données projet'!$B$13,Paramètres!$A$1:$I$89,3,0)*0.475*44/12</f>
        <v>1.598603967102727</v>
      </c>
      <c r="DH97" s="21">
        <f>EXP(-LN(2)/2)*DH96+(1-EXP(-LN(2)/2))/(LN(2)/2)*DB97*DE97*VLOOKUP('Données projet'!$B$13,Paramètres!$A$1:$I$89,3,0)*0.475*44/12</f>
        <v>1.0544891507361391E-9</v>
      </c>
      <c r="DI97" s="22">
        <f t="shared" si="69"/>
        <v>4.8303236794637021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23.066666666666666</v>
      </c>
      <c r="DO97" s="12">
        <f>IF('Données projet'!$A$166&gt;35,DO96+DN97-DW96,IF(A97&lt;'Données projet'!$A$166,$DL$205^A97,IF(A97='Données projet'!$A$166,'Données projet'!$B$166,DO96+DN97-DW96)))</f>
        <v>826.93333333333351</v>
      </c>
      <c r="DP97" s="17">
        <f>DO97*VLOOKUP('Données projet'!$B$14,Paramètres!$A$1:$I$89,3,0)*VLOOKUP('Données projet'!$B$14,Paramètres!$A$1:$I$89,5,0)</f>
        <v>397.75493333333338</v>
      </c>
      <c r="DQ97" s="13">
        <f t="shared" si="97"/>
        <v>91.321363418144927</v>
      </c>
      <c r="DR97" s="20">
        <f t="shared" si="70"/>
        <v>851.8078835088246</v>
      </c>
      <c r="DS97" s="59">
        <f t="shared" si="71"/>
        <v>1145.141216842158</v>
      </c>
      <c r="DT97" s="59">
        <f ca="1">AVERAGE(OFFSET($DS$3,0,0,'Données projet'!$E$14+1,1))-AVERAGE(OFFSET($H$3,0,0,'Données projet'!$E$14+1,1))</f>
        <v>247.11965163963526</v>
      </c>
      <c r="DU97" s="59">
        <f t="shared" si="98"/>
        <v>61.686311966192704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0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279</v>
      </c>
      <c r="L98" s="12">
        <f>VLOOKUP(A98,'Données projet'!$A$35:$I$55,9,0)</f>
        <v>5</v>
      </c>
      <c r="M98" s="12">
        <f t="array" ref="M98">INDEX(L:L,MIN(IF(ISNUMBER(L98:L294),ROW(L98:L294),"")))</f>
        <v>5</v>
      </c>
      <c r="N98" s="13">
        <f>IF('Données projet'!$A$36&gt;35,N97+M98-V97,IF(A98&lt;'Données projet'!$A$36,$K$205^A98,IF(A98='Données projet'!$A$36,'Données projet'!$B$36,N97+M98-V97)))</f>
        <v>278.99999999999983</v>
      </c>
      <c r="O98" s="13">
        <f>N98*VLOOKUP('Données projet'!$B$9,Paramètres!$A$1:$I$89,3,0)*VLOOKUP('Données projet'!$B$9,Paramètres!$A$1:$I$89,5,0)</f>
        <v>252.43919999999983</v>
      </c>
      <c r="P98" s="13">
        <f t="shared" si="87"/>
        <v>61.107963296116218</v>
      </c>
      <c r="Q98" s="20">
        <f t="shared" si="54"/>
        <v>546.09464274073537</v>
      </c>
      <c r="R98" s="59">
        <f t="shared" si="55"/>
        <v>839.42797607406874</v>
      </c>
      <c r="S98" s="59">
        <f ca="1">AVERAGE(OFFSET($R$3,0,0,'Données projet'!$E$9+1,1))-AVERAGE(OFFSET($H$3,0,0,'Données projet'!$E$9+1,1))</f>
        <v>265.50419397354284</v>
      </c>
      <c r="T98" s="59">
        <f t="shared" si="88"/>
        <v>156.67965022779907</v>
      </c>
      <c r="U98" s="15">
        <f>IF(ISNA(VLOOKUP(A98,'Données projet'!$A$35:$I$55,3,0)),0,VLOOKUP(A98,'Données projet'!$A$35:$I$55,3,0))</f>
        <v>16</v>
      </c>
      <c r="V98" s="15">
        <f>IF(ISNA(VLOOKUP(A98,'Données projet'!$A$35:$I$55,4,0)),0,VLOOKUP(A98,'Données projet'!$A$35:$I$55,4,0))</f>
        <v>21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0.91995579595051269</v>
      </c>
      <c r="AA98" s="21">
        <f>EXP(-LN(2)/25)*AA97+(1-EXP(-LN(2)/25))/(LN(2)/25)*Calculateur!V98*Calculateur!X98*VLOOKUP('Données projet'!$B$9,Paramètres!$A$1:$I$89,3,0)*0.475*44/12</f>
        <v>0.69197002790522355</v>
      </c>
      <c r="AB98" s="21">
        <f>EXP(-LN(2)/2)*AB97+(1-EXP(-LN(2)/2))/(LN(2)/2)*V98*Y98*VLOOKUP('Données projet'!$B$9,Paramètres!$A$1:$I$89,3,0)*0.475*44/12</f>
        <v>1.0047283504763992E-9</v>
      </c>
      <c r="AC98" s="22">
        <f t="shared" si="57"/>
        <v>1.6119258248604647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279</v>
      </c>
      <c r="AG98" s="12">
        <f>VLOOKUP(A98,'Données projet'!$A$61:$I$81,9,0)</f>
        <v>55.8</v>
      </c>
      <c r="AH98" s="12">
        <f t="array" ref="AH98">INDEX(AG:AG,MIN(IF(ISNUMBER(AG98:AG294),ROW(AG98:AG294),"")))</f>
        <v>55.8</v>
      </c>
      <c r="AI98" s="13">
        <f>IF('Données projet'!$A$62&gt;35,AI97+AH98-AQ97,IF(A98&lt;'Données projet'!$A$62,$AF$205^A98,IF(A98='Données projet'!$A$62,'Données projet'!$B$62,AI97+AH98-AQ97)))</f>
        <v>278.99999999999983</v>
      </c>
      <c r="AJ98" s="13">
        <f>AI98*VLOOKUP('Données projet'!$B$10,Paramètres!$A$1:$I$89,3,0)*VLOOKUP('Données projet'!$B$10,Paramètres!$A$1:$I$89,5,0)</f>
        <v>282.90599999999989</v>
      </c>
      <c r="AK98" s="13">
        <f t="shared" si="89"/>
        <v>67.580760694123455</v>
      </c>
      <c r="AL98" s="20">
        <f t="shared" si="58"/>
        <v>610.43110820893151</v>
      </c>
      <c r="AM98" s="59">
        <f t="shared" si="59"/>
        <v>903.76444154226488</v>
      </c>
      <c r="AN98" s="59">
        <f ca="1">AVERAGE(OFFSET($AM$3,0,0,'Données projet'!$E$10+1,1))-AVERAGE(OFFSET($H$3,0,0,'Données projet'!$E$10+1,1))</f>
        <v>296.43642006376018</v>
      </c>
      <c r="AO98" s="59">
        <f t="shared" si="90"/>
        <v>179.56041631665812</v>
      </c>
      <c r="AP98" s="15">
        <f>IF(ISNA(VLOOKUP(A98,'Données projet'!$A$61:$I$81,3,0)),0,VLOOKUP(A98,'Données projet'!$A$61:$I$81,3,0))</f>
        <v>16</v>
      </c>
      <c r="AQ98" s="15">
        <f>IF(ISNA(VLOOKUP(A98,'Données projet'!$A$61:$I$81,4,0)),0,VLOOKUP(A98,'Données projet'!$A$61:$I$81,4,0))</f>
        <v>21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1.0309849437376437</v>
      </c>
      <c r="AV98" s="21">
        <f>EXP(-LN(2)/25)*AV97+(1-EXP(-LN(2)/25))/(LN(2)/25)*Calculateur!AQ98*Calculateur!AS98*VLOOKUP('Données projet'!$B$10,Paramètres!$A$1:$I$89,3,0)*0.475*44/12</f>
        <v>0.77548365196275071</v>
      </c>
      <c r="AW98" s="21">
        <f>EXP(-LN(2)/2)*AW97+(1-EXP(-LN(2)/2))/(LN(2)/2)*AQ98*AT98*VLOOKUP('Données projet'!$B$10,Paramètres!$A$1:$I$89,3,0)*0.475*44/12</f>
        <v>1.1259886686373443E-9</v>
      </c>
      <c r="AX98" s="21">
        <f t="shared" si="60"/>
        <v>1.8064685968263832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5.6843418860808015E-14</v>
      </c>
      <c r="BE98" s="13">
        <f>BD98*VLOOKUP('Données projet'!$B$11,Paramètres!$A$1:$I$89,3,0)*VLOOKUP('Données projet'!$B$11,Paramètres!$A$1:$I$89,5,0)</f>
        <v>3.813056537183002E-14</v>
      </c>
      <c r="BF98" s="13">
        <f t="shared" si="91"/>
        <v>6.4086286045526829E-13</v>
      </c>
      <c r="BG98" s="20">
        <f t="shared" si="61"/>
        <v>1.1825802166488628E-12</v>
      </c>
      <c r="BH98" s="59">
        <f t="shared" si="62"/>
        <v>293.33333333333451</v>
      </c>
      <c r="BI98" s="59">
        <f ca="1">AVERAGE(OFFSET($BH$3,0,0,'Données projet'!$E$11+1,1))-AVERAGE(OFFSET($H$3,0,0,'Données projet'!$E$11+1,1))</f>
        <v>181.32837315090507</v>
      </c>
      <c r="BJ98" s="59">
        <f t="shared" si="92"/>
        <v>175.03267817980338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1.5116706325031264</v>
      </c>
      <c r="BQ98" s="21">
        <f>EXP(-LN(2)/25)*BQ97+(1-EXP(-LN(2)/25))/(LN(2)/25)*Calculateur!BL98*Calculateur!BN98*VLOOKUP('Données projet'!$B$11,Paramètres!$A$1:$I$89,3,0)*0.475*44/12</f>
        <v>1.1219771823883322</v>
      </c>
      <c r="BR98" s="21">
        <f>EXP(-LN(2)/2)*BR97+(1-EXP(-LN(2)/2))/(LN(2)/2)*BL98*BO98*VLOOKUP('Données projet'!$B$11,Paramètres!$A$1:$I$89,3,0)*0.475*44/12</f>
        <v>1.7466299175805194E-10</v>
      </c>
      <c r="BS98" s="22">
        <f t="shared" si="63"/>
        <v>2.6336478150661216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18.5</v>
      </c>
      <c r="BY98" s="12">
        <f>IF('Données projet'!$A$114&gt;35,BY97+BX98-CG97,IF(A98&lt;'Données projet'!$A$114,$BV$205^A98,IF(A98='Données projet'!$A$114,'Données projet'!$B$114,BY97+BX98-CG97)))</f>
        <v>582.99999999999989</v>
      </c>
      <c r="BZ98" s="13">
        <f>BY98*VLOOKUP('Données projet'!$B$12,Paramètres!$A$1:$I$89,3,0)*VLOOKUP('Données projet'!$B$12,Paramètres!$A$1:$I$89,5,0)</f>
        <v>272.84399999999994</v>
      </c>
      <c r="CA98" s="13">
        <f t="shared" si="93"/>
        <v>65.452469296244189</v>
      </c>
      <c r="CB98" s="20">
        <f t="shared" si="64"/>
        <v>589.19968402429186</v>
      </c>
      <c r="CC98" s="59">
        <f t="shared" si="65"/>
        <v>882.53301735762511</v>
      </c>
      <c r="CD98" s="59">
        <f ca="1">AVERAGE(OFFSET($CC$3,0,0,'Données projet'!$E$12+1,1))-AVERAGE(OFFSET($H$3,0,0,'Données projet'!$E$12+1,1))</f>
        <v>226.0452828290525</v>
      </c>
      <c r="CE98" s="59">
        <f t="shared" si="94"/>
        <v>179.89696397462069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2.5052252395256476</v>
      </c>
      <c r="CL98" s="21">
        <f>EXP(-LN(2)/25)*CL97+(1-EXP(-LN(2)/25))/(LN(2)/25)*Calculateur!CG98*Calculateur!CI98*VLOOKUP('Données projet'!$B$12,Paramètres!$A$1:$I$89,3,0)*0.475*44/12</f>
        <v>1.8392819051855096</v>
      </c>
      <c r="CM98" s="21">
        <f>EXP(-LN(2)/2)*CM97+(1-EXP(-LN(2)/2))/(LN(2)/2)*CG98*CJ98*VLOOKUP('Données projet'!$B$12,Paramètres!$A$1:$I$89,3,0)*0.475*44/12</f>
        <v>1.8180979297970966E-9</v>
      </c>
      <c r="CN98" s="22">
        <f t="shared" si="66"/>
        <v>4.3445071465292546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>
        <f>CT98*VLOOKUP('Données projet'!$B$13,Paramètres!$A$1:$I$89,3,0)*VLOOKUP('Données projet'!$B$13,Paramètres!$A$1:$I$89,5,0)</f>
        <v>0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482.74318690313885</v>
      </c>
      <c r="CZ98" s="59">
        <f t="shared" si="96"/>
        <v>205.57161411620217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3.1683476589221549</v>
      </c>
      <c r="DG98" s="21">
        <f>EXP(-LN(2)/25)*DG97+(1-EXP(-LN(2)/25))/(LN(2)/25)*Calculateur!DB98*Calculateur!DD98*VLOOKUP('Données projet'!$B$13,Paramètres!$A$1:$I$89,3,0)*0.475*44/12</f>
        <v>1.5548900575553739</v>
      </c>
      <c r="DH98" s="21">
        <f>EXP(-LN(2)/2)*DH97+(1-EXP(-LN(2)/2))/(LN(2)/2)*DB98*DE98*VLOOKUP('Données projet'!$B$13,Paramètres!$A$1:$I$89,3,0)*0.475*44/12</f>
        <v>7.4563642917316747E-10</v>
      </c>
      <c r="DI98" s="22">
        <f t="shared" si="69"/>
        <v>4.7232377172231654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>
        <f>VLOOKUP(A98,'Données projet'!$A$165:$I$185,2,0)</f>
        <v>850</v>
      </c>
      <c r="DM98" s="12">
        <f>VLOOKUP(A98,'Données projet'!$A$165:$I$185,9,0)</f>
        <v>23.066666666666666</v>
      </c>
      <c r="DN98" s="12">
        <f t="array" ref="DN98">INDEX(DM:DM,MIN(IF(ISNUMBER(DM98:DM294),ROW(DM98:DM294),"")))</f>
        <v>23.066666666666666</v>
      </c>
      <c r="DO98" s="12">
        <f>IF('Données projet'!$A$166&gt;35,DO97+DN98-DW97,IF(A98&lt;'Données projet'!$A$166,$DL$205^A98,IF(A98='Données projet'!$A$166,'Données projet'!$B$166,DO97+DN98-DW97)))</f>
        <v>850.00000000000023</v>
      </c>
      <c r="DP98" s="17">
        <f>DO98*VLOOKUP('Données projet'!$B$14,Paramètres!$A$1:$I$89,3,0)*VLOOKUP('Données projet'!$B$14,Paramètres!$A$1:$I$89,5,0)</f>
        <v>408.85000000000008</v>
      </c>
      <c r="DQ98" s="13">
        <f t="shared" si="97"/>
        <v>93.568575358321141</v>
      </c>
      <c r="DR98" s="20">
        <f t="shared" si="70"/>
        <v>875.0456854157427</v>
      </c>
      <c r="DS98" s="59">
        <f t="shared" si="71"/>
        <v>1168.3790187490761</v>
      </c>
      <c r="DT98" s="59">
        <f ca="1">AVERAGE(OFFSET($DS$3,0,0,'Données projet'!$E$14+1,1))-AVERAGE(OFFSET($H$3,0,0,'Données projet'!$E$14+1,1))</f>
        <v>247.11965163963526</v>
      </c>
      <c r="DU98" s="59">
        <f t="shared" si="98"/>
        <v>61.686311966192704</v>
      </c>
      <c r="DV98" s="15">
        <f>IF(ISNA(VLOOKUP(A98,'Données projet'!$A$165:$I$185,3,0)),0,VLOOKUP(A98,'Données projet'!$A$165:$I$185,3,0))</f>
        <v>4</v>
      </c>
      <c r="DW98" s="15">
        <f>IF(ISNA(VLOOKUP(A98,'Données projet'!$A$165:$I$185,4,0)),0,VLOOKUP(A98,'Données projet'!$A$165:$I$185,4,0))</f>
        <v>850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0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4.8</v>
      </c>
      <c r="N99" s="13">
        <f>IF('Données projet'!$A$36&gt;35,N98+M99-V98,IF(A99&lt;'Données projet'!$A$36,$K$205^A99,IF(A99='Données projet'!$A$36,'Données projet'!$B$36,N98+M99-V98)))</f>
        <v>262.79999999999984</v>
      </c>
      <c r="O99" s="13">
        <f>N99*VLOOKUP('Données projet'!$B$9,Paramètres!$A$1:$I$89,3,0)*VLOOKUP('Données projet'!$B$9,Paramètres!$A$1:$I$89,5,0)</f>
        <v>237.78143999999983</v>
      </c>
      <c r="P99" s="13">
        <f t="shared" si="87"/>
        <v>57.9619387969109</v>
      </c>
      <c r="Q99" s="20">
        <f t="shared" ref="Q99:Q130" si="107">(O99+P99)*0.475*44/12</f>
        <v>515.08638473795281</v>
      </c>
      <c r="R99" s="59">
        <f t="shared" si="55"/>
        <v>808.41971807128607</v>
      </c>
      <c r="S99" s="59">
        <f ca="1">AVERAGE(OFFSET($R$3,0,0,'Données projet'!$E$9+1,1))-AVERAGE(OFFSET($H$3,0,0,'Données projet'!$E$9+1,1))</f>
        <v>265.50419397354284</v>
      </c>
      <c r="T99" s="59">
        <f t="shared" si="88"/>
        <v>156.67965022779907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0.90191602390955294</v>
      </c>
      <c r="AA99" s="21">
        <f>EXP(-LN(2)/25)*AA98+(1-EXP(-LN(2)/25))/(LN(2)/25)*Calculateur!V99*Calculateur!X99*VLOOKUP('Données projet'!$B$9,Paramètres!$A$1:$I$89,3,0)*0.475*44/12</f>
        <v>0.673048071103033</v>
      </c>
      <c r="AB99" s="21">
        <f>EXP(-LN(2)/2)*AB98+(1-EXP(-LN(2)/2))/(LN(2)/2)*V99*Y99*VLOOKUP('Données projet'!$B$9,Paramètres!$A$1:$I$89,3,0)*0.475*44/12</f>
        <v>7.1045022987223601E-10</v>
      </c>
      <c r="AC99" s="22">
        <f t="shared" si="57"/>
        <v>1.574964095723036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4.8</v>
      </c>
      <c r="AI99" s="13">
        <f>IF('Données projet'!$A$62&gt;35,AI98+AH99-AQ98,IF(A99&lt;'Données projet'!$A$62,$AF$205^A99,IF(A99='Données projet'!$A$62,'Données projet'!$B$62,AI98+AH99-AQ98)))</f>
        <v>262.79999999999984</v>
      </c>
      <c r="AJ99" s="13">
        <f>AI99*VLOOKUP('Données projet'!$B$10,Paramètres!$A$1:$I$89,3,0)*VLOOKUP('Données projet'!$B$10,Paramètres!$A$1:$I$89,5,0)</f>
        <v>266.47919999999988</v>
      </c>
      <c r="AK99" s="13">
        <f t="shared" si="89"/>
        <v>64.101496824889622</v>
      </c>
      <c r="AL99" s="20">
        <f t="shared" si="58"/>
        <v>575.76138030334926</v>
      </c>
      <c r="AM99" s="59">
        <f t="shared" si="59"/>
        <v>869.09471363668263</v>
      </c>
      <c r="AN99" s="59">
        <f ca="1">AVERAGE(OFFSET($AM$3,0,0,'Données projet'!$E$10+1,1))-AVERAGE(OFFSET($H$3,0,0,'Données projet'!$E$10+1,1))</f>
        <v>296.43642006376018</v>
      </c>
      <c r="AO99" s="59">
        <f t="shared" si="90"/>
        <v>179.56041631665812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1.0107679578296715</v>
      </c>
      <c r="AV99" s="21">
        <f>EXP(-LN(2)/25)*AV98+(1-EXP(-LN(2)/25))/(LN(2)/25)*Calculateur!AQ99*Calculateur!AS99*VLOOKUP('Données projet'!$B$10,Paramètres!$A$1:$I$89,3,0)*0.475*44/12</f>
        <v>0.75427801071891643</v>
      </c>
      <c r="AW99" s="21">
        <f>EXP(-LN(2)/2)*AW98+(1-EXP(-LN(2)/2))/(LN(2)/2)*AQ99*AT99*VLOOKUP('Données projet'!$B$10,Paramètres!$A$1:$I$89,3,0)*0.475*44/12</f>
        <v>7.9619422313267856E-10</v>
      </c>
      <c r="AX99" s="21">
        <f t="shared" si="60"/>
        <v>1.7650459693447822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5.6843418860808015E-14</v>
      </c>
      <c r="BE99" s="13">
        <f>BD99*VLOOKUP('Données projet'!$B$11,Paramètres!$A$1:$I$89,3,0)*VLOOKUP('Données projet'!$B$11,Paramètres!$A$1:$I$89,5,0)</f>
        <v>3.813056537183002E-14</v>
      </c>
      <c r="BF99" s="13">
        <f t="shared" si="91"/>
        <v>6.4086286045526829E-13</v>
      </c>
      <c r="BG99" s="20">
        <f t="shared" si="61"/>
        <v>1.1825802166488628E-12</v>
      </c>
      <c r="BH99" s="59">
        <f t="shared" si="62"/>
        <v>293.33333333333451</v>
      </c>
      <c r="BI99" s="59">
        <f ca="1">AVERAGE(OFFSET($BH$3,0,0,'Données projet'!$E$11+1,1))-AVERAGE(OFFSET($H$3,0,0,'Données projet'!$E$11+1,1))</f>
        <v>181.32837315090507</v>
      </c>
      <c r="BJ99" s="59">
        <f t="shared" si="92"/>
        <v>175.03267817980338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1.4820276934277832</v>
      </c>
      <c r="BQ99" s="21">
        <f>EXP(-LN(2)/25)*BQ98+(1-EXP(-LN(2)/25))/(LN(2)/25)*Calculateur!BL99*Calculateur!BN99*VLOOKUP('Données projet'!$B$11,Paramètres!$A$1:$I$89,3,0)*0.475*44/12</f>
        <v>1.0912966573337075</v>
      </c>
      <c r="BR99" s="21">
        <f>EXP(-LN(2)/2)*BR98+(1-EXP(-LN(2)/2))/(LN(2)/2)*BL99*BO99*VLOOKUP('Données projet'!$B$11,Paramètres!$A$1:$I$89,3,0)*0.475*44/12</f>
        <v>1.2350538589444858E-10</v>
      </c>
      <c r="BS99" s="22">
        <f t="shared" si="63"/>
        <v>2.5733243508849957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18.5</v>
      </c>
      <c r="BY99" s="12">
        <f>IF('Données projet'!$A$114&gt;35,BY98+BX99-CG98,IF(A99&lt;'Données projet'!$A$114,$BV$205^A99,IF(A99='Données projet'!$A$114,'Données projet'!$B$114,BY98+BX99-CG98)))</f>
        <v>601.49999999999989</v>
      </c>
      <c r="BZ99" s="13">
        <f>BY99*VLOOKUP('Données projet'!$B$12,Paramètres!$A$1:$I$89,3,0)*VLOOKUP('Données projet'!$B$12,Paramètres!$A$1:$I$89,5,0)</f>
        <v>281.50199999999995</v>
      </c>
      <c r="CA99" s="13">
        <f t="shared" si="93"/>
        <v>67.28432575810065</v>
      </c>
      <c r="CB99" s="20">
        <f t="shared" si="64"/>
        <v>607.46951736202516</v>
      </c>
      <c r="CC99" s="59">
        <f t="shared" si="65"/>
        <v>900.80285069535853</v>
      </c>
      <c r="CD99" s="59">
        <f ca="1">AVERAGE(OFFSET($CC$3,0,0,'Données projet'!$E$12+1,1))-AVERAGE(OFFSET($H$3,0,0,'Données projet'!$E$12+1,1))</f>
        <v>226.0452828290525</v>
      </c>
      <c r="CE99" s="59">
        <f t="shared" si="94"/>
        <v>179.89696397462069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2.4560993006150649</v>
      </c>
      <c r="CL99" s="21">
        <f>EXP(-LN(2)/25)*CL98+(1-EXP(-LN(2)/25))/(LN(2)/25)*Calculateur!CG99*Calculateur!CI99*VLOOKUP('Données projet'!$B$12,Paramètres!$A$1:$I$89,3,0)*0.475*44/12</f>
        <v>1.7889866447645801</v>
      </c>
      <c r="CM99" s="21">
        <f>EXP(-LN(2)/2)*CM98+(1-EXP(-LN(2)/2))/(LN(2)/2)*CG99*CJ99*VLOOKUP('Données projet'!$B$12,Paramètres!$A$1:$I$89,3,0)*0.475*44/12</f>
        <v>1.2855893750207508E-9</v>
      </c>
      <c r="CN99" s="22">
        <f t="shared" si="66"/>
        <v>4.2450859466652346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>
        <f>CT99*VLOOKUP('Données projet'!$B$13,Paramètres!$A$1:$I$89,3,0)*VLOOKUP('Données projet'!$B$13,Paramètres!$A$1:$I$89,5,0)</f>
        <v>0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482.74318690313885</v>
      </c>
      <c r="CZ99" s="59">
        <f t="shared" si="96"/>
        <v>205.57161411620217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3.1062182938319447</v>
      </c>
      <c r="DG99" s="21">
        <f>EXP(-LN(2)/25)*DG98+(1-EXP(-LN(2)/25))/(LN(2)/25)*Calculateur!DB99*Calculateur!DD99*VLOOKUP('Données projet'!$B$13,Paramètres!$A$1:$I$89,3,0)*0.475*44/12</f>
        <v>1.5123715071634078</v>
      </c>
      <c r="DH99" s="21">
        <f>EXP(-LN(2)/2)*DH98+(1-EXP(-LN(2)/2))/(LN(2)/2)*DB99*DE99*VLOOKUP('Données projet'!$B$13,Paramètres!$A$1:$I$89,3,0)*0.475*44/12</f>
        <v>5.2724457536806957E-10</v>
      </c>
      <c r="DI99" s="22">
        <f t="shared" si="69"/>
        <v>4.6185898015225977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2.2737367544323206E-13</v>
      </c>
      <c r="DP99" s="17">
        <f>DO99*VLOOKUP('Données projet'!$B$14,Paramètres!$A$1:$I$89,3,0)*VLOOKUP('Données projet'!$B$14,Paramètres!$A$1:$I$89,5,0)</f>
        <v>1.0936673788819462E-13</v>
      </c>
      <c r="DQ99" s="13">
        <f t="shared" si="97"/>
        <v>1.6259645746645945E-12</v>
      </c>
      <c r="DR99" s="20">
        <f t="shared" si="70"/>
        <v>3.0223687026961078E-12</v>
      </c>
      <c r="DS99" s="59">
        <f t="shared" si="71"/>
        <v>293.33333333333633</v>
      </c>
      <c r="DT99" s="59">
        <f ca="1">AVERAGE(OFFSET($DS$3,0,0,'Données projet'!$E$14+1,1))-AVERAGE(OFFSET($H$3,0,0,'Données projet'!$E$14+1,1))</f>
        <v>247.11965163963526</v>
      </c>
      <c r="DU99" s="59">
        <f t="shared" si="98"/>
        <v>61.686311966192704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0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4.8</v>
      </c>
      <c r="N100" s="13">
        <f>IF('Données projet'!$A$36&gt;35,N99+M100-V99,IF(A100&lt;'Données projet'!$A$36,$K$205^A100,IF(A100='Données projet'!$A$36,'Données projet'!$B$36,N99+M100-V99)))</f>
        <v>267.59999999999985</v>
      </c>
      <c r="O100" s="13">
        <f>N100*VLOOKUP('Données projet'!$B$9,Paramètres!$A$1:$I$89,3,0)*VLOOKUP('Données projet'!$B$9,Paramètres!$A$1:$I$89,5,0)</f>
        <v>242.12447999999986</v>
      </c>
      <c r="P100" s="13">
        <f t="shared" si="87"/>
        <v>58.896387987806008</v>
      </c>
      <c r="Q100" s="20">
        <f t="shared" si="107"/>
        <v>524.27801174542856</v>
      </c>
      <c r="R100" s="59">
        <f t="shared" si="55"/>
        <v>817.61134507876181</v>
      </c>
      <c r="S100" s="59">
        <f ca="1">AVERAGE(OFFSET($R$3,0,0,'Données projet'!$E$9+1,1))-AVERAGE(OFFSET($H$3,0,0,'Données projet'!$E$9+1,1))</f>
        <v>265.50419397354284</v>
      </c>
      <c r="T100" s="59">
        <f t="shared" si="88"/>
        <v>156.67965022779907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0.88423000079514191</v>
      </c>
      <c r="AA100" s="21">
        <f>EXP(-LN(2)/25)*AA99+(1-EXP(-LN(2)/25))/(LN(2)/25)*Calculateur!V100*Calculateur!X100*VLOOKUP('Données projet'!$B$9,Paramètres!$A$1:$I$89,3,0)*0.475*44/12</f>
        <v>0.65464353620466076</v>
      </c>
      <c r="AB100" s="21">
        <f>EXP(-LN(2)/2)*AB99+(1-EXP(-LN(2)/2))/(LN(2)/2)*V100*Y100*VLOOKUP('Données projet'!$B$9,Paramètres!$A$1:$I$89,3,0)*0.475*44/12</f>
        <v>5.0236417523819958E-10</v>
      </c>
      <c r="AC100" s="22">
        <f t="shared" si="57"/>
        <v>1.5388735375021667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4.8</v>
      </c>
      <c r="AI100" s="13">
        <f>IF('Données projet'!$A$62&gt;35,AI99+AH100-AQ99,IF(A100&lt;'Données projet'!$A$62,$AF$205^A100,IF(A100='Données projet'!$A$62,'Données projet'!$B$62,AI99+AH100-AQ99)))</f>
        <v>267.59999999999985</v>
      </c>
      <c r="AJ100" s="13">
        <f>AI100*VLOOKUP('Données projet'!$B$10,Paramètres!$A$1:$I$89,3,0)*VLOOKUP('Données projet'!$B$10,Paramètres!$A$1:$I$89,5,0)</f>
        <v>271.34639999999985</v>
      </c>
      <c r="AK100" s="13">
        <f t="shared" si="89"/>
        <v>65.134926573557308</v>
      </c>
      <c r="AL100" s="20">
        <f t="shared" si="58"/>
        <v>586.03831044894537</v>
      </c>
      <c r="AM100" s="59">
        <f t="shared" si="59"/>
        <v>879.37164378227862</v>
      </c>
      <c r="AN100" s="59">
        <f ca="1">AVERAGE(OFFSET($AM$3,0,0,'Données projet'!$E$10+1,1))-AVERAGE(OFFSET($H$3,0,0,'Données projet'!$E$10+1,1))</f>
        <v>296.43642006376018</v>
      </c>
      <c r="AO100" s="59">
        <f t="shared" si="90"/>
        <v>179.56041631665812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0.99094741468421088</v>
      </c>
      <c r="AV100" s="21">
        <f>EXP(-LN(2)/25)*AV99+(1-EXP(-LN(2)/25))/(LN(2)/25)*Calculateur!AQ100*Calculateur!AS100*VLOOKUP('Données projet'!$B$10,Paramètres!$A$1:$I$89,3,0)*0.475*44/12</f>
        <v>0.73365223885005104</v>
      </c>
      <c r="AW100" s="21">
        <f>EXP(-LN(2)/2)*AW99+(1-EXP(-LN(2)/2))/(LN(2)/2)*AQ100*AT100*VLOOKUP('Données projet'!$B$10,Paramètres!$A$1:$I$89,3,0)*0.475*44/12</f>
        <v>5.6299433431867213E-10</v>
      </c>
      <c r="AX100" s="21">
        <f t="shared" si="60"/>
        <v>1.7245996540972561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5.6843418860808015E-14</v>
      </c>
      <c r="BE100" s="13">
        <f>BD100*VLOOKUP('Données projet'!$B$11,Paramètres!$A$1:$I$89,3,0)*VLOOKUP('Données projet'!$B$11,Paramètres!$A$1:$I$89,5,0)</f>
        <v>3.813056537183002E-14</v>
      </c>
      <c r="BF100" s="13">
        <f t="shared" si="91"/>
        <v>6.4086286045526829E-13</v>
      </c>
      <c r="BG100" s="20">
        <f t="shared" si="61"/>
        <v>1.1825802166488628E-12</v>
      </c>
      <c r="BH100" s="59">
        <f t="shared" si="62"/>
        <v>293.33333333333451</v>
      </c>
      <c r="BI100" s="59">
        <f ca="1">AVERAGE(OFFSET($BH$3,0,0,'Données projet'!$E$11+1,1))-AVERAGE(OFFSET($H$3,0,0,'Données projet'!$E$11+1,1))</f>
        <v>181.32837315090507</v>
      </c>
      <c r="BJ100" s="59">
        <f t="shared" si="92"/>
        <v>175.03267817980338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1.4529660343072999</v>
      </c>
      <c r="BQ100" s="21">
        <f>EXP(-LN(2)/25)*BQ99+(1-EXP(-LN(2)/25))/(LN(2)/25)*Calculateur!BL100*Calculateur!BN100*VLOOKUP('Données projet'!$B$11,Paramètres!$A$1:$I$89,3,0)*0.475*44/12</f>
        <v>1.0614550928501203</v>
      </c>
      <c r="BR100" s="21">
        <f>EXP(-LN(2)/2)*BR99+(1-EXP(-LN(2)/2))/(LN(2)/2)*BL100*BO100*VLOOKUP('Données projet'!$B$11,Paramètres!$A$1:$I$89,3,0)*0.475*44/12</f>
        <v>8.7331495879025968E-11</v>
      </c>
      <c r="BS100" s="22">
        <f t="shared" si="63"/>
        <v>2.5144211272447516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18.5</v>
      </c>
      <c r="BY100" s="12">
        <f>IF('Données projet'!$A$114&gt;35,BY99+BX100-CG99,IF(A100&lt;'Données projet'!$A$114,$BV$205^A100,IF(A100='Données projet'!$A$114,'Données projet'!$B$114,BY99+BX100-CG99)))</f>
        <v>619.99999999999989</v>
      </c>
      <c r="BZ100" s="13">
        <f>BY100*VLOOKUP('Données projet'!$B$12,Paramètres!$A$1:$I$89,3,0)*VLOOKUP('Données projet'!$B$12,Paramètres!$A$1:$I$89,5,0)</f>
        <v>290.15999999999997</v>
      </c>
      <c r="CA100" s="13">
        <f t="shared" si="93"/>
        <v>69.109634717039938</v>
      </c>
      <c r="CB100" s="20">
        <f t="shared" si="64"/>
        <v>625.72794713217797</v>
      </c>
      <c r="CC100" s="59">
        <f t="shared" si="65"/>
        <v>919.06128046551135</v>
      </c>
      <c r="CD100" s="59">
        <f ca="1">AVERAGE(OFFSET($CC$3,0,0,'Données projet'!$E$12+1,1))-AVERAGE(OFFSET($H$3,0,0,'Données projet'!$E$12+1,1))</f>
        <v>226.0452828290525</v>
      </c>
      <c r="CE100" s="59">
        <f t="shared" si="94"/>
        <v>179.89696397462069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2.4079366914026545</v>
      </c>
      <c r="CL100" s="21">
        <f>EXP(-LN(2)/25)*CL99+(1-EXP(-LN(2)/25))/(LN(2)/25)*Calculateur!CG100*Calculateur!CI100*VLOOKUP('Données projet'!$B$12,Paramètres!$A$1:$I$89,3,0)*0.475*44/12</f>
        <v>1.7400667108847738</v>
      </c>
      <c r="CM100" s="21">
        <f>EXP(-LN(2)/2)*CM99+(1-EXP(-LN(2)/2))/(LN(2)/2)*CG100*CJ100*VLOOKUP('Données projet'!$B$12,Paramètres!$A$1:$I$89,3,0)*0.475*44/12</f>
        <v>9.0904896489854849E-10</v>
      </c>
      <c r="CN100" s="22">
        <f t="shared" si="66"/>
        <v>4.1480034031964772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>
        <f>CT100*VLOOKUP('Données projet'!$B$13,Paramètres!$A$1:$I$89,3,0)*VLOOKUP('Données projet'!$B$13,Paramètres!$A$1:$I$89,5,0)</f>
        <v>0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482.74318690313885</v>
      </c>
      <c r="CZ100" s="59">
        <f t="shared" si="96"/>
        <v>205.57161411620217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3.0453072476959826</v>
      </c>
      <c r="DG100" s="21">
        <f>EXP(-LN(2)/25)*DG99+(1-EXP(-LN(2)/25))/(LN(2)/25)*Calculateur!DB100*Calculateur!DD100*VLOOKUP('Données projet'!$B$13,Paramètres!$A$1:$I$89,3,0)*0.475*44/12</f>
        <v>1.4710156287678635</v>
      </c>
      <c r="DH100" s="21">
        <f>EXP(-LN(2)/2)*DH99+(1-EXP(-LN(2)/2))/(LN(2)/2)*DB100*DE100*VLOOKUP('Données projet'!$B$13,Paramètres!$A$1:$I$89,3,0)*0.475*44/12</f>
        <v>3.7281821458658373E-10</v>
      </c>
      <c r="DI100" s="22">
        <f t="shared" si="69"/>
        <v>4.5163228768366643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2.2737367544323206E-13</v>
      </c>
      <c r="DP100" s="17">
        <f>DO100*VLOOKUP('Données projet'!$B$14,Paramètres!$A$1:$I$89,3,0)*VLOOKUP('Données projet'!$B$14,Paramètres!$A$1:$I$89,5,0)</f>
        <v>1.0936673788819462E-13</v>
      </c>
      <c r="DQ100" s="13">
        <f t="shared" si="97"/>
        <v>1.6259645746645945E-12</v>
      </c>
      <c r="DR100" s="20">
        <f t="shared" si="70"/>
        <v>3.0223687026961078E-12</v>
      </c>
      <c r="DS100" s="59">
        <f t="shared" si="71"/>
        <v>293.33333333333633</v>
      </c>
      <c r="DT100" s="59">
        <f ca="1">AVERAGE(OFFSET($DS$3,0,0,'Données projet'!$E$14+1,1))-AVERAGE(OFFSET($H$3,0,0,'Données projet'!$E$14+1,1))</f>
        <v>247.11965163963526</v>
      </c>
      <c r="DU100" s="59">
        <f t="shared" si="98"/>
        <v>61.686311966192704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0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4.8</v>
      </c>
      <c r="N101" s="13">
        <f>IF('Données projet'!$A$36&gt;35,N100+M101-V100,IF(A101&lt;'Données projet'!$A$36,$K$205^A101,IF(A101='Données projet'!$A$36,'Données projet'!$B$36,N100+M101-V100)))</f>
        <v>272.39999999999986</v>
      </c>
      <c r="O101" s="13">
        <f>N101*VLOOKUP('Données projet'!$B$9,Paramètres!$A$1:$I$89,3,0)*VLOOKUP('Données projet'!$B$9,Paramètres!$A$1:$I$89,5,0)</f>
        <v>246.46751999999987</v>
      </c>
      <c r="P101" s="13">
        <f t="shared" si="87"/>
        <v>59.828888074216977</v>
      </c>
      <c r="Q101" s="20">
        <f t="shared" si="107"/>
        <v>533.46624406259423</v>
      </c>
      <c r="R101" s="59">
        <f t="shared" si="55"/>
        <v>826.7995773959276</v>
      </c>
      <c r="S101" s="59">
        <f ca="1">AVERAGE(OFFSET($R$3,0,0,'Données projet'!$E$9+1,1))-AVERAGE(OFFSET($H$3,0,0,'Données projet'!$E$9+1,1))</f>
        <v>265.50419397354284</v>
      </c>
      <c r="T101" s="59">
        <f t="shared" si="88"/>
        <v>156.67965022779907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0.86689078980659551</v>
      </c>
      <c r="AA101" s="21">
        <f>EXP(-LN(2)/25)*AA100+(1-EXP(-LN(2)/25))/(LN(2)/25)*Calculateur!V101*Calculateur!X101*VLOOKUP('Données projet'!$B$9,Paramètres!$A$1:$I$89,3,0)*0.475*44/12</f>
        <v>0.63674227428093699</v>
      </c>
      <c r="AB101" s="21">
        <f>EXP(-LN(2)/2)*AB100+(1-EXP(-LN(2)/2))/(LN(2)/2)*V101*Y101*VLOOKUP('Données projet'!$B$9,Paramètres!$A$1:$I$89,3,0)*0.475*44/12</f>
        <v>3.5522511493611801E-10</v>
      </c>
      <c r="AC101" s="22">
        <f t="shared" si="57"/>
        <v>1.5036330644427576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4.8</v>
      </c>
      <c r="AI101" s="13">
        <f>IF('Données projet'!$A$62&gt;35,AI100+AH101-AQ100,IF(A101&lt;'Données projet'!$A$62,$AF$205^A101,IF(A101='Données projet'!$A$62,'Données projet'!$B$62,AI100+AH101-AQ100)))</f>
        <v>272.39999999999986</v>
      </c>
      <c r="AJ101" s="13">
        <f>AI101*VLOOKUP('Données projet'!$B$10,Paramètres!$A$1:$I$89,3,0)*VLOOKUP('Données projet'!$B$10,Paramètres!$A$1:$I$89,5,0)</f>
        <v>276.21359999999987</v>
      </c>
      <c r="AK101" s="13">
        <f t="shared" si="89"/>
        <v>66.166200760877416</v>
      </c>
      <c r="AL101" s="20">
        <f t="shared" si="58"/>
        <v>596.31148632519455</v>
      </c>
      <c r="AM101" s="59">
        <f t="shared" si="59"/>
        <v>889.64481965852792</v>
      </c>
      <c r="AN101" s="59">
        <f ca="1">AVERAGE(OFFSET($AM$3,0,0,'Données projet'!$E$10+1,1))-AVERAGE(OFFSET($H$3,0,0,'Données projet'!$E$10+1,1))</f>
        <v>296.43642006376018</v>
      </c>
      <c r="AO101" s="59">
        <f t="shared" si="90"/>
        <v>179.56041631665812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0.97151554030049514</v>
      </c>
      <c r="AV101" s="21">
        <f>EXP(-LN(2)/25)*AV100+(1-EXP(-LN(2)/25))/(LN(2)/25)*Calculateur!AQ101*Calculateur!AS101*VLOOKUP('Données projet'!$B$10,Paramètres!$A$1:$I$89,3,0)*0.475*44/12</f>
        <v>0.71359047979760193</v>
      </c>
      <c r="AW101" s="21">
        <f>EXP(-LN(2)/2)*AW100+(1-EXP(-LN(2)/2))/(LN(2)/2)*AQ101*AT101*VLOOKUP('Données projet'!$B$10,Paramètres!$A$1:$I$89,3,0)*0.475*44/12</f>
        <v>3.9809711156633928E-10</v>
      </c>
      <c r="AX101" s="21">
        <f t="shared" si="60"/>
        <v>1.6851060204961943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5.6843418860808015E-14</v>
      </c>
      <c r="BE101" s="13">
        <f>BD101*VLOOKUP('Données projet'!$B$11,Paramètres!$A$1:$I$89,3,0)*VLOOKUP('Données projet'!$B$11,Paramètres!$A$1:$I$89,5,0)</f>
        <v>3.813056537183002E-14</v>
      </c>
      <c r="BF101" s="13">
        <f t="shared" si="91"/>
        <v>6.4086286045526829E-13</v>
      </c>
      <c r="BG101" s="20">
        <f t="shared" si="61"/>
        <v>1.1825802166488628E-12</v>
      </c>
      <c r="BH101" s="59">
        <f t="shared" si="62"/>
        <v>293.33333333333451</v>
      </c>
      <c r="BI101" s="59">
        <f ca="1">AVERAGE(OFFSET($BH$3,0,0,'Données projet'!$E$11+1,1))-AVERAGE(OFFSET($H$3,0,0,'Données projet'!$E$11+1,1))</f>
        <v>181.32837315090507</v>
      </c>
      <c r="BJ101" s="59">
        <f t="shared" si="92"/>
        <v>175.03267817980338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1.4244742565963076</v>
      </c>
      <c r="BQ101" s="21">
        <f>EXP(-LN(2)/25)*BQ100+(1-EXP(-LN(2)/25))/(LN(2)/25)*Calculateur!BL101*Calculateur!BN101*VLOOKUP('Données projet'!$B$11,Paramètres!$A$1:$I$89,3,0)*0.475*44/12</f>
        <v>1.0324295475166365</v>
      </c>
      <c r="BR101" s="21">
        <f>EXP(-LN(2)/2)*BR100+(1-EXP(-LN(2)/2))/(LN(2)/2)*BL101*BO101*VLOOKUP('Données projet'!$B$11,Paramètres!$A$1:$I$89,3,0)*0.475*44/12</f>
        <v>6.1752692947224291E-11</v>
      </c>
      <c r="BS101" s="22">
        <f t="shared" si="63"/>
        <v>2.4569038041746967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18.5</v>
      </c>
      <c r="BY101" s="12">
        <f>IF('Données projet'!$A$114&gt;35,BY100+BX101-CG100,IF(A101&lt;'Données projet'!$A$114,$BV$205^A101,IF(A101='Données projet'!$A$114,'Données projet'!$B$114,BY100+BX101-CG100)))</f>
        <v>638.49999999999989</v>
      </c>
      <c r="BZ101" s="13">
        <f>BY101*VLOOKUP('Données projet'!$B$12,Paramètres!$A$1:$I$89,3,0)*VLOOKUP('Données projet'!$B$12,Paramètres!$A$1:$I$89,5,0)</f>
        <v>298.81799999999993</v>
      </c>
      <c r="CA101" s="13">
        <f t="shared" si="93"/>
        <v>70.928613970256563</v>
      </c>
      <c r="CB101" s="20">
        <f t="shared" si="64"/>
        <v>643.97535266486341</v>
      </c>
      <c r="CC101" s="59">
        <f t="shared" si="65"/>
        <v>937.30868599819678</v>
      </c>
      <c r="CD101" s="59">
        <f ca="1">AVERAGE(OFFSET($CC$3,0,0,'Données projet'!$E$12+1,1))-AVERAGE(OFFSET($H$3,0,0,'Données projet'!$E$12+1,1))</f>
        <v>226.0452828290525</v>
      </c>
      <c r="CE101" s="59">
        <f t="shared" si="94"/>
        <v>179.89696397462069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2.3607185215806084</v>
      </c>
      <c r="CL101" s="21">
        <f>EXP(-LN(2)/25)*CL100+(1-EXP(-LN(2)/25))/(LN(2)/25)*Calculateur!CG101*Calculateur!CI101*VLOOKUP('Données projet'!$B$12,Paramètres!$A$1:$I$89,3,0)*0.475*44/12</f>
        <v>1.6924844951694984</v>
      </c>
      <c r="CM101" s="21">
        <f>EXP(-LN(2)/2)*CM100+(1-EXP(-LN(2)/2))/(LN(2)/2)*CG101*CJ101*VLOOKUP('Données projet'!$B$12,Paramètres!$A$1:$I$89,3,0)*0.475*44/12</f>
        <v>6.4279468751037549E-10</v>
      </c>
      <c r="CN101" s="22">
        <f t="shared" si="66"/>
        <v>4.0532030173929012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>
        <f>CT101*VLOOKUP('Données projet'!$B$13,Paramètres!$A$1:$I$89,3,0)*VLOOKUP('Données projet'!$B$13,Paramètres!$A$1:$I$89,5,0)</f>
        <v>0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482.74318690313885</v>
      </c>
      <c r="CZ101" s="59">
        <f t="shared" si="96"/>
        <v>205.57161411620217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2.9855906300226773</v>
      </c>
      <c r="DG101" s="21">
        <f>EXP(-LN(2)/25)*DG100+(1-EXP(-LN(2)/25))/(LN(2)/25)*Calculateur!DB101*Calculateur!DD101*VLOOKUP('Données projet'!$B$13,Paramètres!$A$1:$I$89,3,0)*0.475*44/12</f>
        <v>1.4307906290418564</v>
      </c>
      <c r="DH101" s="21">
        <f>EXP(-LN(2)/2)*DH100+(1-EXP(-LN(2)/2))/(LN(2)/2)*DB101*DE101*VLOOKUP('Données projet'!$B$13,Paramètres!$A$1:$I$89,3,0)*0.475*44/12</f>
        <v>2.6362228768403478E-10</v>
      </c>
      <c r="DI101" s="22">
        <f t="shared" si="69"/>
        <v>4.4163812593281557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2.2737367544323206E-13</v>
      </c>
      <c r="DP101" s="17">
        <f>DO101*VLOOKUP('Données projet'!$B$14,Paramètres!$A$1:$I$89,3,0)*VLOOKUP('Données projet'!$B$14,Paramètres!$A$1:$I$89,5,0)</f>
        <v>1.0936673788819462E-13</v>
      </c>
      <c r="DQ101" s="13">
        <f t="shared" si="97"/>
        <v>1.6259645746645945E-12</v>
      </c>
      <c r="DR101" s="20">
        <f t="shared" si="70"/>
        <v>3.0223687026961078E-12</v>
      </c>
      <c r="DS101" s="59">
        <f t="shared" si="71"/>
        <v>293.33333333333633</v>
      </c>
      <c r="DT101" s="59">
        <f ca="1">AVERAGE(OFFSET($DS$3,0,0,'Données projet'!$E$14+1,1))-AVERAGE(OFFSET($H$3,0,0,'Données projet'!$E$14+1,1))</f>
        <v>247.11965163963526</v>
      </c>
      <c r="DU101" s="59">
        <f t="shared" si="98"/>
        <v>61.686311966192704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0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4.8</v>
      </c>
      <c r="N102" s="13">
        <f>IF('Données projet'!$A$36&gt;35,N101+M102-V101,IF(A102&lt;'Données projet'!$A$36,$K$205^A102,IF(A102='Données projet'!$A$36,'Données projet'!$B$36,N101+M102-V101)))</f>
        <v>277.19999999999987</v>
      </c>
      <c r="O102" s="13">
        <f>N102*VLOOKUP('Données projet'!$B$9,Paramètres!$A$1:$I$89,3,0)*VLOOKUP('Données projet'!$B$9,Paramètres!$A$1:$I$89,5,0)</f>
        <v>250.8105599999999</v>
      </c>
      <c r="P102" s="13">
        <f t="shared" si="87"/>
        <v>60.75947736410869</v>
      </c>
      <c r="Q102" s="20">
        <f t="shared" si="107"/>
        <v>542.65114840915578</v>
      </c>
      <c r="R102" s="59">
        <f t="shared" si="55"/>
        <v>835.98448174248915</v>
      </c>
      <c r="S102" s="59">
        <f ca="1">AVERAGE(OFFSET($R$3,0,0,'Données projet'!$E$9+1,1))-AVERAGE(OFFSET($H$3,0,0,'Données projet'!$E$9+1,1))</f>
        <v>265.50419397354284</v>
      </c>
      <c r="T102" s="59">
        <f t="shared" si="88"/>
        <v>156.67965022779907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0.84989159016966009</v>
      </c>
      <c r="AA102" s="21">
        <f>EXP(-LN(2)/25)*AA101+(1-EXP(-LN(2)/25))/(LN(2)/25)*Calculateur!V102*Calculateur!X102*VLOOKUP('Données projet'!$B$9,Paramètres!$A$1:$I$89,3,0)*0.475*44/12</f>
        <v>0.61933052330590388</v>
      </c>
      <c r="AB102" s="21">
        <f>EXP(-LN(2)/2)*AB101+(1-EXP(-LN(2)/2))/(LN(2)/2)*V102*Y102*VLOOKUP('Données projet'!$B$9,Paramètres!$A$1:$I$89,3,0)*0.475*44/12</f>
        <v>2.5118208761909979E-10</v>
      </c>
      <c r="AC102" s="22">
        <f t="shared" si="57"/>
        <v>1.469222113726746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4.8</v>
      </c>
      <c r="AI102" s="13">
        <f>IF('Données projet'!$A$62&gt;35,AI101+AH102-AQ101,IF(A102&lt;'Données projet'!$A$62,$AF$205^A102,IF(A102='Données projet'!$A$62,'Données projet'!$B$62,AI101+AH102-AQ101)))</f>
        <v>277.19999999999987</v>
      </c>
      <c r="AJ102" s="13">
        <f>AI102*VLOOKUP('Données projet'!$B$10,Paramètres!$A$1:$I$89,3,0)*VLOOKUP('Données projet'!$B$10,Paramètres!$A$1:$I$89,5,0)</f>
        <v>281.0807999999999</v>
      </c>
      <c r="AK102" s="13">
        <f t="shared" si="89"/>
        <v>67.19536175254612</v>
      </c>
      <c r="AL102" s="20">
        <f t="shared" si="58"/>
        <v>606.58098171901759</v>
      </c>
      <c r="AM102" s="59">
        <f t="shared" si="59"/>
        <v>899.91431505235096</v>
      </c>
      <c r="AN102" s="59">
        <f ca="1">AVERAGE(OFFSET($AM$3,0,0,'Données projet'!$E$10+1,1))-AVERAGE(OFFSET($H$3,0,0,'Données projet'!$E$10+1,1))</f>
        <v>296.43642006376018</v>
      </c>
      <c r="AO102" s="59">
        <f t="shared" si="90"/>
        <v>179.56041631665812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0.95246471312117098</v>
      </c>
      <c r="AV102" s="21">
        <f>EXP(-LN(2)/25)*AV101+(1-EXP(-LN(2)/25))/(LN(2)/25)*Calculateur!AQ102*Calculateur!AS102*VLOOKUP('Données projet'!$B$10,Paramètres!$A$1:$I$89,3,0)*0.475*44/12</f>
        <v>0.69407731060144406</v>
      </c>
      <c r="AW102" s="21">
        <f>EXP(-LN(2)/2)*AW101+(1-EXP(-LN(2)/2))/(LN(2)/2)*AQ102*AT102*VLOOKUP('Données projet'!$B$10,Paramètres!$A$1:$I$89,3,0)*0.475*44/12</f>
        <v>2.8149716715933606E-10</v>
      </c>
      <c r="AX102" s="21">
        <f t="shared" si="60"/>
        <v>1.6465420240041124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5.6843418860808015E-14</v>
      </c>
      <c r="BE102" s="13">
        <f>BD102*VLOOKUP('Données projet'!$B$11,Paramètres!$A$1:$I$89,3,0)*VLOOKUP('Données projet'!$B$11,Paramètres!$A$1:$I$89,5,0)</f>
        <v>3.813056537183002E-14</v>
      </c>
      <c r="BF102" s="13">
        <f t="shared" si="91"/>
        <v>6.4086286045526829E-13</v>
      </c>
      <c r="BG102" s="20">
        <f t="shared" si="61"/>
        <v>1.1825802166488628E-12</v>
      </c>
      <c r="BH102" s="59">
        <f t="shared" si="62"/>
        <v>293.33333333333451</v>
      </c>
      <c r="BI102" s="59">
        <f ca="1">AVERAGE(OFFSET($BH$3,0,0,'Données projet'!$E$11+1,1))-AVERAGE(OFFSET($H$3,0,0,'Données projet'!$E$11+1,1))</f>
        <v>181.32837315090507</v>
      </c>
      <c r="BJ102" s="59">
        <f t="shared" si="92"/>
        <v>175.03267817980338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1.3965411852679592</v>
      </c>
      <c r="BQ102" s="21">
        <f>EXP(-LN(2)/25)*BQ101+(1-EXP(-LN(2)/25))/(LN(2)/25)*Calculateur!BL102*Calculateur!BN102*VLOOKUP('Données projet'!$B$11,Paramètres!$A$1:$I$89,3,0)*0.475*44/12</f>
        <v>1.0041977072466839</v>
      </c>
      <c r="BR102" s="21">
        <f>EXP(-LN(2)/2)*BR101+(1-EXP(-LN(2)/2))/(LN(2)/2)*BL102*BO102*VLOOKUP('Données projet'!$B$11,Paramètres!$A$1:$I$89,3,0)*0.475*44/12</f>
        <v>4.3665747939512984E-11</v>
      </c>
      <c r="BS102" s="22">
        <f t="shared" si="63"/>
        <v>2.4007388925583091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18.5</v>
      </c>
      <c r="BY102" s="12">
        <f>IF('Données projet'!$A$114&gt;35,BY101+BX102-CG101,IF(A102&lt;'Données projet'!$A$114,$BV$205^A102,IF(A102='Données projet'!$A$114,'Données projet'!$B$114,BY101+BX102-CG101)))</f>
        <v>656.99999999999989</v>
      </c>
      <c r="BZ102" s="13">
        <f>BY102*VLOOKUP('Données projet'!$B$12,Paramètres!$A$1:$I$89,3,0)*VLOOKUP('Données projet'!$B$12,Paramètres!$A$1:$I$89,5,0)</f>
        <v>307.47599999999994</v>
      </c>
      <c r="CA102" s="13">
        <f t="shared" si="93"/>
        <v>72.741467976269988</v>
      </c>
      <c r="CB102" s="20">
        <f t="shared" si="64"/>
        <v>662.21209005867013</v>
      </c>
      <c r="CC102" s="59">
        <f t="shared" si="65"/>
        <v>955.54542339200339</v>
      </c>
      <c r="CD102" s="59">
        <f ca="1">AVERAGE(OFFSET($CC$3,0,0,'Données projet'!$E$12+1,1))-AVERAGE(OFFSET($H$3,0,0,'Données projet'!$E$12+1,1))</f>
        <v>226.0452828290525</v>
      </c>
      <c r="CE102" s="59">
        <f t="shared" si="94"/>
        <v>179.89696397462069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2.3144262712685331</v>
      </c>
      <c r="CL102" s="21">
        <f>EXP(-LN(2)/25)*CL101+(1-EXP(-LN(2)/25))/(LN(2)/25)*Calculateur!CG102*Calculateur!CI102*VLOOKUP('Données projet'!$B$12,Paramètres!$A$1:$I$89,3,0)*0.475*44/12</f>
        <v>1.6462034176451972</v>
      </c>
      <c r="CM102" s="21">
        <f>EXP(-LN(2)/2)*CM101+(1-EXP(-LN(2)/2))/(LN(2)/2)*CG102*CJ102*VLOOKUP('Données projet'!$B$12,Paramètres!$A$1:$I$89,3,0)*0.475*44/12</f>
        <v>4.545244824492743E-10</v>
      </c>
      <c r="CN102" s="22">
        <f t="shared" si="66"/>
        <v>3.9606296893682549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>
        <f>CT102*VLOOKUP('Données projet'!$B$13,Paramètres!$A$1:$I$89,3,0)*VLOOKUP('Données projet'!$B$13,Paramètres!$A$1:$I$89,5,0)</f>
        <v>0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482.74318690313885</v>
      </c>
      <c r="CZ102" s="59">
        <f t="shared" si="96"/>
        <v>205.57161411620217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2.9270450187984052</v>
      </c>
      <c r="DG102" s="21">
        <f>EXP(-LN(2)/25)*DG101+(1-EXP(-LN(2)/25))/(LN(2)/25)*Calculateur!DB102*Calculateur!DD102*VLOOKUP('Données projet'!$B$13,Paramètres!$A$1:$I$89,3,0)*0.475*44/12</f>
        <v>1.3916655840486978</v>
      </c>
      <c r="DH102" s="21">
        <f>EXP(-LN(2)/2)*DH101+(1-EXP(-LN(2)/2))/(LN(2)/2)*DB102*DE102*VLOOKUP('Données projet'!$B$13,Paramètres!$A$1:$I$89,3,0)*0.475*44/12</f>
        <v>1.8640910729329187E-10</v>
      </c>
      <c r="DI102" s="22">
        <f t="shared" si="69"/>
        <v>4.3187106030335123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2.2737367544323206E-13</v>
      </c>
      <c r="DP102" s="17">
        <f>DO102*VLOOKUP('Données projet'!$B$14,Paramètres!$A$1:$I$89,3,0)*VLOOKUP('Données projet'!$B$14,Paramètres!$A$1:$I$89,5,0)</f>
        <v>1.0936673788819462E-13</v>
      </c>
      <c r="DQ102" s="13">
        <f t="shared" si="97"/>
        <v>1.6259645746645945E-12</v>
      </c>
      <c r="DR102" s="20">
        <f t="shared" si="70"/>
        <v>3.0223687026961078E-12</v>
      </c>
      <c r="DS102" s="59">
        <f t="shared" si="71"/>
        <v>293.33333333333633</v>
      </c>
      <c r="DT102" s="59">
        <f ca="1">AVERAGE(OFFSET($DS$3,0,0,'Données projet'!$E$14+1,1))-AVERAGE(OFFSET($H$3,0,0,'Données projet'!$E$14+1,1))</f>
        <v>247.11965163963526</v>
      </c>
      <c r="DU102" s="59">
        <f t="shared" si="98"/>
        <v>61.686311966192704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0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282</v>
      </c>
      <c r="L103" s="12">
        <f>VLOOKUP(A103,'Données projet'!$A$35:$I$55,9,0)</f>
        <v>4.8</v>
      </c>
      <c r="M103" s="12">
        <f t="array" ref="M103">INDEX(L:L,MIN(IF(ISNUMBER(L103:L299),ROW(L103:L299),"")))</f>
        <v>4.8</v>
      </c>
      <c r="N103" s="13">
        <f>IF('Données projet'!$A$36&gt;35,N102+M103-V102,IF(A103&lt;'Données projet'!$A$36,$K$205^A103,IF(A103='Données projet'!$A$36,'Données projet'!$B$36,N102+M103-V102)))</f>
        <v>281.99999999999989</v>
      </c>
      <c r="O103" s="13">
        <f>N103*VLOOKUP('Données projet'!$B$9,Paramètres!$A$1:$I$89,3,0)*VLOOKUP('Données projet'!$B$9,Paramètres!$A$1:$I$89,5,0)</f>
        <v>255.15359999999987</v>
      </c>
      <c r="P103" s="13">
        <f t="shared" si="87"/>
        <v>61.688192762754376</v>
      </c>
      <c r="Q103" s="20">
        <f t="shared" si="107"/>
        <v>551.83278906179692</v>
      </c>
      <c r="R103" s="59">
        <f t="shared" si="55"/>
        <v>845.16612239513029</v>
      </c>
      <c r="S103" s="59">
        <f ca="1">AVERAGE(OFFSET($R$3,0,0,'Données projet'!$E$9+1,1))-AVERAGE(OFFSET($H$3,0,0,'Données projet'!$E$9+1,1))</f>
        <v>265.50419397354284</v>
      </c>
      <c r="T103" s="59">
        <f t="shared" si="88"/>
        <v>156.67965022779907</v>
      </c>
      <c r="U103" s="15">
        <f>IF(ISNA(VLOOKUP(A103,'Données projet'!$A$35:$I$55,3,0)),0,VLOOKUP(A103,'Données projet'!$A$35:$I$55,3,0))</f>
        <v>17</v>
      </c>
      <c r="V103" s="15">
        <f>IF(ISNA(VLOOKUP(A103,'Données projet'!$A$35:$I$55,4,0)),0,VLOOKUP(A103,'Données projet'!$A$35:$I$55,4,0))</f>
        <v>21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0.83322573446911707</v>
      </c>
      <c r="AA103" s="21">
        <f>EXP(-LN(2)/25)*AA102+(1-EXP(-LN(2)/25))/(LN(2)/25)*Calculateur!V103*Calculateur!X103*VLOOKUP('Données projet'!$B$9,Paramètres!$A$1:$I$89,3,0)*0.475*44/12</f>
        <v>0.60239489757692721</v>
      </c>
      <c r="AB103" s="21">
        <f>EXP(-LN(2)/2)*AB102+(1-EXP(-LN(2)/2))/(LN(2)/2)*V103*Y103*VLOOKUP('Données projet'!$B$9,Paramètres!$A$1:$I$89,3,0)*0.475*44/12</f>
        <v>1.77612557468059E-10</v>
      </c>
      <c r="AC103" s="22">
        <f t="shared" si="57"/>
        <v>1.4356206322236569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282</v>
      </c>
      <c r="AG103" s="12">
        <f>VLOOKUP(A103,'Données projet'!$A$61:$I$81,9,0)</f>
        <v>4.8</v>
      </c>
      <c r="AH103" s="12">
        <f t="array" ref="AH103">INDEX(AG:AG,MIN(IF(ISNUMBER(AG103:AG299),ROW(AG103:AG299),"")))</f>
        <v>4.8</v>
      </c>
      <c r="AI103" s="13">
        <f>IF('Données projet'!$A$62&gt;35,AI102+AH103-AQ102,IF(A103&lt;'Données projet'!$A$62,$AF$205^A103,IF(A103='Données projet'!$A$62,'Données projet'!$B$62,AI102+AH103-AQ102)))</f>
        <v>281.99999999999989</v>
      </c>
      <c r="AJ103" s="13">
        <f>AI103*VLOOKUP('Données projet'!$B$10,Paramètres!$A$1:$I$89,3,0)*VLOOKUP('Données projet'!$B$10,Paramètres!$A$1:$I$89,5,0)</f>
        <v>285.94799999999992</v>
      </c>
      <c r="AK103" s="13">
        <f t="shared" si="89"/>
        <v>68.222450362989363</v>
      </c>
      <c r="AL103" s="20">
        <f t="shared" si="58"/>
        <v>616.84686771553959</v>
      </c>
      <c r="AM103" s="59">
        <f t="shared" si="59"/>
        <v>910.18020104887296</v>
      </c>
      <c r="AN103" s="59">
        <f ca="1">AVERAGE(OFFSET($AM$3,0,0,'Données projet'!$E$10+1,1))-AVERAGE(OFFSET($H$3,0,0,'Données projet'!$E$10+1,1))</f>
        <v>296.43642006376018</v>
      </c>
      <c r="AO103" s="59">
        <f t="shared" si="90"/>
        <v>179.56041631665812</v>
      </c>
      <c r="AP103" s="15">
        <f>IF(ISNA(VLOOKUP(A103,'Données projet'!$A$61:$I$81,3,0)),0,VLOOKUP(A103,'Données projet'!$A$61:$I$81,3,0))</f>
        <v>17</v>
      </c>
      <c r="AQ103" s="15">
        <f>IF(ISNA(VLOOKUP(A103,'Données projet'!$A$61:$I$81,4,0)),0,VLOOKUP(A103,'Données projet'!$A$61:$I$81,4,0))</f>
        <v>21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0.93378746104297616</v>
      </c>
      <c r="AV103" s="21">
        <f>EXP(-LN(2)/25)*AV102+(1-EXP(-LN(2)/25))/(LN(2)/25)*Calculateur!AQ103*Calculateur!AS103*VLOOKUP('Données projet'!$B$10,Paramètres!$A$1:$I$89,3,0)*0.475*44/12</f>
        <v>0.67509773004310814</v>
      </c>
      <c r="AW103" s="21">
        <f>EXP(-LN(2)/2)*AW102+(1-EXP(-LN(2)/2))/(LN(2)/2)*AQ103*AT103*VLOOKUP('Données projet'!$B$10,Paramètres!$A$1:$I$89,3,0)*0.475*44/12</f>
        <v>1.9904855578316964E-10</v>
      </c>
      <c r="AX103" s="21">
        <f t="shared" si="60"/>
        <v>1.6088851912851327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5.6843418860808015E-14</v>
      </c>
      <c r="BE103" s="13">
        <f>BD103*VLOOKUP('Données projet'!$B$11,Paramètres!$A$1:$I$89,3,0)*VLOOKUP('Données projet'!$B$11,Paramètres!$A$1:$I$89,5,0)</f>
        <v>3.813056537183002E-14</v>
      </c>
      <c r="BF103" s="13">
        <f t="shared" si="91"/>
        <v>6.4086286045526829E-13</v>
      </c>
      <c r="BG103" s="20">
        <f t="shared" si="61"/>
        <v>1.1825802166488628E-12</v>
      </c>
      <c r="BH103" s="59">
        <f t="shared" si="62"/>
        <v>293.33333333333451</v>
      </c>
      <c r="BI103" s="59">
        <f ca="1">AVERAGE(OFFSET($BH$3,0,0,'Données projet'!$E$11+1,1))-AVERAGE(OFFSET($H$3,0,0,'Données projet'!$E$11+1,1))</f>
        <v>181.32837315090507</v>
      </c>
      <c r="BJ103" s="59">
        <f t="shared" si="92"/>
        <v>175.03267817980338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1.3691558644308688</v>
      </c>
      <c r="BQ103" s="21">
        <f>EXP(-LN(2)/25)*BQ102+(1-EXP(-LN(2)/25))/(LN(2)/25)*Calculateur!BL103*Calculateur!BN103*VLOOKUP('Données projet'!$B$11,Paramètres!$A$1:$I$89,3,0)*0.475*44/12</f>
        <v>0.976737868133561</v>
      </c>
      <c r="BR103" s="21">
        <f>EXP(-LN(2)/2)*BR102+(1-EXP(-LN(2)/2))/(LN(2)/2)*BL103*BO103*VLOOKUP('Données projet'!$B$11,Paramètres!$A$1:$I$89,3,0)*0.475*44/12</f>
        <v>3.0876346473612145E-11</v>
      </c>
      <c r="BS103" s="22">
        <f t="shared" si="63"/>
        <v>2.345893732595306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675.5</v>
      </c>
      <c r="BW103" s="12">
        <f>VLOOKUP(A103,'Données projet'!$A$113:$I$133,9,0)</f>
        <v>18.5</v>
      </c>
      <c r="BX103" s="12">
        <f t="array" ref="BX103">INDEX(BW:BW,MIN(IF(ISNUMBER(BW103:BW299),ROW(BW103:BW299),"")))</f>
        <v>18.5</v>
      </c>
      <c r="BY103" s="12">
        <f>IF('Données projet'!$A$114&gt;35,BY102+BX103-CG102,IF(A103&lt;'Données projet'!$A$114,$BV$205^A103,IF(A103='Données projet'!$A$114,'Données projet'!$B$114,BY102+BX103-CG102)))</f>
        <v>675.49999999999989</v>
      </c>
      <c r="BZ103" s="13">
        <f>BY103*VLOOKUP('Données projet'!$B$12,Paramètres!$A$1:$I$89,3,0)*VLOOKUP('Données projet'!$B$12,Paramètres!$A$1:$I$89,5,0)</f>
        <v>316.13399999999996</v>
      </c>
      <c r="CA103" s="13">
        <f t="shared" si="93"/>
        <v>74.548389024136753</v>
      </c>
      <c r="CB103" s="20">
        <f t="shared" si="64"/>
        <v>680.43849421703806</v>
      </c>
      <c r="CC103" s="59">
        <f t="shared" si="65"/>
        <v>973.77182755037143</v>
      </c>
      <c r="CD103" s="59">
        <f ca="1">AVERAGE(OFFSET($CC$3,0,0,'Données projet'!$E$12+1,1))-AVERAGE(OFFSET($H$3,0,0,'Données projet'!$E$12+1,1))</f>
        <v>226.0452828290525</v>
      </c>
      <c r="CE103" s="59">
        <f t="shared" si="94"/>
        <v>179.89696397462069</v>
      </c>
      <c r="CF103" s="15">
        <f>IF(ISNA(VLOOKUP(A103,'Données projet'!$A$113:$I$133,3,0)),0,VLOOKUP(A103,'Données projet'!$A$113:$I$133,3,0))</f>
        <v>9</v>
      </c>
      <c r="CG103" s="15">
        <f>IF(ISNA(VLOOKUP(A103,'Données projet'!$A$113:$I$133,4,0)),0,VLOOKUP(A103,'Données projet'!$A$113:$I$133,4,0))</f>
        <v>101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2.2690417837495929</v>
      </c>
      <c r="CL103" s="21">
        <f>EXP(-LN(2)/25)*CL102+(1-EXP(-LN(2)/25))/(LN(2)/25)*Calculateur!CG103*Calculateur!CI103*VLOOKUP('Données projet'!$B$12,Paramètres!$A$1:$I$89,3,0)*0.475*44/12</f>
        <v>1.601187898619614</v>
      </c>
      <c r="CM103" s="21">
        <f>EXP(-LN(2)/2)*CM102+(1-EXP(-LN(2)/2))/(LN(2)/2)*CG103*CJ103*VLOOKUP('Données projet'!$B$12,Paramètres!$A$1:$I$89,3,0)*0.475*44/12</f>
        <v>3.213973437551878E-10</v>
      </c>
      <c r="CN103" s="22">
        <f t="shared" si="66"/>
        <v>3.8702296826906037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>
        <f>CT103*VLOOKUP('Données projet'!$B$13,Paramètres!$A$1:$I$89,3,0)*VLOOKUP('Données projet'!$B$13,Paramètres!$A$1:$I$89,5,0)</f>
        <v>0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482.74318690313885</v>
      </c>
      <c r="CZ103" s="59">
        <f t="shared" si="96"/>
        <v>205.57161411620217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2.8696474513009442</v>
      </c>
      <c r="DG103" s="21">
        <f>EXP(-LN(2)/25)*DG102+(1-EXP(-LN(2)/25))/(LN(2)/25)*Calculateur!DB103*Calculateur!DD103*VLOOKUP('Données projet'!$B$13,Paramètres!$A$1:$I$89,3,0)*0.475*44/12</f>
        <v>1.3536104154683737</v>
      </c>
      <c r="DH103" s="21">
        <f>EXP(-LN(2)/2)*DH102+(1-EXP(-LN(2)/2))/(LN(2)/2)*DB103*DE103*VLOOKUP('Données projet'!$B$13,Paramètres!$A$1:$I$89,3,0)*0.475*44/12</f>
        <v>1.3181114384201739E-10</v>
      </c>
      <c r="DI103" s="22">
        <f t="shared" si="69"/>
        <v>4.2232578669011289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2.2737367544323206E-13</v>
      </c>
      <c r="DP103" s="17">
        <f>DO103*VLOOKUP('Données projet'!$B$14,Paramètres!$A$1:$I$89,3,0)*VLOOKUP('Données projet'!$B$14,Paramètres!$A$1:$I$89,5,0)</f>
        <v>1.0936673788819462E-13</v>
      </c>
      <c r="DQ103" s="13">
        <f t="shared" si="97"/>
        <v>1.6259645746645945E-12</v>
      </c>
      <c r="DR103" s="20">
        <f t="shared" si="70"/>
        <v>3.0223687026961078E-12</v>
      </c>
      <c r="DS103" s="59">
        <f t="shared" si="71"/>
        <v>293.33333333333633</v>
      </c>
      <c r="DT103" s="59">
        <f ca="1">AVERAGE(OFFSET($DS$3,0,0,'Données projet'!$E$14+1,1))-AVERAGE(OFFSET($H$3,0,0,'Données projet'!$E$14+1,1))</f>
        <v>247.11965163963526</v>
      </c>
      <c r="DU103" s="59">
        <f t="shared" si="98"/>
        <v>61.686311966192704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0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4.5999999999999996</v>
      </c>
      <c r="N104" s="13">
        <f>IF('Données projet'!$A$36&gt;35,N103+M104-V103,IF(A104&lt;'Données projet'!$A$36,$K$205^A104,IF(A104='Données projet'!$A$36,'Données projet'!$B$36,N103+M104-V103)))</f>
        <v>265.59999999999991</v>
      </c>
      <c r="O104" s="13">
        <f>N104*VLOOKUP('Données projet'!$B$9,Paramètres!$A$1:$I$89,3,0)*VLOOKUP('Données projet'!$B$9,Paramètres!$A$1:$I$89,5,0)</f>
        <v>240.31487999999993</v>
      </c>
      <c r="P104" s="13">
        <f t="shared" si="87"/>
        <v>58.50727327751612</v>
      </c>
      <c r="Q104" s="20">
        <f t="shared" si="107"/>
        <v>520.44858362500713</v>
      </c>
      <c r="R104" s="59">
        <f t="shared" si="55"/>
        <v>813.78191695834039</v>
      </c>
      <c r="S104" s="59">
        <f ca="1">AVERAGE(OFFSET($R$3,0,0,'Données projet'!$E$9+1,1))-AVERAGE(OFFSET($H$3,0,0,'Données projet'!$E$9+1,1))</f>
        <v>265.50419397354284</v>
      </c>
      <c r="T104" s="59">
        <f t="shared" si="88"/>
        <v>156.67965022779907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0.81688668603369341</v>
      </c>
      <c r="AA104" s="21">
        <f>EXP(-LN(2)/25)*AA103+(1-EXP(-LN(2)/25))/(LN(2)/25)*Calculateur!V104*Calculateur!X104*VLOOKUP('Données projet'!$B$9,Paramètres!$A$1:$I$89,3,0)*0.475*44/12</f>
        <v>0.58592237742411524</v>
      </c>
      <c r="AB104" s="21">
        <f>EXP(-LN(2)/2)*AB103+(1-EXP(-LN(2)/2))/(LN(2)/2)*V104*Y104*VLOOKUP('Données projet'!$B$9,Paramètres!$A$1:$I$89,3,0)*0.475*44/12</f>
        <v>1.2559104380954989E-10</v>
      </c>
      <c r="AC104" s="22">
        <f t="shared" si="57"/>
        <v>1.4028090635833999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4.5999999999999996</v>
      </c>
      <c r="AI104" s="13">
        <f>IF('Données projet'!$A$62&gt;35,AI103+AH104-AQ103,IF(A104&lt;'Données projet'!$A$62,$AF$205^A104,IF(A104='Données projet'!$A$62,'Données projet'!$B$62,AI103+AH104-AQ103)))</f>
        <v>265.59999999999991</v>
      </c>
      <c r="AJ104" s="13">
        <f>AI104*VLOOKUP('Données projet'!$B$10,Paramètres!$A$1:$I$89,3,0)*VLOOKUP('Données projet'!$B$10,Paramètres!$A$1:$I$89,5,0)</f>
        <v>269.31839999999994</v>
      </c>
      <c r="AK104" s="13">
        <f t="shared" si="89"/>
        <v>64.70459529265311</v>
      </c>
      <c r="AL104" s="20">
        <f t="shared" si="58"/>
        <v>581.75671680137077</v>
      </c>
      <c r="AM104" s="59">
        <f t="shared" si="59"/>
        <v>875.09005013470414</v>
      </c>
      <c r="AN104" s="59">
        <f ca="1">AVERAGE(OFFSET($AM$3,0,0,'Données projet'!$E$10+1,1))-AVERAGE(OFFSET($H$3,0,0,'Données projet'!$E$10+1,1))</f>
        <v>296.43642006376018</v>
      </c>
      <c r="AO104" s="59">
        <f t="shared" si="90"/>
        <v>179.56041631665812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0.91547645848603587</v>
      </c>
      <c r="AV104" s="21">
        <f>EXP(-LN(2)/25)*AV103+(1-EXP(-LN(2)/25))/(LN(2)/25)*Calculateur!AQ104*Calculateur!AS104*VLOOKUP('Données projet'!$B$10,Paramètres!$A$1:$I$89,3,0)*0.475*44/12</f>
        <v>0.65663714711323262</v>
      </c>
      <c r="AW104" s="21">
        <f>EXP(-LN(2)/2)*AW103+(1-EXP(-LN(2)/2))/(LN(2)/2)*AQ104*AT104*VLOOKUP('Données projet'!$B$10,Paramètres!$A$1:$I$89,3,0)*0.475*44/12</f>
        <v>1.4074858357966803E-10</v>
      </c>
      <c r="AX104" s="21">
        <f t="shared" si="60"/>
        <v>1.5721136057400169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5.6843418860808015E-14</v>
      </c>
      <c r="BE104" s="13">
        <f>BD104*VLOOKUP('Données projet'!$B$11,Paramètres!$A$1:$I$89,3,0)*VLOOKUP('Données projet'!$B$11,Paramètres!$A$1:$I$89,5,0)</f>
        <v>3.813056537183002E-14</v>
      </c>
      <c r="BF104" s="13">
        <f t="shared" si="91"/>
        <v>6.4086286045526829E-13</v>
      </c>
      <c r="BG104" s="20">
        <f t="shared" si="61"/>
        <v>1.1825802166488628E-12</v>
      </c>
      <c r="BH104" s="59">
        <f t="shared" si="62"/>
        <v>293.33333333333451</v>
      </c>
      <c r="BI104" s="59">
        <f ca="1">AVERAGE(OFFSET($BH$3,0,0,'Données projet'!$E$11+1,1))-AVERAGE(OFFSET($H$3,0,0,'Données projet'!$E$11+1,1))</f>
        <v>181.32837315090507</v>
      </c>
      <c r="BJ104" s="59">
        <f t="shared" si="92"/>
        <v>175.03267817980338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1.3423075530319972</v>
      </c>
      <c r="BQ104" s="21">
        <f>EXP(-LN(2)/25)*BQ103+(1-EXP(-LN(2)/25))/(LN(2)/25)*Calculateur!BL104*Calculateur!BN104*VLOOKUP('Données projet'!$B$11,Paramètres!$A$1:$I$89,3,0)*0.475*44/12</f>
        <v>0.95002891976503667</v>
      </c>
      <c r="BR104" s="21">
        <f>EXP(-LN(2)/2)*BR103+(1-EXP(-LN(2)/2))/(LN(2)/2)*BL104*BO104*VLOOKUP('Données projet'!$B$11,Paramètres!$A$1:$I$89,3,0)*0.475*44/12</f>
        <v>2.1832873969756492E-11</v>
      </c>
      <c r="BS104" s="22">
        <f t="shared" si="63"/>
        <v>2.2923364728188669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574.49999999999989</v>
      </c>
      <c r="BZ104" s="13">
        <f>BY104*VLOOKUP('Données projet'!$B$12,Paramètres!$A$1:$I$89,3,0)*VLOOKUP('Données projet'!$B$12,Paramètres!$A$1:$I$89,5,0)</f>
        <v>268.86599999999999</v>
      </c>
      <c r="CA104" s="13">
        <f t="shared" si="93"/>
        <v>64.608546947682441</v>
      </c>
      <c r="CB104" s="20">
        <f t="shared" si="64"/>
        <v>580.80150260054677</v>
      </c>
      <c r="CC104" s="59">
        <f t="shared" si="65"/>
        <v>874.13483593388014</v>
      </c>
      <c r="CD104" s="59">
        <f ca="1">AVERAGE(OFFSET($CC$3,0,0,'Données projet'!$E$12+1,1))-AVERAGE(OFFSET($H$3,0,0,'Données projet'!$E$12+1,1))</f>
        <v>226.0452828290525</v>
      </c>
      <c r="CE104" s="59">
        <f t="shared" si="94"/>
        <v>179.89696397462069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2.2245472583490948</v>
      </c>
      <c r="CL104" s="21">
        <f>EXP(-LN(2)/25)*CL103+(1-EXP(-LN(2)/25))/(LN(2)/25)*Calculateur!CG104*Calculateur!CI104*VLOOKUP('Données projet'!$B$12,Paramètres!$A$1:$I$89,3,0)*0.475*44/12</f>
        <v>1.5574033313290485</v>
      </c>
      <c r="CM104" s="21">
        <f>EXP(-LN(2)/2)*CM103+(1-EXP(-LN(2)/2))/(LN(2)/2)*CG104*CJ104*VLOOKUP('Données projet'!$B$12,Paramètres!$A$1:$I$89,3,0)*0.475*44/12</f>
        <v>2.272622412246372E-10</v>
      </c>
      <c r="CN104" s="22">
        <f t="shared" si="66"/>
        <v>3.7819505899054056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482.74318690313885</v>
      </c>
      <c r="CZ104" s="59">
        <f t="shared" si="96"/>
        <v>205.57161411620217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2.813375415093049</v>
      </c>
      <c r="DG104" s="21">
        <f>EXP(-LN(2)/25)*DG103+(1-EXP(-LN(2)/25))/(LN(2)/25)*Calculateur!DB104*Calculateur!DD104*VLOOKUP('Données projet'!$B$13,Paramètres!$A$1:$I$89,3,0)*0.475*44/12</f>
        <v>1.3165958674741129</v>
      </c>
      <c r="DH104" s="21">
        <f>EXP(-LN(2)/2)*DH103+(1-EXP(-LN(2)/2))/(LN(2)/2)*DB104*DE104*VLOOKUP('Données projet'!$B$13,Paramètres!$A$1:$I$89,3,0)*0.475*44/12</f>
        <v>9.3204553646645933E-11</v>
      </c>
      <c r="DI104" s="22">
        <f t="shared" si="69"/>
        <v>4.1299712826603665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2.2737367544323206E-13</v>
      </c>
      <c r="DP104" s="17">
        <f>DO104*VLOOKUP('Données projet'!$B$14,Paramètres!$A$1:$I$89,3,0)*VLOOKUP('Données projet'!$B$14,Paramètres!$A$1:$I$89,5,0)</f>
        <v>1.0936673788819462E-13</v>
      </c>
      <c r="DQ104" s="13">
        <f t="shared" si="97"/>
        <v>1.6259645746645945E-12</v>
      </c>
      <c r="DR104" s="20">
        <f t="shared" si="70"/>
        <v>3.0223687026961078E-12</v>
      </c>
      <c r="DS104" s="59">
        <f t="shared" si="71"/>
        <v>293.33333333333633</v>
      </c>
      <c r="DT104" s="59">
        <f ca="1">AVERAGE(OFFSET($DS$3,0,0,'Données projet'!$E$14+1,1))-AVERAGE(OFFSET($H$3,0,0,'Données projet'!$E$14+1,1))</f>
        <v>247.11965163963526</v>
      </c>
      <c r="DU104" s="59">
        <f t="shared" si="98"/>
        <v>61.686311966192704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0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4.5999999999999996</v>
      </c>
      <c r="N105" s="13">
        <f>IF('Données projet'!$A$36&gt;35,N104+M105-V104,IF(A105&lt;'Données projet'!$A$36,$K$205^A105,IF(A105='Données projet'!$A$36,'Données projet'!$B$36,N104+M105-V104)))</f>
        <v>270.19999999999993</v>
      </c>
      <c r="O105" s="13">
        <f>N105*VLOOKUP('Données projet'!$B$9,Paramètres!$A$1:$I$89,3,0)*VLOOKUP('Données projet'!$B$9,Paramètres!$A$1:$I$89,5,0)</f>
        <v>244.47695999999993</v>
      </c>
      <c r="P105" s="13">
        <f t="shared" si="87"/>
        <v>59.401731670234192</v>
      </c>
      <c r="Q105" s="20">
        <f t="shared" si="107"/>
        <v>529.25538799232447</v>
      </c>
      <c r="R105" s="59">
        <f t="shared" si="55"/>
        <v>822.58872132565784</v>
      </c>
      <c r="S105" s="59">
        <f ca="1">AVERAGE(OFFSET($R$3,0,0,'Données projet'!$E$9+1,1))-AVERAGE(OFFSET($H$3,0,0,'Données projet'!$E$9+1,1))</f>
        <v>265.50419397354284</v>
      </c>
      <c r="T105" s="59">
        <f t="shared" si="88"/>
        <v>156.67965022779907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0.8008680363722529</v>
      </c>
      <c r="AA105" s="21">
        <f>EXP(-LN(2)/25)*AA104+(1-EXP(-LN(2)/25))/(LN(2)/25)*Calculateur!V105*Calculateur!X105*VLOOKUP('Données projet'!$B$9,Paramètres!$A$1:$I$89,3,0)*0.475*44/12</f>
        <v>0.56990029920113416</v>
      </c>
      <c r="AB105" s="21">
        <f>EXP(-LN(2)/2)*AB104+(1-EXP(-LN(2)/2))/(LN(2)/2)*V105*Y105*VLOOKUP('Données projet'!$B$9,Paramètres!$A$1:$I$89,3,0)*0.475*44/12</f>
        <v>8.8806278734029502E-11</v>
      </c>
      <c r="AC105" s="22">
        <f t="shared" si="57"/>
        <v>1.3707683356621934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4.5999999999999996</v>
      </c>
      <c r="AI105" s="13">
        <f>IF('Données projet'!$A$62&gt;35,AI104+AH105-AQ104,IF(A105&lt;'Données projet'!$A$62,$AF$205^A105,IF(A105='Données projet'!$A$62,'Données projet'!$B$62,AI104+AH105-AQ104)))</f>
        <v>270.19999999999993</v>
      </c>
      <c r="AJ105" s="13">
        <f>AI105*VLOOKUP('Données projet'!$B$10,Paramètres!$A$1:$I$89,3,0)*VLOOKUP('Données projet'!$B$10,Paramètres!$A$1:$I$89,5,0)</f>
        <v>273.98279999999994</v>
      </c>
      <c r="AK105" s="13">
        <f t="shared" si="89"/>
        <v>65.693798259477774</v>
      </c>
      <c r="AL105" s="20">
        <f t="shared" si="58"/>
        <v>591.6034086352571</v>
      </c>
      <c r="AM105" s="59">
        <f t="shared" si="59"/>
        <v>884.93674196859047</v>
      </c>
      <c r="AN105" s="59">
        <f ca="1">AVERAGE(OFFSET($AM$3,0,0,'Données projet'!$E$10+1,1))-AVERAGE(OFFSET($H$3,0,0,'Données projet'!$E$10+1,1))</f>
        <v>296.43642006376018</v>
      </c>
      <c r="AO105" s="59">
        <f t="shared" si="90"/>
        <v>179.56041631665812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0.89752452352062839</v>
      </c>
      <c r="AV105" s="21">
        <f>EXP(-LN(2)/25)*AV104+(1-EXP(-LN(2)/25))/(LN(2)/25)*Calculateur!AQ105*Calculateur!AS105*VLOOKUP('Données projet'!$B$10,Paramètres!$A$1:$I$89,3,0)*0.475*44/12</f>
        <v>0.63868136979437451</v>
      </c>
      <c r="AW105" s="21">
        <f>EXP(-LN(2)/2)*AW104+(1-EXP(-LN(2)/2))/(LN(2)/2)*AQ105*AT105*VLOOKUP('Données projet'!$B$10,Paramètres!$A$1:$I$89,3,0)*0.475*44/12</f>
        <v>9.952427789158482E-11</v>
      </c>
      <c r="AX105" s="21">
        <f t="shared" si="60"/>
        <v>1.5362058934145273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5.6843418860808015E-14</v>
      </c>
      <c r="BE105" s="13">
        <f>BD105*VLOOKUP('Données projet'!$B$11,Paramètres!$A$1:$I$89,3,0)*VLOOKUP('Données projet'!$B$11,Paramètres!$A$1:$I$89,5,0)</f>
        <v>3.813056537183002E-14</v>
      </c>
      <c r="BF105" s="13">
        <f t="shared" si="91"/>
        <v>6.4086286045526829E-13</v>
      </c>
      <c r="BG105" s="20">
        <f t="shared" si="61"/>
        <v>1.1825802166488628E-12</v>
      </c>
      <c r="BH105" s="59">
        <f t="shared" si="62"/>
        <v>293.33333333333451</v>
      </c>
      <c r="BI105" s="59">
        <f ca="1">AVERAGE(OFFSET($BH$3,0,0,'Données projet'!$E$11+1,1))-AVERAGE(OFFSET($H$3,0,0,'Données projet'!$E$11+1,1))</f>
        <v>181.32837315090507</v>
      </c>
      <c r="BJ105" s="59">
        <f t="shared" si="92"/>
        <v>175.03267817980338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1.3159857206438046</v>
      </c>
      <c r="BQ105" s="21">
        <f>EXP(-LN(2)/25)*BQ104+(1-EXP(-LN(2)/25))/(LN(2)/25)*Calculateur!BL105*Calculateur!BN105*VLOOKUP('Données projet'!$B$11,Paramètres!$A$1:$I$89,3,0)*0.475*44/12</f>
        <v>0.92405032899421213</v>
      </c>
      <c r="BR105" s="21">
        <f>EXP(-LN(2)/2)*BR104+(1-EXP(-LN(2)/2))/(LN(2)/2)*BL105*BO105*VLOOKUP('Données projet'!$B$11,Paramètres!$A$1:$I$89,3,0)*0.475*44/12</f>
        <v>1.5438173236806073E-11</v>
      </c>
      <c r="BS105" s="22">
        <f t="shared" si="63"/>
        <v>2.240036049653455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574.49999999999989</v>
      </c>
      <c r="BZ105" s="13">
        <f>BY105*VLOOKUP('Données projet'!$B$12,Paramètres!$A$1:$I$89,3,0)*VLOOKUP('Données projet'!$B$12,Paramètres!$A$1:$I$89,5,0)</f>
        <v>268.86599999999999</v>
      </c>
      <c r="CA105" s="13">
        <f t="shared" si="93"/>
        <v>64.608546947682441</v>
      </c>
      <c r="CB105" s="20">
        <f t="shared" si="64"/>
        <v>580.80150260054677</v>
      </c>
      <c r="CC105" s="59">
        <f t="shared" si="65"/>
        <v>874.13483593388014</v>
      </c>
      <c r="CD105" s="59">
        <f ca="1">AVERAGE(OFFSET($CC$3,0,0,'Données projet'!$E$12+1,1))-AVERAGE(OFFSET($H$3,0,0,'Données projet'!$E$12+1,1))</f>
        <v>226.0452828290525</v>
      </c>
      <c r="CE105" s="59">
        <f t="shared" si="94"/>
        <v>179.89696397462069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2.18092524345272</v>
      </c>
      <c r="CL105" s="21">
        <f>EXP(-LN(2)/25)*CL104+(1-EXP(-LN(2)/25))/(LN(2)/25)*Calculateur!CG105*Calculateur!CI105*VLOOKUP('Données projet'!$B$12,Paramètres!$A$1:$I$89,3,0)*0.475*44/12</f>
        <v>1.5148160553335739</v>
      </c>
      <c r="CM105" s="21">
        <f>EXP(-LN(2)/2)*CM104+(1-EXP(-LN(2)/2))/(LN(2)/2)*CG105*CJ105*VLOOKUP('Données projet'!$B$12,Paramètres!$A$1:$I$89,3,0)*0.475*44/12</f>
        <v>1.6069867187759392E-10</v>
      </c>
      <c r="CN105" s="22">
        <f t="shared" si="66"/>
        <v>3.6957412989469924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482.74318690313885</v>
      </c>
      <c r="CZ105" s="59">
        <f t="shared" si="96"/>
        <v>205.57161411620217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2.7582068391926375</v>
      </c>
      <c r="DG105" s="21">
        <f>EXP(-LN(2)/25)*DG104+(1-EXP(-LN(2)/25))/(LN(2)/25)*Calculateur!DB105*Calculateur!DD105*VLOOKUP('Données projet'!$B$13,Paramètres!$A$1:$I$89,3,0)*0.475*44/12</f>
        <v>1.2805934842412658</v>
      </c>
      <c r="DH105" s="21">
        <f>EXP(-LN(2)/2)*DH104+(1-EXP(-LN(2)/2))/(LN(2)/2)*DB105*DE105*VLOOKUP('Données projet'!$B$13,Paramètres!$A$1:$I$89,3,0)*0.475*44/12</f>
        <v>6.5905571921008696E-11</v>
      </c>
      <c r="DI105" s="22">
        <f t="shared" si="69"/>
        <v>4.0388003234998093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2.2737367544323206E-13</v>
      </c>
      <c r="DP105" s="17">
        <f>DO105*VLOOKUP('Données projet'!$B$14,Paramètres!$A$1:$I$89,3,0)*VLOOKUP('Données projet'!$B$14,Paramètres!$A$1:$I$89,5,0)</f>
        <v>1.0936673788819462E-13</v>
      </c>
      <c r="DQ105" s="13">
        <f t="shared" si="97"/>
        <v>1.6259645746645945E-12</v>
      </c>
      <c r="DR105" s="20">
        <f t="shared" si="70"/>
        <v>3.0223687026961078E-12</v>
      </c>
      <c r="DS105" s="59">
        <f t="shared" si="71"/>
        <v>293.33333333333633</v>
      </c>
      <c r="DT105" s="59">
        <f ca="1">AVERAGE(OFFSET($DS$3,0,0,'Données projet'!$E$14+1,1))-AVERAGE(OFFSET($H$3,0,0,'Données projet'!$E$14+1,1))</f>
        <v>247.11965163963526</v>
      </c>
      <c r="DU105" s="59">
        <f t="shared" si="98"/>
        <v>61.686311966192704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0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4.5999999999999996</v>
      </c>
      <c r="N106" s="13">
        <f>IF('Données projet'!$A$36&gt;35,N105+M106-V105,IF(A106&lt;'Données projet'!$A$36,$K$205^A106,IF(A106='Données projet'!$A$36,'Données projet'!$B$36,N105+M106-V105)))</f>
        <v>274.79999999999995</v>
      </c>
      <c r="O106" s="13">
        <f>N106*VLOOKUP('Données projet'!$B$9,Paramètres!$A$1:$I$89,3,0)*VLOOKUP('Données projet'!$B$9,Paramètres!$A$1:$I$89,5,0)</f>
        <v>248.63903999999994</v>
      </c>
      <c r="P106" s="13">
        <f t="shared" si="87"/>
        <v>60.294419230169922</v>
      </c>
      <c r="Q106" s="20">
        <f t="shared" si="107"/>
        <v>538.05910815921254</v>
      </c>
      <c r="R106" s="59">
        <f t="shared" si="55"/>
        <v>831.39244149254591</v>
      </c>
      <c r="S106" s="59">
        <f ca="1">AVERAGE(OFFSET($R$3,0,0,'Données projet'!$E$9+1,1))-AVERAGE(OFFSET($H$3,0,0,'Données projet'!$E$9+1,1))</f>
        <v>265.50419397354284</v>
      </c>
      <c r="T106" s="59">
        <f t="shared" si="88"/>
        <v>156.67965022779907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0.78516350266026169</v>
      </c>
      <c r="AA106" s="21">
        <f>EXP(-LN(2)/25)*AA105+(1-EXP(-LN(2)/25))/(LN(2)/25)*Calculateur!V106*Calculateur!X106*VLOOKUP('Données projet'!$B$9,Paramètres!$A$1:$I$89,3,0)*0.475*44/12</f>
        <v>0.55431634554972498</v>
      </c>
      <c r="AB106" s="21">
        <f>EXP(-LN(2)/2)*AB105+(1-EXP(-LN(2)/2))/(LN(2)/2)*V106*Y106*VLOOKUP('Données projet'!$B$9,Paramètres!$A$1:$I$89,3,0)*0.475*44/12</f>
        <v>6.2795521904774947E-11</v>
      </c>
      <c r="AC106" s="22">
        <f t="shared" si="57"/>
        <v>1.3394798482727821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4.5999999999999996</v>
      </c>
      <c r="AI106" s="13">
        <f>IF('Données projet'!$A$62&gt;35,AI105+AH106-AQ105,IF(A106&lt;'Données projet'!$A$62,$AF$205^A106,IF(A106='Données projet'!$A$62,'Données projet'!$B$62,AI105+AH106-AQ105)))</f>
        <v>274.79999999999995</v>
      </c>
      <c r="AJ106" s="13">
        <f>AI106*VLOOKUP('Données projet'!$B$10,Paramètres!$A$1:$I$89,3,0)*VLOOKUP('Données projet'!$B$10,Paramètres!$A$1:$I$89,5,0)</f>
        <v>278.6472</v>
      </c>
      <c r="AK106" s="13">
        <f t="shared" si="89"/>
        <v>66.681042819901123</v>
      </c>
      <c r="AL106" s="20">
        <f t="shared" si="58"/>
        <v>601.44668957799445</v>
      </c>
      <c r="AM106" s="59">
        <f t="shared" si="59"/>
        <v>894.78002291132771</v>
      </c>
      <c r="AN106" s="59">
        <f ca="1">AVERAGE(OFFSET($AM$3,0,0,'Données projet'!$E$10+1,1))-AVERAGE(OFFSET($H$3,0,0,'Données projet'!$E$10+1,1))</f>
        <v>296.43642006376018</v>
      </c>
      <c r="AO106" s="59">
        <f t="shared" si="90"/>
        <v>179.56041631665812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0.8799246150502934</v>
      </c>
      <c r="AV106" s="21">
        <f>EXP(-LN(2)/25)*AV105+(1-EXP(-LN(2)/25))/(LN(2)/25)*Calculateur!AQ106*Calculateur!AS106*VLOOKUP('Données projet'!$B$10,Paramètres!$A$1:$I$89,3,0)*0.475*44/12</f>
        <v>0.62121659415055386</v>
      </c>
      <c r="AW106" s="21">
        <f>EXP(-LN(2)/2)*AW105+(1-EXP(-LN(2)/2))/(LN(2)/2)*AQ106*AT106*VLOOKUP('Données projet'!$B$10,Paramètres!$A$1:$I$89,3,0)*0.475*44/12</f>
        <v>7.0374291789834016E-11</v>
      </c>
      <c r="AX106" s="21">
        <f t="shared" si="60"/>
        <v>1.5011412092712217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5.6843418860808015E-14</v>
      </c>
      <c r="BE106" s="13">
        <f>BD106*VLOOKUP('Données projet'!$B$11,Paramètres!$A$1:$I$89,3,0)*VLOOKUP('Données projet'!$B$11,Paramètres!$A$1:$I$89,5,0)</f>
        <v>3.813056537183002E-14</v>
      </c>
      <c r="BF106" s="13">
        <f t="shared" si="91"/>
        <v>6.4086286045526829E-13</v>
      </c>
      <c r="BG106" s="20">
        <f t="shared" si="61"/>
        <v>1.1825802166488628E-12</v>
      </c>
      <c r="BH106" s="59">
        <f t="shared" si="62"/>
        <v>293.33333333333451</v>
      </c>
      <c r="BI106" s="59">
        <f ca="1">AVERAGE(OFFSET($BH$3,0,0,'Données projet'!$E$11+1,1))-AVERAGE(OFFSET($H$3,0,0,'Données projet'!$E$11+1,1))</f>
        <v>181.32837315090507</v>
      </c>
      <c r="BJ106" s="59">
        <f t="shared" si="92"/>
        <v>175.03267817980338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1.2901800433340118</v>
      </c>
      <c r="BQ106" s="21">
        <f>EXP(-LN(2)/25)*BQ105+(1-EXP(-LN(2)/25))/(LN(2)/25)*Calculateur!BL106*Calculateur!BN106*VLOOKUP('Données projet'!$B$11,Paramètres!$A$1:$I$89,3,0)*0.475*44/12</f>
        <v>0.89878212415417058</v>
      </c>
      <c r="BR106" s="21">
        <f>EXP(-LN(2)/2)*BR105+(1-EXP(-LN(2)/2))/(LN(2)/2)*BL106*BO106*VLOOKUP('Données projet'!$B$11,Paramètres!$A$1:$I$89,3,0)*0.475*44/12</f>
        <v>1.0916436984878246E-11</v>
      </c>
      <c r="BS106" s="22">
        <f t="shared" si="63"/>
        <v>2.1889621674990991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574.49999999999989</v>
      </c>
      <c r="BZ106" s="13">
        <f>BY106*VLOOKUP('Données projet'!$B$12,Paramètres!$A$1:$I$89,3,0)*VLOOKUP('Données projet'!$B$12,Paramètres!$A$1:$I$89,5,0)</f>
        <v>268.86599999999999</v>
      </c>
      <c r="CA106" s="13">
        <f t="shared" si="93"/>
        <v>64.608546947682441</v>
      </c>
      <c r="CB106" s="20">
        <f t="shared" si="64"/>
        <v>580.80150260054677</v>
      </c>
      <c r="CC106" s="59">
        <f t="shared" si="65"/>
        <v>874.13483593388014</v>
      </c>
      <c r="CD106" s="59">
        <f ca="1">AVERAGE(OFFSET($CC$3,0,0,'Données projet'!$E$12+1,1))-AVERAGE(OFFSET($H$3,0,0,'Données projet'!$E$12+1,1))</f>
        <v>226.0452828290525</v>
      </c>
      <c r="CE106" s="59">
        <f t="shared" si="94"/>
        <v>179.89696397462069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2.1381586296616613</v>
      </c>
      <c r="CL106" s="21">
        <f>EXP(-LN(2)/25)*CL105+(1-EXP(-LN(2)/25))/(LN(2)/25)*Calculateur!CG106*Calculateur!CI106*VLOOKUP('Données projet'!$B$12,Paramètres!$A$1:$I$89,3,0)*0.475*44/12</f>
        <v>1.4733933306397631</v>
      </c>
      <c r="CM106" s="21">
        <f>EXP(-LN(2)/2)*CM105+(1-EXP(-LN(2)/2))/(LN(2)/2)*CG106*CJ106*VLOOKUP('Données projet'!$B$12,Paramètres!$A$1:$I$89,3,0)*0.475*44/12</f>
        <v>1.1363112061231861E-10</v>
      </c>
      <c r="CN106" s="22">
        <f t="shared" si="66"/>
        <v>3.6115519604150559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482.74318690313885</v>
      </c>
      <c r="CZ106" s="59">
        <f t="shared" si="96"/>
        <v>205.57161411620217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2.7041200854161245</v>
      </c>
      <c r="DG106" s="21">
        <f>EXP(-LN(2)/25)*DG105+(1-EXP(-LN(2)/25))/(LN(2)/25)*Calculateur!DB106*Calculateur!DD106*VLOOKUP('Données projet'!$B$13,Paramètres!$A$1:$I$89,3,0)*0.475*44/12</f>
        <v>1.2455755880712038</v>
      </c>
      <c r="DH106" s="21">
        <f>EXP(-LN(2)/2)*DH105+(1-EXP(-LN(2)/2))/(LN(2)/2)*DB106*DE106*VLOOKUP('Données projet'!$B$13,Paramètres!$A$1:$I$89,3,0)*0.475*44/12</f>
        <v>4.6602276823322967E-11</v>
      </c>
      <c r="DI106" s="22">
        <f t="shared" si="69"/>
        <v>3.9496956735339306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2.2737367544323206E-13</v>
      </c>
      <c r="DP106" s="17">
        <f>DO106*VLOOKUP('Données projet'!$B$14,Paramètres!$A$1:$I$89,3,0)*VLOOKUP('Données projet'!$B$14,Paramètres!$A$1:$I$89,5,0)</f>
        <v>1.0936673788819462E-13</v>
      </c>
      <c r="DQ106" s="13">
        <f t="shared" si="97"/>
        <v>1.6259645746645945E-12</v>
      </c>
      <c r="DR106" s="20">
        <f t="shared" si="70"/>
        <v>3.0223687026961078E-12</v>
      </c>
      <c r="DS106" s="59">
        <f t="shared" si="71"/>
        <v>293.33333333333633</v>
      </c>
      <c r="DT106" s="59">
        <f ca="1">AVERAGE(OFFSET($DS$3,0,0,'Données projet'!$E$14+1,1))-AVERAGE(OFFSET($H$3,0,0,'Données projet'!$E$14+1,1))</f>
        <v>247.11965163963526</v>
      </c>
      <c r="DU106" s="59">
        <f t="shared" si="98"/>
        <v>61.686311966192704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0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4.5999999999999996</v>
      </c>
      <c r="N107" s="13">
        <f>IF('Données projet'!$A$36&gt;35,N106+M107-V106,IF(A107&lt;'Données projet'!$A$36,$K$205^A107,IF(A107='Données projet'!$A$36,'Données projet'!$B$36,N106+M107-V106)))</f>
        <v>279.39999999999998</v>
      </c>
      <c r="O107" s="13">
        <f>N107*VLOOKUP('Données projet'!$B$9,Paramètres!$A$1:$I$89,3,0)*VLOOKUP('Données projet'!$B$9,Paramètres!$A$1:$I$89,5,0)</f>
        <v>252.80111999999994</v>
      </c>
      <c r="P107" s="13">
        <f t="shared" si="87"/>
        <v>61.185369021394209</v>
      </c>
      <c r="Q107" s="20">
        <f t="shared" si="107"/>
        <v>546.8598017122614</v>
      </c>
      <c r="R107" s="59">
        <f t="shared" si="55"/>
        <v>840.19313504559477</v>
      </c>
      <c r="S107" s="59">
        <f ca="1">AVERAGE(OFFSET($R$3,0,0,'Données projet'!$E$9+1,1))-AVERAGE(OFFSET($H$3,0,0,'Données projet'!$E$9+1,1))</f>
        <v>265.50419397354284</v>
      </c>
      <c r="T107" s="59">
        <f t="shared" si="88"/>
        <v>156.67965022779907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0.76976692527554291</v>
      </c>
      <c r="AA107" s="21">
        <f>EXP(-LN(2)/25)*AA106+(1-EXP(-LN(2)/25))/(LN(2)/25)*Calculateur!V107*Calculateur!X107*VLOOKUP('Données projet'!$B$9,Paramètres!$A$1:$I$89,3,0)*0.475*44/12</f>
        <v>0.53915853593043805</v>
      </c>
      <c r="AB107" s="21">
        <f>EXP(-LN(2)/2)*AB106+(1-EXP(-LN(2)/2))/(LN(2)/2)*V107*Y107*VLOOKUP('Données projet'!$B$9,Paramètres!$A$1:$I$89,3,0)*0.475*44/12</f>
        <v>4.4403139367014751E-11</v>
      </c>
      <c r="AC107" s="22">
        <f t="shared" si="57"/>
        <v>1.308925461250384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4.5999999999999996</v>
      </c>
      <c r="AI107" s="13">
        <f>IF('Données projet'!$A$62&gt;35,AI106+AH107-AQ106,IF(A107&lt;'Données projet'!$A$62,$AF$205^A107,IF(A107='Données projet'!$A$62,'Données projet'!$B$62,AI106+AH107-AQ106)))</f>
        <v>279.39999999999998</v>
      </c>
      <c r="AJ107" s="13">
        <f>AI107*VLOOKUP('Données projet'!$B$10,Paramètres!$A$1:$I$89,3,0)*VLOOKUP('Données projet'!$B$10,Paramètres!$A$1:$I$89,5,0)</f>
        <v>283.3116</v>
      </c>
      <c r="AK107" s="13">
        <f t="shared" si="89"/>
        <v>67.666365540271272</v>
      </c>
      <c r="AL107" s="20">
        <f t="shared" si="58"/>
        <v>611.28662331597241</v>
      </c>
      <c r="AM107" s="59">
        <f t="shared" si="59"/>
        <v>904.61995664930578</v>
      </c>
      <c r="AN107" s="59">
        <f ca="1">AVERAGE(OFFSET($AM$3,0,0,'Données projet'!$E$10+1,1))-AVERAGE(OFFSET($H$3,0,0,'Données projet'!$E$10+1,1))</f>
        <v>296.43642006376018</v>
      </c>
      <c r="AO107" s="59">
        <f t="shared" si="90"/>
        <v>179.56041631665812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0.8626698300501775</v>
      </c>
      <c r="AV107" s="21">
        <f>EXP(-LN(2)/25)*AV106+(1-EXP(-LN(2)/25))/(LN(2)/25)*Calculateur!AQ107*Calculateur!AS107*VLOOKUP('Données projet'!$B$10,Paramètres!$A$1:$I$89,3,0)*0.475*44/12</f>
        <v>0.60422939371514606</v>
      </c>
      <c r="AW107" s="21">
        <f>EXP(-LN(2)/2)*AW106+(1-EXP(-LN(2)/2))/(LN(2)/2)*AQ107*AT107*VLOOKUP('Données projet'!$B$10,Paramètres!$A$1:$I$89,3,0)*0.475*44/12</f>
        <v>4.976213894579241E-11</v>
      </c>
      <c r="AX107" s="21">
        <f t="shared" si="60"/>
        <v>1.4668992238150858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5.6843418860808015E-14</v>
      </c>
      <c r="BE107" s="13">
        <f>BD107*VLOOKUP('Données projet'!$B$11,Paramètres!$A$1:$I$89,3,0)*VLOOKUP('Données projet'!$B$11,Paramètres!$A$1:$I$89,5,0)</f>
        <v>3.813056537183002E-14</v>
      </c>
      <c r="BF107" s="13">
        <f t="shared" si="91"/>
        <v>6.4086286045526829E-13</v>
      </c>
      <c r="BG107" s="20">
        <f t="shared" si="61"/>
        <v>1.1825802166488628E-12</v>
      </c>
      <c r="BH107" s="59">
        <f t="shared" si="62"/>
        <v>293.33333333333451</v>
      </c>
      <c r="BI107" s="59">
        <f ca="1">AVERAGE(OFFSET($BH$3,0,0,'Données projet'!$E$11+1,1))-AVERAGE(OFFSET($H$3,0,0,'Données projet'!$E$11+1,1))</f>
        <v>181.32837315090507</v>
      </c>
      <c r="BJ107" s="59">
        <f t="shared" si="92"/>
        <v>175.03267817980338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1.2648803996163551</v>
      </c>
      <c r="BQ107" s="21">
        <f>EXP(-LN(2)/25)*BQ106+(1-EXP(-LN(2)/25))/(LN(2)/25)*Calculateur!BL107*Calculateur!BN107*VLOOKUP('Données projet'!$B$11,Paramètres!$A$1:$I$89,3,0)*0.475*44/12</f>
        <v>0.87420487970427707</v>
      </c>
      <c r="BR107" s="21">
        <f>EXP(-LN(2)/2)*BR106+(1-EXP(-LN(2)/2))/(LN(2)/2)*BL107*BO107*VLOOKUP('Données projet'!$B$11,Paramètres!$A$1:$I$89,3,0)*0.475*44/12</f>
        <v>7.7190866184030364E-12</v>
      </c>
      <c r="BS107" s="22">
        <f t="shared" si="63"/>
        <v>2.1390852793283512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574.49999999999989</v>
      </c>
      <c r="BZ107" s="13">
        <f>BY107*VLOOKUP('Données projet'!$B$12,Paramètres!$A$1:$I$89,3,0)*VLOOKUP('Données projet'!$B$12,Paramètres!$A$1:$I$89,5,0)</f>
        <v>268.86599999999999</v>
      </c>
      <c r="CA107" s="13">
        <f t="shared" si="93"/>
        <v>64.608546947682441</v>
      </c>
      <c r="CB107" s="20">
        <f t="shared" si="64"/>
        <v>580.80150260054677</v>
      </c>
      <c r="CC107" s="59">
        <f t="shared" si="65"/>
        <v>874.13483593388014</v>
      </c>
      <c r="CD107" s="59">
        <f ca="1">AVERAGE(OFFSET($CC$3,0,0,'Données projet'!$E$12+1,1))-AVERAGE(OFFSET($H$3,0,0,'Données projet'!$E$12+1,1))</f>
        <v>226.0452828290525</v>
      </c>
      <c r="CE107" s="59">
        <f t="shared" si="94"/>
        <v>179.89696397462069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2.0962306430819861</v>
      </c>
      <c r="CL107" s="21">
        <f>EXP(-LN(2)/25)*CL106+(1-EXP(-LN(2)/25))/(LN(2)/25)*Calculateur!CG107*Calculateur!CI107*VLOOKUP('Données projet'!$B$12,Paramètres!$A$1:$I$89,3,0)*0.475*44/12</f>
        <v>1.4331033125310311</v>
      </c>
      <c r="CM107" s="21">
        <f>EXP(-LN(2)/2)*CM106+(1-EXP(-LN(2)/2))/(LN(2)/2)*CG107*CJ107*VLOOKUP('Données projet'!$B$12,Paramètres!$A$1:$I$89,3,0)*0.475*44/12</f>
        <v>8.0349335938796975E-11</v>
      </c>
      <c r="CN107" s="22">
        <f t="shared" si="66"/>
        <v>3.5293339556933669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482.74318690313885</v>
      </c>
      <c r="CZ107" s="59">
        <f t="shared" si="96"/>
        <v>205.57161411620217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2.6510939398915068</v>
      </c>
      <c r="DG107" s="21">
        <f>EXP(-LN(2)/25)*DG106+(1-EXP(-LN(2)/25))/(LN(2)/25)*Calculateur!DB107*Calculateur!DD107*VLOOKUP('Données projet'!$B$13,Paramètres!$A$1:$I$89,3,0)*0.475*44/12</f>
        <v>1.2115152581134234</v>
      </c>
      <c r="DH107" s="21">
        <f>EXP(-LN(2)/2)*DH106+(1-EXP(-LN(2)/2))/(LN(2)/2)*DB107*DE107*VLOOKUP('Données projet'!$B$13,Paramètres!$A$1:$I$89,3,0)*0.475*44/12</f>
        <v>3.2952785960504348E-11</v>
      </c>
      <c r="DI107" s="22">
        <f t="shared" si="69"/>
        <v>3.8626091980378829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2.2737367544323206E-13</v>
      </c>
      <c r="DP107" s="17">
        <f>DO107*VLOOKUP('Données projet'!$B$14,Paramètres!$A$1:$I$89,3,0)*VLOOKUP('Données projet'!$B$14,Paramètres!$A$1:$I$89,5,0)</f>
        <v>1.0936673788819462E-13</v>
      </c>
      <c r="DQ107" s="13">
        <f t="shared" si="97"/>
        <v>1.6259645746645945E-12</v>
      </c>
      <c r="DR107" s="20">
        <f t="shared" si="70"/>
        <v>3.0223687026961078E-12</v>
      </c>
      <c r="DS107" s="59">
        <f t="shared" si="71"/>
        <v>293.33333333333633</v>
      </c>
      <c r="DT107" s="59">
        <f ca="1">AVERAGE(OFFSET($DS$3,0,0,'Données projet'!$E$14+1,1))-AVERAGE(OFFSET($H$3,0,0,'Données projet'!$E$14+1,1))</f>
        <v>247.11965163963526</v>
      </c>
      <c r="DU107" s="59">
        <f t="shared" si="98"/>
        <v>61.686311966192704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0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284</v>
      </c>
      <c r="L108" s="12">
        <f>VLOOKUP(A108,'Données projet'!$A$35:$I$55,9,0)</f>
        <v>4.5999999999999996</v>
      </c>
      <c r="M108" s="12">
        <f t="array" ref="M108">INDEX(L:L,MIN(IF(ISNUMBER(L108:L304),ROW(L108:L304),"")))</f>
        <v>4.5999999999999996</v>
      </c>
      <c r="N108" s="13">
        <f>IF('Données projet'!$A$36&gt;35,N107+M108-V107,IF(A108&lt;'Données projet'!$A$36,$K$205^A108,IF(A108='Données projet'!$A$36,'Données projet'!$B$36,N107+M108-V107)))</f>
        <v>284</v>
      </c>
      <c r="O108" s="13">
        <f>N108*VLOOKUP('Données projet'!$B$9,Paramètres!$A$1:$I$89,3,0)*VLOOKUP('Données projet'!$B$9,Paramètres!$A$1:$I$89,5,0)</f>
        <v>256.96320000000003</v>
      </c>
      <c r="P108" s="13">
        <f t="shared" si="87"/>
        <v>62.074612956838024</v>
      </c>
      <c r="Q108" s="20">
        <f t="shared" si="107"/>
        <v>555.65752423315951</v>
      </c>
      <c r="R108" s="59">
        <f t="shared" si="55"/>
        <v>848.99085756649288</v>
      </c>
      <c r="S108" s="59">
        <f ca="1">AVERAGE(OFFSET($R$3,0,0,'Données projet'!$E$9+1,1))-AVERAGE(OFFSET($H$3,0,0,'Données projet'!$E$9+1,1))</f>
        <v>265.50419397354284</v>
      </c>
      <c r="T108" s="59">
        <f t="shared" si="88"/>
        <v>156.67965022779907</v>
      </c>
      <c r="U108" s="15">
        <f>IF(ISNA(VLOOKUP(A108,'Données projet'!$A$35:$I$55,3,0)),0,VLOOKUP(A108,'Données projet'!$A$35:$I$55,3,0))</f>
        <v>18</v>
      </c>
      <c r="V108" s="15">
        <f>IF(ISNA(VLOOKUP(A108,'Données projet'!$A$35:$I$55,4,0)),0,VLOOKUP(A108,'Données projet'!$A$35:$I$55,4,0))</f>
        <v>20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0.75467226538235355</v>
      </c>
      <c r="AA108" s="21">
        <f>EXP(-LN(2)/25)*AA107+(1-EXP(-LN(2)/25))/(LN(2)/25)*Calculateur!V108*Calculateur!X108*VLOOKUP('Données projet'!$B$9,Paramètres!$A$1:$I$89,3,0)*0.475*44/12</f>
        <v>0.52441521741230512</v>
      </c>
      <c r="AB108" s="21">
        <f>EXP(-LN(2)/2)*AB107+(1-EXP(-LN(2)/2))/(LN(2)/2)*V108*Y108*VLOOKUP('Données projet'!$B$9,Paramètres!$A$1:$I$89,3,0)*0.475*44/12</f>
        <v>3.1397760952387474E-11</v>
      </c>
      <c r="AC108" s="22">
        <f t="shared" si="57"/>
        <v>1.2790874828260563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284</v>
      </c>
      <c r="AG108" s="12">
        <f>VLOOKUP(A108,'Données projet'!$A$61:$I$81,9,0)</f>
        <v>4.5999999999999996</v>
      </c>
      <c r="AH108" s="12">
        <f t="array" ref="AH108">INDEX(AG:AG,MIN(IF(ISNUMBER(AG108:AG304),ROW(AG108:AG304),"")))</f>
        <v>4.5999999999999996</v>
      </c>
      <c r="AI108" s="13">
        <f>IF('Données projet'!$A$62&gt;35,AI107+AH108-AQ107,IF(A108&lt;'Données projet'!$A$62,$AF$205^A108,IF(A108='Données projet'!$A$62,'Données projet'!$B$62,AI107+AH108-AQ107)))</f>
        <v>284</v>
      </c>
      <c r="AJ108" s="13">
        <f>AI108*VLOOKUP('Données projet'!$B$10,Paramètres!$A$1:$I$89,3,0)*VLOOKUP('Données projet'!$B$10,Paramètres!$A$1:$I$89,5,0)</f>
        <v>287.976</v>
      </c>
      <c r="AK108" s="13">
        <f t="shared" si="89"/>
        <v>68.649801713863141</v>
      </c>
      <c r="AL108" s="20">
        <f t="shared" si="58"/>
        <v>621.12327131831159</v>
      </c>
      <c r="AM108" s="59">
        <f t="shared" si="59"/>
        <v>914.45660465164497</v>
      </c>
      <c r="AN108" s="59">
        <f ca="1">AVERAGE(OFFSET($AM$3,0,0,'Données projet'!$E$10+1,1))-AVERAGE(OFFSET($H$3,0,0,'Données projet'!$E$10+1,1))</f>
        <v>296.43642006376018</v>
      </c>
      <c r="AO108" s="59">
        <f t="shared" si="90"/>
        <v>179.56041631665812</v>
      </c>
      <c r="AP108" s="15">
        <f>IF(ISNA(VLOOKUP(A108,'Données projet'!$A$61:$I$81,3,0)),0,VLOOKUP(A108,'Données projet'!$A$61:$I$81,3,0))</f>
        <v>18</v>
      </c>
      <c r="AQ108" s="15">
        <f>IF(ISNA(VLOOKUP(A108,'Données projet'!$A$61:$I$81,4,0)),0,VLOOKUP(A108,'Données projet'!$A$61:$I$81,4,0))</f>
        <v>20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0.84575340085953421</v>
      </c>
      <c r="AV108" s="21">
        <f>EXP(-LN(2)/25)*AV107+(1-EXP(-LN(2)/25))/(LN(2)/25)*Calculateur!AQ108*Calculateur!AS108*VLOOKUP('Données projet'!$B$10,Paramètres!$A$1:$I$89,3,0)*0.475*44/12</f>
        <v>0.5877067091689625</v>
      </c>
      <c r="AW108" s="21">
        <f>EXP(-LN(2)/2)*AW107+(1-EXP(-LN(2)/2))/(LN(2)/2)*AQ108*AT108*VLOOKUP('Données projet'!$B$10,Paramètres!$A$1:$I$89,3,0)*0.475*44/12</f>
        <v>3.5187145894917008E-11</v>
      </c>
      <c r="AX108" s="21">
        <f t="shared" si="60"/>
        <v>1.4334601100636839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5.6843418860808015E-14</v>
      </c>
      <c r="BE108" s="13">
        <f>BD108*VLOOKUP('Données projet'!$B$11,Paramètres!$A$1:$I$89,3,0)*VLOOKUP('Données projet'!$B$11,Paramètres!$A$1:$I$89,5,0)</f>
        <v>3.813056537183002E-14</v>
      </c>
      <c r="BF108" s="13">
        <f t="shared" si="91"/>
        <v>6.4086286045526829E-13</v>
      </c>
      <c r="BG108" s="20">
        <f t="shared" si="61"/>
        <v>1.1825802166488628E-12</v>
      </c>
      <c r="BH108" s="59">
        <f t="shared" si="62"/>
        <v>293.33333333333451</v>
      </c>
      <c r="BI108" s="59">
        <f ca="1">AVERAGE(OFFSET($BH$3,0,0,'Données projet'!$E$11+1,1))-AVERAGE(OFFSET($H$3,0,0,'Données projet'!$E$11+1,1))</f>
        <v>181.32837315090507</v>
      </c>
      <c r="BJ108" s="59">
        <f t="shared" si="92"/>
        <v>175.03267817980338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1.2400768664807429</v>
      </c>
      <c r="BQ108" s="21">
        <f>EXP(-LN(2)/25)*BQ107+(1-EXP(-LN(2)/25))/(LN(2)/25)*Calculateur!BL108*Calculateur!BN108*VLOOKUP('Données projet'!$B$11,Paramètres!$A$1:$I$89,3,0)*0.475*44/12</f>
        <v>0.85029970129632704</v>
      </c>
      <c r="BR108" s="21">
        <f>EXP(-LN(2)/2)*BR107+(1-EXP(-LN(2)/2))/(LN(2)/2)*BL108*BO108*VLOOKUP('Données projet'!$B$11,Paramètres!$A$1:$I$89,3,0)*0.475*44/12</f>
        <v>5.458218492439123E-12</v>
      </c>
      <c r="BS108" s="22">
        <f t="shared" si="63"/>
        <v>2.0903765677825281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574.49999999999989</v>
      </c>
      <c r="BZ108" s="13">
        <f>BY108*VLOOKUP('Données projet'!$B$12,Paramètres!$A$1:$I$89,3,0)*VLOOKUP('Données projet'!$B$12,Paramètres!$A$1:$I$89,5,0)</f>
        <v>268.86599999999999</v>
      </c>
      <c r="CA108" s="13">
        <f t="shared" si="93"/>
        <v>64.608546947682441</v>
      </c>
      <c r="CB108" s="20">
        <f t="shared" si="64"/>
        <v>580.80150260054677</v>
      </c>
      <c r="CC108" s="59">
        <f t="shared" si="65"/>
        <v>874.13483593388014</v>
      </c>
      <c r="CD108" s="59">
        <f ca="1">AVERAGE(OFFSET($CC$3,0,0,'Données projet'!$E$12+1,1))-AVERAGE(OFFSET($H$3,0,0,'Données projet'!$E$12+1,1))</f>
        <v>226.0452828290525</v>
      </c>
      <c r="CE108" s="59">
        <f t="shared" si="94"/>
        <v>179.89696397462069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2.0551248387455918</v>
      </c>
      <c r="CL108" s="21">
        <f>EXP(-LN(2)/25)*CL107+(1-EXP(-LN(2)/25))/(LN(2)/25)*Calculateur!CG108*Calculateur!CI108*VLOOKUP('Données projet'!$B$12,Paramètres!$A$1:$I$89,3,0)*0.475*44/12</f>
        <v>1.3939150270862422</v>
      </c>
      <c r="CM108" s="21">
        <f>EXP(-LN(2)/2)*CM107+(1-EXP(-LN(2)/2))/(LN(2)/2)*CG108*CJ108*VLOOKUP('Données projet'!$B$12,Paramètres!$A$1:$I$89,3,0)*0.475*44/12</f>
        <v>5.6815560306159313E-11</v>
      </c>
      <c r="CN108" s="22">
        <f t="shared" si="66"/>
        <v>3.4490398658886492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482.74318690313885</v>
      </c>
      <c r="CZ108" s="59">
        <f t="shared" si="96"/>
        <v>205.57161411620217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2.5991076047378714</v>
      </c>
      <c r="DG108" s="21">
        <f>EXP(-LN(2)/25)*DG107+(1-EXP(-LN(2)/25))/(LN(2)/25)*Calculateur!DB108*Calculateur!DD108*VLOOKUP('Données projet'!$B$13,Paramètres!$A$1:$I$89,3,0)*0.475*44/12</f>
        <v>1.1783863096694933</v>
      </c>
      <c r="DH108" s="21">
        <f>EXP(-LN(2)/2)*DH107+(1-EXP(-LN(2)/2))/(LN(2)/2)*DB108*DE108*VLOOKUP('Données projet'!$B$13,Paramètres!$A$1:$I$89,3,0)*0.475*44/12</f>
        <v>2.3301138411661483E-11</v>
      </c>
      <c r="DI108" s="22">
        <f t="shared" si="69"/>
        <v>3.7774939144306656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2.2737367544323206E-13</v>
      </c>
      <c r="DP108" s="17">
        <f>DO108*VLOOKUP('Données projet'!$B$14,Paramètres!$A$1:$I$89,3,0)*VLOOKUP('Données projet'!$B$14,Paramètres!$A$1:$I$89,5,0)</f>
        <v>1.0936673788819462E-13</v>
      </c>
      <c r="DQ108" s="13">
        <f t="shared" si="97"/>
        <v>1.6259645746645945E-12</v>
      </c>
      <c r="DR108" s="20">
        <f t="shared" si="70"/>
        <v>3.0223687026961078E-12</v>
      </c>
      <c r="DS108" s="59">
        <f t="shared" si="71"/>
        <v>293.33333333333633</v>
      </c>
      <c r="DT108" s="59">
        <f ca="1">AVERAGE(OFFSET($DS$3,0,0,'Données projet'!$E$14+1,1))-AVERAGE(OFFSET($H$3,0,0,'Données projet'!$E$14+1,1))</f>
        <v>247.11965163963526</v>
      </c>
      <c r="DU108" s="59">
        <f t="shared" si="98"/>
        <v>61.686311966192704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0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4.2</v>
      </c>
      <c r="N109" s="13">
        <f>IF('Données projet'!$A$36&gt;35,N108+M109-V108,IF(A109&lt;'Données projet'!$A$36,$K$205^A109,IF(A109='Données projet'!$A$36,'Données projet'!$B$36,N108+M109-V108)))</f>
        <v>268.2</v>
      </c>
      <c r="O109" s="13">
        <f>N109*VLOOKUP('Données projet'!$B$9,Paramètres!$A$1:$I$89,3,0)*VLOOKUP('Données projet'!$B$9,Paramètres!$A$1:$I$89,5,0)</f>
        <v>242.66735999999997</v>
      </c>
      <c r="P109" s="13">
        <f t="shared" si="87"/>
        <v>59.013056290731797</v>
      </c>
      <c r="Q109" s="20">
        <f t="shared" si="107"/>
        <v>525.42672503969118</v>
      </c>
      <c r="R109" s="59">
        <f t="shared" si="55"/>
        <v>818.76005837302455</v>
      </c>
      <c r="S109" s="59">
        <f ca="1">AVERAGE(OFFSET($R$3,0,0,'Données projet'!$E$9+1,1))-AVERAGE(OFFSET($H$3,0,0,'Données projet'!$E$9+1,1))</f>
        <v>265.50419397354284</v>
      </c>
      <c r="T109" s="59">
        <f t="shared" si="88"/>
        <v>156.67965022779907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0.73987360256283619</v>
      </c>
      <c r="AA109" s="21">
        <f>EXP(-LN(2)/25)*AA108+(1-EXP(-LN(2)/25))/(LN(2)/25)*Calculateur!V109*Calculateur!X109*VLOOKUP('Données projet'!$B$9,Paramètres!$A$1:$I$89,3,0)*0.475*44/12</f>
        <v>0.51007505571436795</v>
      </c>
      <c r="AB109" s="21">
        <f>EXP(-LN(2)/2)*AB108+(1-EXP(-LN(2)/2))/(LN(2)/2)*V109*Y109*VLOOKUP('Données projet'!$B$9,Paramètres!$A$1:$I$89,3,0)*0.475*44/12</f>
        <v>2.2201569683507375E-11</v>
      </c>
      <c r="AC109" s="22">
        <f t="shared" si="57"/>
        <v>1.2499486582994057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4.2</v>
      </c>
      <c r="AI109" s="13">
        <f>IF('Données projet'!$A$62&gt;35,AI108+AH109-AQ108,IF(A109&lt;'Données projet'!$A$62,$AF$205^A109,IF(A109='Données projet'!$A$62,'Données projet'!$B$62,AI108+AH109-AQ108)))</f>
        <v>268.2</v>
      </c>
      <c r="AJ109" s="13">
        <f>AI109*VLOOKUP('Données projet'!$B$10,Paramètres!$A$1:$I$89,3,0)*VLOOKUP('Données projet'!$B$10,Paramètres!$A$1:$I$89,5,0)</f>
        <v>271.95480000000003</v>
      </c>
      <c r="AK109" s="13">
        <f t="shared" si="89"/>
        <v>65.263952845017442</v>
      </c>
      <c r="AL109" s="20">
        <f t="shared" si="58"/>
        <v>587.322661205072</v>
      </c>
      <c r="AM109" s="59">
        <f t="shared" si="59"/>
        <v>880.65599453840537</v>
      </c>
      <c r="AN109" s="59">
        <f ca="1">AVERAGE(OFFSET($AM$3,0,0,'Données projet'!$E$10+1,1))-AVERAGE(OFFSET($H$3,0,0,'Données projet'!$E$10+1,1))</f>
        <v>296.43642006376018</v>
      </c>
      <c r="AO109" s="59">
        <f t="shared" si="90"/>
        <v>179.56041631665812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0.82916869252731651</v>
      </c>
      <c r="AV109" s="21">
        <f>EXP(-LN(2)/25)*AV108+(1-EXP(-LN(2)/25))/(LN(2)/25)*Calculateur!AQ109*Calculateur!AS109*VLOOKUP('Données projet'!$B$10,Paramètres!$A$1:$I$89,3,0)*0.475*44/12</f>
        <v>0.57163583830058462</v>
      </c>
      <c r="AW109" s="21">
        <f>EXP(-LN(2)/2)*AW108+(1-EXP(-LN(2)/2))/(LN(2)/2)*AQ109*AT109*VLOOKUP('Données projet'!$B$10,Paramètres!$A$1:$I$89,3,0)*0.475*44/12</f>
        <v>2.4881069472896205E-11</v>
      </c>
      <c r="AX109" s="21">
        <f t="shared" si="60"/>
        <v>1.4008045308527821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5.6843418860808015E-14</v>
      </c>
      <c r="BE109" s="13">
        <f>BD109*VLOOKUP('Données projet'!$B$11,Paramètres!$A$1:$I$89,3,0)*VLOOKUP('Données projet'!$B$11,Paramètres!$A$1:$I$89,5,0)</f>
        <v>3.813056537183002E-14</v>
      </c>
      <c r="BF109" s="13">
        <f t="shared" si="91"/>
        <v>6.4086286045526829E-13</v>
      </c>
      <c r="BG109" s="20">
        <f t="shared" si="61"/>
        <v>1.1825802166488628E-12</v>
      </c>
      <c r="BH109" s="59">
        <f t="shared" si="62"/>
        <v>293.33333333333451</v>
      </c>
      <c r="BI109" s="59">
        <f ca="1">AVERAGE(OFFSET($BH$3,0,0,'Données projet'!$E$11+1,1))-AVERAGE(OFFSET($H$3,0,0,'Données projet'!$E$11+1,1))</f>
        <v>181.32837315090507</v>
      </c>
      <c r="BJ109" s="59">
        <f t="shared" si="92"/>
        <v>175.03267817980338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1.2157597155012585</v>
      </c>
      <c r="BQ109" s="21">
        <f>EXP(-LN(2)/25)*BQ108+(1-EXP(-LN(2)/25))/(LN(2)/25)*Calculateur!BL109*Calculateur!BN109*VLOOKUP('Données projet'!$B$11,Paramètres!$A$1:$I$89,3,0)*0.475*44/12</f>
        <v>0.82704821124906103</v>
      </c>
      <c r="BR109" s="21">
        <f>EXP(-LN(2)/2)*BR108+(1-EXP(-LN(2)/2))/(LN(2)/2)*BL109*BO109*VLOOKUP('Données projet'!$B$11,Paramètres!$A$1:$I$89,3,0)*0.475*44/12</f>
        <v>3.8595433092015182E-12</v>
      </c>
      <c r="BS109" s="22">
        <f t="shared" si="63"/>
        <v>2.042807926754179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574.49999999999989</v>
      </c>
      <c r="BZ109" s="13">
        <f>BY109*VLOOKUP('Données projet'!$B$12,Paramètres!$A$1:$I$89,3,0)*VLOOKUP('Données projet'!$B$12,Paramètres!$A$1:$I$89,5,0)</f>
        <v>268.86599999999999</v>
      </c>
      <c r="CA109" s="13">
        <f t="shared" si="93"/>
        <v>64.608546947682441</v>
      </c>
      <c r="CB109" s="20">
        <f t="shared" si="64"/>
        <v>580.80150260054677</v>
      </c>
      <c r="CC109" s="59">
        <f t="shared" si="65"/>
        <v>874.13483593388014</v>
      </c>
      <c r="CD109" s="59">
        <f ca="1">AVERAGE(OFFSET($CC$3,0,0,'Données projet'!$E$12+1,1))-AVERAGE(OFFSET($H$3,0,0,'Données projet'!$E$12+1,1))</f>
        <v>226.0452828290525</v>
      </c>
      <c r="CE109" s="59">
        <f t="shared" si="94"/>
        <v>179.89696397462069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2.0148250941601695</v>
      </c>
      <c r="CL109" s="21">
        <f>EXP(-LN(2)/25)*CL108+(1-EXP(-LN(2)/25))/(LN(2)/25)*Calculateur!CG109*Calculateur!CI109*VLOOKUP('Données projet'!$B$12,Paramètres!$A$1:$I$89,3,0)*0.475*44/12</f>
        <v>1.3557983473677635</v>
      </c>
      <c r="CM109" s="21">
        <f>EXP(-LN(2)/2)*CM108+(1-EXP(-LN(2)/2))/(LN(2)/2)*CG109*CJ109*VLOOKUP('Données projet'!$B$12,Paramètres!$A$1:$I$89,3,0)*0.475*44/12</f>
        <v>4.0174667969398494E-11</v>
      </c>
      <c r="CN109" s="22">
        <f t="shared" si="66"/>
        <v>3.3706234415681076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482.74318690313885</v>
      </c>
      <c r="CZ109" s="59">
        <f t="shared" si="96"/>
        <v>205.57161411620217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2.5481406899080654</v>
      </c>
      <c r="DG109" s="21">
        <f>EXP(-LN(2)/25)*DG108+(1-EXP(-LN(2)/25))/(LN(2)/25)*Calculateur!DB109*Calculateur!DD109*VLOOKUP('Données projet'!$B$13,Paramètres!$A$1:$I$89,3,0)*0.475*44/12</f>
        <v>1.1461632740629382</v>
      </c>
      <c r="DH109" s="21">
        <f>EXP(-LN(2)/2)*DH108+(1-EXP(-LN(2)/2))/(LN(2)/2)*DB109*DE109*VLOOKUP('Données projet'!$B$13,Paramètres!$A$1:$I$89,3,0)*0.475*44/12</f>
        <v>1.6476392980252174E-11</v>
      </c>
      <c r="DI109" s="22">
        <f t="shared" si="69"/>
        <v>3.6943039639874802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2.2737367544323206E-13</v>
      </c>
      <c r="DP109" s="17">
        <f>DO109*VLOOKUP('Données projet'!$B$14,Paramètres!$A$1:$I$89,3,0)*VLOOKUP('Données projet'!$B$14,Paramètres!$A$1:$I$89,5,0)</f>
        <v>1.0936673788819462E-13</v>
      </c>
      <c r="DQ109" s="13">
        <f t="shared" si="97"/>
        <v>1.6259645746645945E-12</v>
      </c>
      <c r="DR109" s="20">
        <f t="shared" si="70"/>
        <v>3.0223687026961078E-12</v>
      </c>
      <c r="DS109" s="59">
        <f t="shared" si="71"/>
        <v>293.33333333333633</v>
      </c>
      <c r="DT109" s="59">
        <f ca="1">AVERAGE(OFFSET($DS$3,0,0,'Données projet'!$E$14+1,1))-AVERAGE(OFFSET($H$3,0,0,'Données projet'!$E$14+1,1))</f>
        <v>247.11965163963526</v>
      </c>
      <c r="DU109" s="59">
        <f t="shared" si="98"/>
        <v>61.686311966192704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0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4.2</v>
      </c>
      <c r="N110" s="13">
        <f>IF('Données projet'!$A$36&gt;35,N109+M110-V109,IF(A110&lt;'Données projet'!$A$36,$K$205^A110,IF(A110='Données projet'!$A$36,'Données projet'!$B$36,N109+M110-V109)))</f>
        <v>272.39999999999998</v>
      </c>
      <c r="O110" s="13">
        <f>N110*VLOOKUP('Données projet'!$B$9,Paramètres!$A$1:$I$89,3,0)*VLOOKUP('Données projet'!$B$9,Paramètres!$A$1:$I$89,5,0)</f>
        <v>246.46751999999995</v>
      </c>
      <c r="P110" s="13">
        <f t="shared" si="87"/>
        <v>59.828888074216977</v>
      </c>
      <c r="Q110" s="20">
        <f t="shared" si="107"/>
        <v>533.46624406259446</v>
      </c>
      <c r="R110" s="59">
        <f t="shared" si="55"/>
        <v>826.79957739592783</v>
      </c>
      <c r="S110" s="59">
        <f ca="1">AVERAGE(OFFSET($R$3,0,0,'Données projet'!$E$9+1,1))-AVERAGE(OFFSET($H$3,0,0,'Données projet'!$E$9+1,1))</f>
        <v>265.50419397354284</v>
      </c>
      <c r="T110" s="59">
        <f t="shared" si="88"/>
        <v>156.67965022779907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0.72536513249491652</v>
      </c>
      <c r="AA110" s="21">
        <f>EXP(-LN(2)/25)*AA109+(1-EXP(-LN(2)/25))/(LN(2)/25)*Calculateur!V110*Calculateur!X110*VLOOKUP('Données projet'!$B$9,Paramètres!$A$1:$I$89,3,0)*0.475*44/12</f>
        <v>0.49612702649217716</v>
      </c>
      <c r="AB110" s="21">
        <f>EXP(-LN(2)/2)*AB109+(1-EXP(-LN(2)/2))/(LN(2)/2)*V110*Y110*VLOOKUP('Données projet'!$B$9,Paramètres!$A$1:$I$89,3,0)*0.475*44/12</f>
        <v>1.5698880476193737E-11</v>
      </c>
      <c r="AC110" s="22">
        <f t="shared" si="57"/>
        <v>1.2214921590027925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4.2</v>
      </c>
      <c r="AI110" s="13">
        <f>IF('Données projet'!$A$62&gt;35,AI109+AH110-AQ109,IF(A110&lt;'Données projet'!$A$62,$AF$205^A110,IF(A110='Données projet'!$A$62,'Données projet'!$B$62,AI109+AH110-AQ109)))</f>
        <v>272.39999999999998</v>
      </c>
      <c r="AJ110" s="13">
        <f>AI110*VLOOKUP('Données projet'!$B$10,Paramètres!$A$1:$I$89,3,0)*VLOOKUP('Données projet'!$B$10,Paramètres!$A$1:$I$89,5,0)</f>
        <v>276.21359999999999</v>
      </c>
      <c r="AK110" s="13">
        <f t="shared" si="89"/>
        <v>66.166200760877473</v>
      </c>
      <c r="AL110" s="20">
        <f t="shared" si="58"/>
        <v>596.31148632519489</v>
      </c>
      <c r="AM110" s="59">
        <f t="shared" si="59"/>
        <v>889.64481965852815</v>
      </c>
      <c r="AN110" s="59">
        <f ca="1">AVERAGE(OFFSET($AM$3,0,0,'Données projet'!$E$10+1,1))-AVERAGE(OFFSET($H$3,0,0,'Données projet'!$E$10+1,1))</f>
        <v>296.43642006376018</v>
      </c>
      <c r="AO110" s="59">
        <f t="shared" si="90"/>
        <v>179.56041631665812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0.81290920020982027</v>
      </c>
      <c r="AV110" s="21">
        <f>EXP(-LN(2)/25)*AV109+(1-EXP(-LN(2)/25))/(LN(2)/25)*Calculateur!AQ110*Calculateur!AS110*VLOOKUP('Données projet'!$B$10,Paramètres!$A$1:$I$89,3,0)*0.475*44/12</f>
        <v>0.55600442624123292</v>
      </c>
      <c r="AW110" s="21">
        <f>EXP(-LN(2)/2)*AW109+(1-EXP(-LN(2)/2))/(LN(2)/2)*AQ110*AT110*VLOOKUP('Données projet'!$B$10,Paramètres!$A$1:$I$89,3,0)*0.475*44/12</f>
        <v>1.7593572947458504E-11</v>
      </c>
      <c r="AX110" s="21">
        <f t="shared" si="60"/>
        <v>1.3689136264686468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5.6843418860808015E-14</v>
      </c>
      <c r="BE110" s="13">
        <f>BD110*VLOOKUP('Données projet'!$B$11,Paramètres!$A$1:$I$89,3,0)*VLOOKUP('Données projet'!$B$11,Paramètres!$A$1:$I$89,5,0)</f>
        <v>3.813056537183002E-14</v>
      </c>
      <c r="BF110" s="13">
        <f t="shared" si="91"/>
        <v>6.4086286045526829E-13</v>
      </c>
      <c r="BG110" s="20">
        <f t="shared" si="61"/>
        <v>1.1825802166488628E-12</v>
      </c>
      <c r="BH110" s="59">
        <f t="shared" si="62"/>
        <v>293.33333333333451</v>
      </c>
      <c r="BI110" s="59">
        <f ca="1">AVERAGE(OFFSET($BH$3,0,0,'Données projet'!$E$11+1,1))-AVERAGE(OFFSET($H$3,0,0,'Données projet'!$E$11+1,1))</f>
        <v>181.32837315090507</v>
      </c>
      <c r="BJ110" s="59">
        <f t="shared" si="92"/>
        <v>175.03267817980338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1.1919194090204843</v>
      </c>
      <c r="BQ110" s="21">
        <f>EXP(-LN(2)/25)*BQ109+(1-EXP(-LN(2)/25))/(LN(2)/25)*Calculateur!BL110*Calculateur!BN110*VLOOKUP('Données projet'!$B$11,Paramètres!$A$1:$I$89,3,0)*0.475*44/12</f>
        <v>0.80443253441988027</v>
      </c>
      <c r="BR110" s="21">
        <f>EXP(-LN(2)/2)*BR109+(1-EXP(-LN(2)/2))/(LN(2)/2)*BL110*BO110*VLOOKUP('Données projet'!$B$11,Paramètres!$A$1:$I$89,3,0)*0.475*44/12</f>
        <v>2.7291092462195615E-12</v>
      </c>
      <c r="BS110" s="22">
        <f t="shared" si="63"/>
        <v>1.9963519434430939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574.49999999999989</v>
      </c>
      <c r="BZ110" s="13">
        <f>BY110*VLOOKUP('Données projet'!$B$12,Paramètres!$A$1:$I$89,3,0)*VLOOKUP('Données projet'!$B$12,Paramètres!$A$1:$I$89,5,0)</f>
        <v>268.86599999999999</v>
      </c>
      <c r="CA110" s="13">
        <f t="shared" si="93"/>
        <v>64.608546947682441</v>
      </c>
      <c r="CB110" s="20">
        <f t="shared" si="64"/>
        <v>580.80150260054677</v>
      </c>
      <c r="CC110" s="59">
        <f t="shared" si="65"/>
        <v>874.13483593388014</v>
      </c>
      <c r="CD110" s="59">
        <f ca="1">AVERAGE(OFFSET($CC$3,0,0,'Données projet'!$E$12+1,1))-AVERAGE(OFFSET($H$3,0,0,'Données projet'!$E$12+1,1))</f>
        <v>226.0452828290525</v>
      </c>
      <c r="CE110" s="59">
        <f t="shared" si="94"/>
        <v>179.89696397462069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1.97531560298565</v>
      </c>
      <c r="CL110" s="21">
        <f>EXP(-LN(2)/25)*CL109+(1-EXP(-LN(2)/25))/(LN(2)/25)*Calculateur!CG110*Calculateur!CI110*VLOOKUP('Données projet'!$B$12,Paramètres!$A$1:$I$89,3,0)*0.475*44/12</f>
        <v>1.3187239702606557</v>
      </c>
      <c r="CM110" s="21">
        <f>EXP(-LN(2)/2)*CM109+(1-EXP(-LN(2)/2))/(LN(2)/2)*CG110*CJ110*VLOOKUP('Données projet'!$B$12,Paramètres!$A$1:$I$89,3,0)*0.475*44/12</f>
        <v>2.8407780153079663E-11</v>
      </c>
      <c r="CN110" s="22">
        <f t="shared" si="66"/>
        <v>3.2940395732747136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482.74318690313885</v>
      </c>
      <c r="CZ110" s="59">
        <f t="shared" si="96"/>
        <v>205.57161411620217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2.4981732051913235</v>
      </c>
      <c r="DG110" s="21">
        <f>EXP(-LN(2)/25)*DG109+(1-EXP(-LN(2)/25))/(LN(2)/25)*Calculateur!DB110*Calculateur!DD110*VLOOKUP('Données projet'!$B$13,Paramètres!$A$1:$I$89,3,0)*0.475*44/12</f>
        <v>1.1148213790595802</v>
      </c>
      <c r="DH110" s="21">
        <f>EXP(-LN(2)/2)*DH109+(1-EXP(-LN(2)/2))/(LN(2)/2)*DB110*DE110*VLOOKUP('Données projet'!$B$13,Paramètres!$A$1:$I$89,3,0)*0.475*44/12</f>
        <v>1.1650569205830742E-11</v>
      </c>
      <c r="DI110" s="22">
        <f t="shared" si="69"/>
        <v>3.6129945842625544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2.2737367544323206E-13</v>
      </c>
      <c r="DP110" s="17">
        <f>DO110*VLOOKUP('Données projet'!$B$14,Paramètres!$A$1:$I$89,3,0)*VLOOKUP('Données projet'!$B$14,Paramètres!$A$1:$I$89,5,0)</f>
        <v>1.0936673788819462E-13</v>
      </c>
      <c r="DQ110" s="13">
        <f t="shared" si="97"/>
        <v>1.6259645746645945E-12</v>
      </c>
      <c r="DR110" s="20">
        <f t="shared" si="70"/>
        <v>3.0223687026961078E-12</v>
      </c>
      <c r="DS110" s="59">
        <f t="shared" si="71"/>
        <v>293.33333333333633</v>
      </c>
      <c r="DT110" s="59">
        <f ca="1">AVERAGE(OFFSET($DS$3,0,0,'Données projet'!$E$14+1,1))-AVERAGE(OFFSET($H$3,0,0,'Données projet'!$E$14+1,1))</f>
        <v>247.11965163963526</v>
      </c>
      <c r="DU110" s="59">
        <f t="shared" si="98"/>
        <v>61.686311966192704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0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4.2</v>
      </c>
      <c r="N111" s="13">
        <f>IF('Données projet'!$A$36&gt;35,N110+M111-V110,IF(A111&lt;'Données projet'!$A$36,$K$205^A111,IF(A111='Données projet'!$A$36,'Données projet'!$B$36,N110+M111-V110)))</f>
        <v>276.59999999999997</v>
      </c>
      <c r="O111" s="13">
        <f>N111*VLOOKUP('Données projet'!$B$9,Paramètres!$A$1:$I$89,3,0)*VLOOKUP('Données projet'!$B$9,Paramètres!$A$1:$I$89,5,0)</f>
        <v>250.26767999999996</v>
      </c>
      <c r="P111" s="13">
        <f t="shared" si="87"/>
        <v>60.643256925083442</v>
      </c>
      <c r="Q111" s="20">
        <f t="shared" si="107"/>
        <v>541.50321514452014</v>
      </c>
      <c r="R111" s="59">
        <f t="shared" si="55"/>
        <v>834.83654847785351</v>
      </c>
      <c r="S111" s="59">
        <f ca="1">AVERAGE(OFFSET($R$3,0,0,'Données projet'!$E$9+1,1))-AVERAGE(OFFSET($H$3,0,0,'Données projet'!$E$9+1,1))</f>
        <v>265.50419397354284</v>
      </c>
      <c r="T111" s="59">
        <f t="shared" si="88"/>
        <v>156.67965022779907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0.71114116467573574</v>
      </c>
      <c r="AA111" s="21">
        <f>EXP(-LN(2)/25)*AA110+(1-EXP(-LN(2)/25))/(LN(2)/25)*Calculateur!V111*Calculateur!X111*VLOOKUP('Données projet'!$B$9,Paramètres!$A$1:$I$89,3,0)*0.475*44/12</f>
        <v>0.48256040686256219</v>
      </c>
      <c r="AB111" s="21">
        <f>EXP(-LN(2)/2)*AB110+(1-EXP(-LN(2)/2))/(LN(2)/2)*V111*Y111*VLOOKUP('Données projet'!$B$9,Paramètres!$A$1:$I$89,3,0)*0.475*44/12</f>
        <v>1.1100784841753688E-11</v>
      </c>
      <c r="AC111" s="22">
        <f t="shared" si="57"/>
        <v>1.1937015715493986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4.2</v>
      </c>
      <c r="AI111" s="13">
        <f>IF('Données projet'!$A$62&gt;35,AI110+AH111-AQ110,IF(A111&lt;'Données projet'!$A$62,$AF$205^A111,IF(A111='Données projet'!$A$62,'Données projet'!$B$62,AI110+AH111-AQ110)))</f>
        <v>276.59999999999997</v>
      </c>
      <c r="AJ111" s="13">
        <f>AI111*VLOOKUP('Données projet'!$B$10,Paramètres!$A$1:$I$89,3,0)*VLOOKUP('Données projet'!$B$10,Paramètres!$A$1:$I$89,5,0)</f>
        <v>280.47239999999999</v>
      </c>
      <c r="AK111" s="13">
        <f t="shared" si="89"/>
        <v>67.066830784504006</v>
      </c>
      <c r="AL111" s="20">
        <f t="shared" si="58"/>
        <v>605.29749361634447</v>
      </c>
      <c r="AM111" s="59">
        <f t="shared" si="59"/>
        <v>898.63082694967784</v>
      </c>
      <c r="AN111" s="59">
        <f ca="1">AVERAGE(OFFSET($AM$3,0,0,'Données projet'!$E$10+1,1))-AVERAGE(OFFSET($H$3,0,0,'Données projet'!$E$10+1,1))</f>
        <v>296.43642006376018</v>
      </c>
      <c r="AO111" s="59">
        <f t="shared" si="90"/>
        <v>179.56041631665812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0.79696854661935912</v>
      </c>
      <c r="AV111" s="21">
        <f>EXP(-LN(2)/25)*AV110+(1-EXP(-LN(2)/25))/(LN(2)/25)*Calculateur!AQ111*Calculateur!AS111*VLOOKUP('Données projet'!$B$10,Paramètres!$A$1:$I$89,3,0)*0.475*44/12</f>
        <v>0.54080045596666437</v>
      </c>
      <c r="AW111" s="21">
        <f>EXP(-LN(2)/2)*AW110+(1-EXP(-LN(2)/2))/(LN(2)/2)*AQ111*AT111*VLOOKUP('Données projet'!$B$10,Paramètres!$A$1:$I$89,3,0)*0.475*44/12</f>
        <v>1.2440534736448103E-11</v>
      </c>
      <c r="AX111" s="21">
        <f t="shared" si="60"/>
        <v>1.3377690025984641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5.6843418860808015E-14</v>
      </c>
      <c r="BE111" s="13">
        <f>BD111*VLOOKUP('Données projet'!$B$11,Paramètres!$A$1:$I$89,3,0)*VLOOKUP('Données projet'!$B$11,Paramètres!$A$1:$I$89,5,0)</f>
        <v>3.813056537183002E-14</v>
      </c>
      <c r="BF111" s="13">
        <f t="shared" si="91"/>
        <v>6.4086286045526829E-13</v>
      </c>
      <c r="BG111" s="20">
        <f t="shared" si="61"/>
        <v>1.1825802166488628E-12</v>
      </c>
      <c r="BH111" s="59">
        <f t="shared" si="62"/>
        <v>293.33333333333451</v>
      </c>
      <c r="BI111" s="59">
        <f ca="1">AVERAGE(OFFSET($BH$3,0,0,'Données projet'!$E$11+1,1))-AVERAGE(OFFSET($H$3,0,0,'Données projet'!$E$11+1,1))</f>
        <v>181.32837315090507</v>
      </c>
      <c r="BJ111" s="59">
        <f t="shared" si="92"/>
        <v>175.03267817980338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1.168546596408647</v>
      </c>
      <c r="BQ111" s="21">
        <f>EXP(-LN(2)/25)*BQ110+(1-EXP(-LN(2)/25))/(LN(2)/25)*Calculateur!BL111*Calculateur!BN111*VLOOKUP('Données projet'!$B$11,Paramètres!$A$1:$I$89,3,0)*0.475*44/12</f>
        <v>0.78243528446290023</v>
      </c>
      <c r="BR111" s="21">
        <f>EXP(-LN(2)/2)*BR110+(1-EXP(-LN(2)/2))/(LN(2)/2)*BL111*BO111*VLOOKUP('Données projet'!$B$11,Paramètres!$A$1:$I$89,3,0)*0.475*44/12</f>
        <v>1.9297716546007591E-12</v>
      </c>
      <c r="BS111" s="22">
        <f t="shared" si="63"/>
        <v>1.9509818808734771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574.49999999999989</v>
      </c>
      <c r="BZ111" s="13">
        <f>BY111*VLOOKUP('Données projet'!$B$12,Paramètres!$A$1:$I$89,3,0)*VLOOKUP('Données projet'!$B$12,Paramètres!$A$1:$I$89,5,0)</f>
        <v>268.86599999999999</v>
      </c>
      <c r="CA111" s="13">
        <f t="shared" si="93"/>
        <v>64.608546947682441</v>
      </c>
      <c r="CB111" s="20">
        <f t="shared" si="64"/>
        <v>580.80150260054677</v>
      </c>
      <c r="CC111" s="59">
        <f t="shared" si="65"/>
        <v>874.13483593388014</v>
      </c>
      <c r="CD111" s="59">
        <f ca="1">AVERAGE(OFFSET($CC$3,0,0,'Données projet'!$E$12+1,1))-AVERAGE(OFFSET($H$3,0,0,'Données projet'!$E$12+1,1))</f>
        <v>226.0452828290525</v>
      </c>
      <c r="CE111" s="59">
        <f t="shared" si="94"/>
        <v>179.89696397462069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1.9365808688346529</v>
      </c>
      <c r="CL111" s="21">
        <f>EXP(-LN(2)/25)*CL110+(1-EXP(-LN(2)/25))/(LN(2)/25)*Calculateur!CG111*Calculateur!CI111*VLOOKUP('Données projet'!$B$12,Paramètres!$A$1:$I$89,3,0)*0.475*44/12</f>
        <v>1.2826633939451983</v>
      </c>
      <c r="CM111" s="21">
        <f>EXP(-LN(2)/2)*CM110+(1-EXP(-LN(2)/2))/(LN(2)/2)*CG111*CJ111*VLOOKUP('Données projet'!$B$12,Paramètres!$A$1:$I$89,3,0)*0.475*44/12</f>
        <v>2.008733398469925E-11</v>
      </c>
      <c r="CN111" s="22">
        <f t="shared" si="66"/>
        <v>3.2192442627999385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482.74318690313885</v>
      </c>
      <c r="CZ111" s="59">
        <f t="shared" si="96"/>
        <v>205.57161411620217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2.4491855523727204</v>
      </c>
      <c r="DG111" s="21">
        <f>EXP(-LN(2)/25)*DG110+(1-EXP(-LN(2)/25))/(LN(2)/25)*Calculateur!DB111*Calculateur!DD111*VLOOKUP('Données projet'!$B$13,Paramètres!$A$1:$I$89,3,0)*0.475*44/12</f>
        <v>1.0843365298232877</v>
      </c>
      <c r="DH111" s="21">
        <f>EXP(-LN(2)/2)*DH110+(1-EXP(-LN(2)/2))/(LN(2)/2)*DB111*DE111*VLOOKUP('Données projet'!$B$13,Paramètres!$A$1:$I$89,3,0)*0.475*44/12</f>
        <v>8.238196490126087E-12</v>
      </c>
      <c r="DI111" s="22">
        <f t="shared" si="69"/>
        <v>3.5335220822042461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2.2737367544323206E-13</v>
      </c>
      <c r="DP111" s="17">
        <f>DO111*VLOOKUP('Données projet'!$B$14,Paramètres!$A$1:$I$89,3,0)*VLOOKUP('Données projet'!$B$14,Paramètres!$A$1:$I$89,5,0)</f>
        <v>1.0936673788819462E-13</v>
      </c>
      <c r="DQ111" s="13">
        <f t="shared" si="97"/>
        <v>1.6259645746645945E-12</v>
      </c>
      <c r="DR111" s="20">
        <f t="shared" si="70"/>
        <v>3.0223687026961078E-12</v>
      </c>
      <c r="DS111" s="59">
        <f t="shared" si="71"/>
        <v>293.33333333333633</v>
      </c>
      <c r="DT111" s="59">
        <f ca="1">AVERAGE(OFFSET($DS$3,0,0,'Données projet'!$E$14+1,1))-AVERAGE(OFFSET($H$3,0,0,'Données projet'!$E$14+1,1))</f>
        <v>247.11965163963526</v>
      </c>
      <c r="DU111" s="59">
        <f t="shared" si="98"/>
        <v>61.686311966192704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0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4.2</v>
      </c>
      <c r="N112" s="13">
        <f>IF('Données projet'!$A$36&gt;35,N111+M112-V111,IF(A112&lt;'Données projet'!$A$36,$K$205^A112,IF(A112='Données projet'!$A$36,'Données projet'!$B$36,N111+M112-V111)))</f>
        <v>280.79999999999995</v>
      </c>
      <c r="O112" s="13">
        <f>N112*VLOOKUP('Données projet'!$B$9,Paramètres!$A$1:$I$89,3,0)*VLOOKUP('Données projet'!$B$9,Paramètres!$A$1:$I$89,5,0)</f>
        <v>254.06783999999996</v>
      </c>
      <c r="P112" s="13">
        <f t="shared" si="87"/>
        <v>61.456187622750718</v>
      </c>
      <c r="Q112" s="20">
        <f t="shared" si="107"/>
        <v>549.53768144295748</v>
      </c>
      <c r="R112" s="59">
        <f t="shared" si="55"/>
        <v>842.87101477629085</v>
      </c>
      <c r="S112" s="59">
        <f ca="1">AVERAGE(OFFSET($R$3,0,0,'Données projet'!$E$9+1,1))-AVERAGE(OFFSET($H$3,0,0,'Données projet'!$E$9+1,1))</f>
        <v>265.50419397354284</v>
      </c>
      <c r="T112" s="59">
        <f t="shared" si="88"/>
        <v>156.67965022779907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0.69719612018972543</v>
      </c>
      <c r="AA112" s="21">
        <f>EXP(-LN(2)/25)*AA111+(1-EXP(-LN(2)/25))/(LN(2)/25)*Calculateur!V112*Calculateur!X112*VLOOKUP('Données projet'!$B$9,Paramètres!$A$1:$I$89,3,0)*0.475*44/12</f>
        <v>0.46936476716015652</v>
      </c>
      <c r="AB112" s="21">
        <f>EXP(-LN(2)/2)*AB111+(1-EXP(-LN(2)/2))/(LN(2)/2)*V112*Y112*VLOOKUP('Données projet'!$B$9,Paramètres!$A$1:$I$89,3,0)*0.475*44/12</f>
        <v>7.8494402380968684E-12</v>
      </c>
      <c r="AC112" s="22">
        <f t="shared" si="57"/>
        <v>1.1665608873577316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4.2</v>
      </c>
      <c r="AI112" s="13">
        <f>IF('Données projet'!$A$62&gt;35,AI111+AH112-AQ111,IF(A112&lt;'Données projet'!$A$62,$AF$205^A112,IF(A112='Données projet'!$A$62,'Données projet'!$B$62,AI111+AH112-AQ111)))</f>
        <v>280.79999999999995</v>
      </c>
      <c r="AJ112" s="13">
        <f>AI112*VLOOKUP('Données projet'!$B$10,Paramètres!$A$1:$I$89,3,0)*VLOOKUP('Données projet'!$B$10,Paramètres!$A$1:$I$89,5,0)</f>
        <v>284.7312</v>
      </c>
      <c r="AK112" s="13">
        <f t="shared" si="89"/>
        <v>67.96587032005101</v>
      </c>
      <c r="AL112" s="20">
        <f t="shared" si="58"/>
        <v>614.28073080742217</v>
      </c>
      <c r="AM112" s="59">
        <f t="shared" si="59"/>
        <v>907.61406414075554</v>
      </c>
      <c r="AN112" s="59">
        <f ca="1">AVERAGE(OFFSET($AM$3,0,0,'Données projet'!$E$10+1,1))-AVERAGE(OFFSET($H$3,0,0,'Données projet'!$E$10+1,1))</f>
        <v>296.43642006376018</v>
      </c>
      <c r="AO112" s="59">
        <f t="shared" si="90"/>
        <v>179.56041631665812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0.78134047952296826</v>
      </c>
      <c r="AV112" s="21">
        <f>EXP(-LN(2)/25)*AV111+(1-EXP(-LN(2)/25))/(LN(2)/25)*Calculateur!AQ112*Calculateur!AS112*VLOOKUP('Données projet'!$B$10,Paramètres!$A$1:$I$89,3,0)*0.475*44/12</f>
        <v>0.52601223905879602</v>
      </c>
      <c r="AW112" s="21">
        <f>EXP(-LN(2)/2)*AW111+(1-EXP(-LN(2)/2))/(LN(2)/2)*AQ112*AT112*VLOOKUP('Données projet'!$B$10,Paramètres!$A$1:$I$89,3,0)*0.475*44/12</f>
        <v>8.796786473729252E-12</v>
      </c>
      <c r="AX112" s="21">
        <f t="shared" si="60"/>
        <v>1.3073527185905609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5.6843418860808015E-14</v>
      </c>
      <c r="BE112" s="13">
        <f>BD112*VLOOKUP('Données projet'!$B$11,Paramètres!$A$1:$I$89,3,0)*VLOOKUP('Données projet'!$B$11,Paramètres!$A$1:$I$89,5,0)</f>
        <v>3.813056537183002E-14</v>
      </c>
      <c r="BF112" s="13">
        <f t="shared" si="91"/>
        <v>6.4086286045526829E-13</v>
      </c>
      <c r="BG112" s="20">
        <f t="shared" si="61"/>
        <v>1.1825802166488628E-12</v>
      </c>
      <c r="BH112" s="59">
        <f t="shared" si="62"/>
        <v>293.33333333333451</v>
      </c>
      <c r="BI112" s="59">
        <f ca="1">AVERAGE(OFFSET($BH$3,0,0,'Données projet'!$E$11+1,1))-AVERAGE(OFFSET($H$3,0,0,'Données projet'!$E$11+1,1))</f>
        <v>181.32837315090507</v>
      </c>
      <c r="BJ112" s="59">
        <f t="shared" si="92"/>
        <v>175.03267817980338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1.1456321103961198</v>
      </c>
      <c r="BQ112" s="21">
        <f>EXP(-LN(2)/25)*BQ111+(1-EXP(-LN(2)/25))/(LN(2)/25)*Calculateur!BL112*Calculateur!BN112*VLOOKUP('Données projet'!$B$11,Paramètres!$A$1:$I$89,3,0)*0.475*44/12</f>
        <v>0.76103955046277894</v>
      </c>
      <c r="BR112" s="21">
        <f>EXP(-LN(2)/2)*BR111+(1-EXP(-LN(2)/2))/(LN(2)/2)*BL112*BO112*VLOOKUP('Données projet'!$B$11,Paramètres!$A$1:$I$89,3,0)*0.475*44/12</f>
        <v>1.3645546231097807E-12</v>
      </c>
      <c r="BS112" s="22">
        <f t="shared" si="63"/>
        <v>1.9066716608602632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574.49999999999989</v>
      </c>
      <c r="BZ112" s="13">
        <f>BY112*VLOOKUP('Données projet'!$B$12,Paramètres!$A$1:$I$89,3,0)*VLOOKUP('Données projet'!$B$12,Paramètres!$A$1:$I$89,5,0)</f>
        <v>268.86599999999999</v>
      </c>
      <c r="CA112" s="13">
        <f t="shared" si="93"/>
        <v>64.608546947682441</v>
      </c>
      <c r="CB112" s="20">
        <f t="shared" si="64"/>
        <v>580.80150260054677</v>
      </c>
      <c r="CC112" s="59">
        <f t="shared" si="65"/>
        <v>874.13483593388014</v>
      </c>
      <c r="CD112" s="59">
        <f ca="1">AVERAGE(OFFSET($CC$3,0,0,'Données projet'!$E$12+1,1))-AVERAGE(OFFSET($H$3,0,0,'Données projet'!$E$12+1,1))</f>
        <v>226.0452828290525</v>
      </c>
      <c r="CE112" s="59">
        <f t="shared" si="94"/>
        <v>179.89696397462069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1.8986056991945017</v>
      </c>
      <c r="CL112" s="21">
        <f>EXP(-LN(2)/25)*CL111+(1-EXP(-LN(2)/25))/(LN(2)/25)*Calculateur!CG112*Calculateur!CI112*VLOOKUP('Données projet'!$B$12,Paramètres!$A$1:$I$89,3,0)*0.475*44/12</f>
        <v>1.2475888959854307</v>
      </c>
      <c r="CM112" s="21">
        <f>EXP(-LN(2)/2)*CM111+(1-EXP(-LN(2)/2))/(LN(2)/2)*CG112*CJ112*VLOOKUP('Données projet'!$B$12,Paramètres!$A$1:$I$89,3,0)*0.475*44/12</f>
        <v>1.4203890076539833E-11</v>
      </c>
      <c r="CN112" s="22">
        <f t="shared" si="66"/>
        <v>3.1461945951941361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482.74318690313885</v>
      </c>
      <c r="CZ112" s="59">
        <f t="shared" si="96"/>
        <v>205.57161411620217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2.4011585175463721</v>
      </c>
      <c r="DG112" s="21">
        <f>EXP(-LN(2)/25)*DG111+(1-EXP(-LN(2)/25))/(LN(2)/25)*Calculateur!DB112*Calculateur!DD112*VLOOKUP('Données projet'!$B$13,Paramètres!$A$1:$I$89,3,0)*0.475*44/12</f>
        <v>1.0546852903924899</v>
      </c>
      <c r="DH112" s="21">
        <f>EXP(-LN(2)/2)*DH111+(1-EXP(-LN(2)/2))/(LN(2)/2)*DB112*DE112*VLOOKUP('Données projet'!$B$13,Paramètres!$A$1:$I$89,3,0)*0.475*44/12</f>
        <v>5.8252846029153708E-12</v>
      </c>
      <c r="DI112" s="22">
        <f t="shared" si="69"/>
        <v>3.4558438079446874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2.2737367544323206E-13</v>
      </c>
      <c r="DP112" s="17">
        <f>DO112*VLOOKUP('Données projet'!$B$14,Paramètres!$A$1:$I$89,3,0)*VLOOKUP('Données projet'!$B$14,Paramètres!$A$1:$I$89,5,0)</f>
        <v>1.0936673788819462E-13</v>
      </c>
      <c r="DQ112" s="13">
        <f t="shared" si="97"/>
        <v>1.6259645746645945E-12</v>
      </c>
      <c r="DR112" s="20">
        <f t="shared" si="70"/>
        <v>3.0223687026961078E-12</v>
      </c>
      <c r="DS112" s="59">
        <f t="shared" si="71"/>
        <v>293.33333333333633</v>
      </c>
      <c r="DT112" s="59">
        <f ca="1">AVERAGE(OFFSET($DS$3,0,0,'Données projet'!$E$14+1,1))-AVERAGE(OFFSET($H$3,0,0,'Données projet'!$E$14+1,1))</f>
        <v>247.11965163963526</v>
      </c>
      <c r="DU112" s="59">
        <f t="shared" si="98"/>
        <v>61.686311966192704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0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285</v>
      </c>
      <c r="L113" s="12">
        <f>VLOOKUP(A113,'Données projet'!$A$35:$I$55,9,0)</f>
        <v>4.2</v>
      </c>
      <c r="M113" s="12">
        <f t="array" ref="M113">INDEX(L:L,MIN(IF(ISNUMBER(L113:L309),ROW(L113:L309),"")))</f>
        <v>4.2</v>
      </c>
      <c r="N113" s="13">
        <f>IF('Données projet'!$A$36&gt;35,N112+M113-V112,IF(A113&lt;'Données projet'!$A$36,$K$205^A113,IF(A113='Données projet'!$A$36,'Données projet'!$B$36,N112+M113-V112)))</f>
        <v>284.99999999999994</v>
      </c>
      <c r="O113" s="13">
        <f>N113*VLOOKUP('Données projet'!$B$9,Paramètres!$A$1:$I$89,3,0)*VLOOKUP('Données projet'!$B$9,Paramètres!$A$1:$I$89,5,0)</f>
        <v>257.86799999999994</v>
      </c>
      <c r="P113" s="13">
        <f t="shared" si="87"/>
        <v>62.267704162827528</v>
      </c>
      <c r="Q113" s="20">
        <f t="shared" si="107"/>
        <v>557.56968475025781</v>
      </c>
      <c r="R113" s="59">
        <f t="shared" si="55"/>
        <v>850.90301808359118</v>
      </c>
      <c r="S113" s="59">
        <f ca="1">AVERAGE(OFFSET($R$3,0,0,'Données projet'!$E$9+1,1))-AVERAGE(OFFSET($H$3,0,0,'Données projet'!$E$9+1,1))</f>
        <v>265.50419397354284</v>
      </c>
      <c r="T113" s="59">
        <f t="shared" si="88"/>
        <v>156.67965022779907</v>
      </c>
      <c r="U113" s="15">
        <f>IF(ISNA(VLOOKUP(A113,'Données projet'!$A$35:$I$55,3,0)),0,VLOOKUP(A113,'Données projet'!$A$35:$I$55,3,0))</f>
        <v>19</v>
      </c>
      <c r="V113" s="15">
        <f>IF(ISNA(VLOOKUP(A113,'Données projet'!$A$35:$I$55,4,0)),0,VLOOKUP(A113,'Données projet'!$A$35:$I$55,4,0))</f>
        <v>19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0.68352452952044851</v>
      </c>
      <c r="AA113" s="21">
        <f>EXP(-LN(2)/25)*AA112+(1-EXP(-LN(2)/25))/(LN(2)/25)*Calculateur!V113*Calculateur!X113*VLOOKUP('Données projet'!$B$9,Paramètres!$A$1:$I$89,3,0)*0.475*44/12</f>
        <v>0.45652996291934167</v>
      </c>
      <c r="AB113" s="21">
        <f>EXP(-LN(2)/2)*AB112+(1-EXP(-LN(2)/2))/(LN(2)/2)*V113*Y113*VLOOKUP('Données projet'!$B$9,Paramètres!$A$1:$I$89,3,0)*0.475*44/12</f>
        <v>5.5503924208768438E-12</v>
      </c>
      <c r="AC113" s="22">
        <f t="shared" si="57"/>
        <v>1.1400544924453406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285</v>
      </c>
      <c r="AG113" s="12">
        <f>VLOOKUP(A113,'Données projet'!$A$61:$I$81,9,0)</f>
        <v>4.2</v>
      </c>
      <c r="AH113" s="12">
        <f t="array" ref="AH113">INDEX(AG:AG,MIN(IF(ISNUMBER(AG113:AG309),ROW(AG113:AG309),"")))</f>
        <v>4.2</v>
      </c>
      <c r="AI113" s="13">
        <f>IF('Données projet'!$A$62&gt;35,AI112+AH113-AQ112,IF(A113&lt;'Données projet'!$A$62,$AF$205^A113,IF(A113='Données projet'!$A$62,'Données projet'!$B$62,AI112+AH113-AQ112)))</f>
        <v>284.99999999999994</v>
      </c>
      <c r="AJ113" s="13">
        <f>AI113*VLOOKUP('Données projet'!$B$10,Paramètres!$A$1:$I$89,3,0)*VLOOKUP('Données projet'!$B$10,Paramètres!$A$1:$I$89,5,0)</f>
        <v>288.98999999999995</v>
      </c>
      <c r="AK113" s="13">
        <f t="shared" si="89"/>
        <v>68.863345904836791</v>
      </c>
      <c r="AL113" s="20">
        <f t="shared" si="58"/>
        <v>623.26124411759065</v>
      </c>
      <c r="AM113" s="59">
        <f t="shared" si="59"/>
        <v>916.59457745092391</v>
      </c>
      <c r="AN113" s="59">
        <f ca="1">AVERAGE(OFFSET($AM$3,0,0,'Données projet'!$E$10+1,1))-AVERAGE(OFFSET($H$3,0,0,'Données projet'!$E$10+1,1))</f>
        <v>296.43642006376018</v>
      </c>
      <c r="AO113" s="59">
        <f t="shared" si="90"/>
        <v>179.56041631665812</v>
      </c>
      <c r="AP113" s="15">
        <f>IF(ISNA(VLOOKUP(A113,'Données projet'!$A$61:$I$81,3,0)),0,VLOOKUP(A113,'Données projet'!$A$61:$I$81,3,0))</f>
        <v>19</v>
      </c>
      <c r="AQ113" s="15">
        <f>IF(ISNA(VLOOKUP(A113,'Données projet'!$A$61:$I$81,4,0)),0,VLOOKUP(A113,'Données projet'!$A$61:$I$81,4,0))</f>
        <v>19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0.76601886929015794</v>
      </c>
      <c r="AV113" s="21">
        <f>EXP(-LN(2)/25)*AV112+(1-EXP(-LN(2)/25))/(LN(2)/25)*Calculateur!AQ113*Calculateur!AS113*VLOOKUP('Données projet'!$B$10,Paramètres!$A$1:$I$89,3,0)*0.475*44/12</f>
        <v>0.5116284067199518</v>
      </c>
      <c r="AW113" s="21">
        <f>EXP(-LN(2)/2)*AW112+(1-EXP(-LN(2)/2))/(LN(2)/2)*AQ113*AT113*VLOOKUP('Données projet'!$B$10,Paramètres!$A$1:$I$89,3,0)*0.475*44/12</f>
        <v>6.2202673682240513E-12</v>
      </c>
      <c r="AX113" s="21">
        <f t="shared" si="60"/>
        <v>1.2776472760163302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5.6843418860808015E-14</v>
      </c>
      <c r="BE113" s="13">
        <f>BD113*VLOOKUP('Données projet'!$B$11,Paramètres!$A$1:$I$89,3,0)*VLOOKUP('Données projet'!$B$11,Paramètres!$A$1:$I$89,5,0)</f>
        <v>3.813056537183002E-14</v>
      </c>
      <c r="BF113" s="13">
        <f t="shared" si="91"/>
        <v>6.4086286045526829E-13</v>
      </c>
      <c r="BG113" s="20">
        <f t="shared" si="61"/>
        <v>1.1825802166488628E-12</v>
      </c>
      <c r="BH113" s="59">
        <f t="shared" si="62"/>
        <v>293.33333333333451</v>
      </c>
      <c r="BI113" s="59">
        <f ca="1">AVERAGE(OFFSET($BH$3,0,0,'Données projet'!$E$11+1,1))-AVERAGE(OFFSET($H$3,0,0,'Données projet'!$E$11+1,1))</f>
        <v>181.32837315090507</v>
      </c>
      <c r="BJ113" s="59">
        <f t="shared" si="92"/>
        <v>175.03267817980338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1.1231669634778418</v>
      </c>
      <c r="BQ113" s="21">
        <f>EXP(-LN(2)/25)*BQ112+(1-EXP(-LN(2)/25))/(LN(2)/25)*Calculateur!BL113*Calculateur!BN113*VLOOKUP('Données projet'!$B$11,Paramètres!$A$1:$I$89,3,0)*0.475*44/12</f>
        <v>0.74022888393404362</v>
      </c>
      <c r="BR113" s="21">
        <f>EXP(-LN(2)/2)*BR112+(1-EXP(-LN(2)/2))/(LN(2)/2)*BL113*BO113*VLOOKUP('Données projet'!$B$11,Paramètres!$A$1:$I$89,3,0)*0.475*44/12</f>
        <v>9.6488582730037954E-13</v>
      </c>
      <c r="BS113" s="22">
        <f t="shared" si="63"/>
        <v>1.8633958474128502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574.49999999999989</v>
      </c>
      <c r="BZ113" s="13">
        <f>BY113*VLOOKUP('Données projet'!$B$12,Paramètres!$A$1:$I$89,3,0)*VLOOKUP('Données projet'!$B$12,Paramètres!$A$1:$I$89,5,0)</f>
        <v>268.86599999999999</v>
      </c>
      <c r="CA113" s="13">
        <f t="shared" si="93"/>
        <v>64.608546947682441</v>
      </c>
      <c r="CB113" s="20">
        <f t="shared" si="64"/>
        <v>580.80150260054677</v>
      </c>
      <c r="CC113" s="59">
        <f t="shared" si="65"/>
        <v>874.13483593388014</v>
      </c>
      <c r="CD113" s="59">
        <f ca="1">AVERAGE(OFFSET($CC$3,0,0,'Données projet'!$E$12+1,1))-AVERAGE(OFFSET($H$3,0,0,'Données projet'!$E$12+1,1))</f>
        <v>226.0452828290525</v>
      </c>
      <c r="CE113" s="59">
        <f t="shared" si="94"/>
        <v>179.89696397462069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1.8613751994684276</v>
      </c>
      <c r="CL113" s="21">
        <f>EXP(-LN(2)/25)*CL112+(1-EXP(-LN(2)/25))/(LN(2)/25)*Calculateur!CG113*Calculateur!CI113*VLOOKUP('Données projet'!$B$12,Paramètres!$A$1:$I$89,3,0)*0.475*44/12</f>
        <v>1.2134735120168605</v>
      </c>
      <c r="CM113" s="21">
        <f>EXP(-LN(2)/2)*CM112+(1-EXP(-LN(2)/2))/(LN(2)/2)*CG113*CJ113*VLOOKUP('Données projet'!$B$12,Paramètres!$A$1:$I$89,3,0)*0.475*44/12</f>
        <v>1.0043666992349627E-11</v>
      </c>
      <c r="CN113" s="22">
        <f t="shared" si="66"/>
        <v>3.0748487114953313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482.74318690313885</v>
      </c>
      <c r="CZ113" s="59">
        <f t="shared" si="96"/>
        <v>205.57161411620217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2.35407326357937</v>
      </c>
      <c r="DG113" s="21">
        <f>EXP(-LN(2)/25)*DG112+(1-EXP(-LN(2)/25))/(LN(2)/25)*Calculateur!DB113*Calculateur!DD113*VLOOKUP('Données projet'!$B$13,Paramètres!$A$1:$I$89,3,0)*0.475*44/12</f>
        <v>1.0258448656632184</v>
      </c>
      <c r="DH113" s="21">
        <f>EXP(-LN(2)/2)*DH112+(1-EXP(-LN(2)/2))/(LN(2)/2)*DB113*DE113*VLOOKUP('Données projet'!$B$13,Paramètres!$A$1:$I$89,3,0)*0.475*44/12</f>
        <v>4.1190982450630435E-12</v>
      </c>
      <c r="DI113" s="22">
        <f t="shared" si="69"/>
        <v>3.3799181292467071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2.2737367544323206E-13</v>
      </c>
      <c r="DP113" s="17">
        <f>DO113*VLOOKUP('Données projet'!$B$14,Paramètres!$A$1:$I$89,3,0)*VLOOKUP('Données projet'!$B$14,Paramètres!$A$1:$I$89,5,0)</f>
        <v>1.0936673788819462E-13</v>
      </c>
      <c r="DQ113" s="13">
        <f t="shared" si="97"/>
        <v>1.6259645746645945E-12</v>
      </c>
      <c r="DR113" s="20">
        <f t="shared" si="70"/>
        <v>3.0223687026961078E-12</v>
      </c>
      <c r="DS113" s="59">
        <f t="shared" si="71"/>
        <v>293.33333333333633</v>
      </c>
      <c r="DT113" s="59">
        <f ca="1">AVERAGE(OFFSET($DS$3,0,0,'Données projet'!$E$14+1,1))-AVERAGE(OFFSET($H$3,0,0,'Données projet'!$E$14+1,1))</f>
        <v>247.11965163963526</v>
      </c>
      <c r="DU113" s="59">
        <f t="shared" si="98"/>
        <v>61.686311966192704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0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3.4</v>
      </c>
      <c r="N114" s="13">
        <f>IF('Données projet'!$A$36&gt;35,N113+M114-V113,IF(A114&lt;'Données projet'!$A$36,$K$205^A114,IF(A114='Données projet'!$A$36,'Données projet'!$B$36,N113+M114-V113)))</f>
        <v>269.39999999999992</v>
      </c>
      <c r="O114" s="13">
        <f>N114*VLOOKUP('Données projet'!$B$9,Paramètres!$A$1:$I$89,3,0)*VLOOKUP('Données projet'!$B$9,Paramètres!$A$1:$I$89,5,0)</f>
        <v>243.75311999999994</v>
      </c>
      <c r="P114" s="13">
        <f t="shared" si="87"/>
        <v>59.246301841839099</v>
      </c>
      <c r="Q114" s="20">
        <f t="shared" si="107"/>
        <v>527.72399304120302</v>
      </c>
      <c r="R114" s="59">
        <f t="shared" si="55"/>
        <v>821.05732637453639</v>
      </c>
      <c r="S114" s="59">
        <f ca="1">AVERAGE(OFFSET($R$3,0,0,'Données projet'!$E$9+1,1))-AVERAGE(OFFSET($H$3,0,0,'Données projet'!$E$9+1,1))</f>
        <v>265.50419397354284</v>
      </c>
      <c r="T114" s="59">
        <f t="shared" si="88"/>
        <v>156.67965022779907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0.67012103040534921</v>
      </c>
      <c r="AA114" s="21">
        <f>EXP(-LN(2)/25)*AA113+(1-EXP(-LN(2)/25))/(LN(2)/25)*Calculateur!V114*Calculateur!X114*VLOOKUP('Données projet'!$B$9,Paramètres!$A$1:$I$89,3,0)*0.475*44/12</f>
        <v>0.44404612707544494</v>
      </c>
      <c r="AB114" s="21">
        <f>EXP(-LN(2)/2)*AB113+(1-EXP(-LN(2)/2))/(LN(2)/2)*V114*Y114*VLOOKUP('Données projet'!$B$9,Paramètres!$A$1:$I$89,3,0)*0.475*44/12</f>
        <v>3.9247201190484342E-12</v>
      </c>
      <c r="AC114" s="22">
        <f t="shared" si="57"/>
        <v>1.1141671574847187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3.4</v>
      </c>
      <c r="AI114" s="13">
        <f>IF('Données projet'!$A$62&gt;35,AI113+AH114-AQ113,IF(A114&lt;'Données projet'!$A$62,$AF$205^A114,IF(A114='Données projet'!$A$62,'Données projet'!$B$62,AI113+AH114-AQ113)))</f>
        <v>269.39999999999992</v>
      </c>
      <c r="AJ114" s="13">
        <f>AI114*VLOOKUP('Données projet'!$B$10,Paramètres!$A$1:$I$89,3,0)*VLOOKUP('Données projet'!$B$10,Paramètres!$A$1:$I$89,5,0)</f>
        <v>273.17159999999996</v>
      </c>
      <c r="AK114" s="13">
        <f t="shared" si="89"/>
        <v>65.521904688314322</v>
      </c>
      <c r="AL114" s="20">
        <f t="shared" si="58"/>
        <v>589.8911873321473</v>
      </c>
      <c r="AM114" s="59">
        <f t="shared" si="59"/>
        <v>883.22452066548067</v>
      </c>
      <c r="AN114" s="59">
        <f ca="1">AVERAGE(OFFSET($AM$3,0,0,'Données projet'!$E$10+1,1))-AVERAGE(OFFSET($H$3,0,0,'Données projet'!$E$10+1,1))</f>
        <v>296.43642006376018</v>
      </c>
      <c r="AO114" s="59">
        <f t="shared" si="90"/>
        <v>179.56041631665812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0.75099770648875352</v>
      </c>
      <c r="AV114" s="21">
        <f>EXP(-LN(2)/25)*AV113+(1-EXP(-LN(2)/25))/(LN(2)/25)*Calculateur!AQ114*Calculateur!AS114*VLOOKUP('Données projet'!$B$10,Paramètres!$A$1:$I$89,3,0)*0.475*44/12</f>
        <v>0.49763790103282612</v>
      </c>
      <c r="AW114" s="21">
        <f>EXP(-LN(2)/2)*AW113+(1-EXP(-LN(2)/2))/(LN(2)/2)*AQ114*AT114*VLOOKUP('Données projet'!$B$10,Paramètres!$A$1:$I$89,3,0)*0.475*44/12</f>
        <v>4.398393236864626E-12</v>
      </c>
      <c r="AX114" s="21">
        <f t="shared" si="60"/>
        <v>1.2486356075259781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5.6843418860808015E-14</v>
      </c>
      <c r="BE114" s="13">
        <f>BD114*VLOOKUP('Données projet'!$B$11,Paramètres!$A$1:$I$89,3,0)*VLOOKUP('Données projet'!$B$11,Paramètres!$A$1:$I$89,5,0)</f>
        <v>3.813056537183002E-14</v>
      </c>
      <c r="BF114" s="13">
        <f t="shared" si="91"/>
        <v>6.4086286045526829E-13</v>
      </c>
      <c r="BG114" s="20">
        <f t="shared" si="61"/>
        <v>1.1825802166488628E-12</v>
      </c>
      <c r="BH114" s="59">
        <f t="shared" si="62"/>
        <v>293.33333333333451</v>
      </c>
      <c r="BI114" s="59">
        <f ca="1">AVERAGE(OFFSET($BH$3,0,0,'Données projet'!$E$11+1,1))-AVERAGE(OFFSET($H$3,0,0,'Données projet'!$E$11+1,1))</f>
        <v>181.32837315090507</v>
      </c>
      <c r="BJ114" s="59">
        <f t="shared" si="92"/>
        <v>175.03267817980338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1.1011423443882447</v>
      </c>
      <c r="BQ114" s="21">
        <f>EXP(-LN(2)/25)*BQ113+(1-EXP(-LN(2)/25))/(LN(2)/25)*Calculateur!BL114*Calculateur!BN114*VLOOKUP('Données projet'!$B$11,Paramètres!$A$1:$I$89,3,0)*0.475*44/12</f>
        <v>0.719987286175922</v>
      </c>
      <c r="BR114" s="21">
        <f>EXP(-LN(2)/2)*BR113+(1-EXP(-LN(2)/2))/(LN(2)/2)*BL114*BO114*VLOOKUP('Données projet'!$B$11,Paramètres!$A$1:$I$89,3,0)*0.475*44/12</f>
        <v>6.8227731155489037E-13</v>
      </c>
      <c r="BS114" s="22">
        <f t="shared" si="63"/>
        <v>1.821129630564849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574.49999999999989</v>
      </c>
      <c r="BZ114" s="13">
        <f>BY114*VLOOKUP('Données projet'!$B$12,Paramètres!$A$1:$I$89,3,0)*VLOOKUP('Données projet'!$B$12,Paramètres!$A$1:$I$89,5,0)</f>
        <v>268.86599999999999</v>
      </c>
      <c r="CA114" s="13">
        <f t="shared" si="93"/>
        <v>64.608546947682441</v>
      </c>
      <c r="CB114" s="20">
        <f t="shared" si="64"/>
        <v>580.80150260054677</v>
      </c>
      <c r="CC114" s="59">
        <f t="shared" si="65"/>
        <v>874.13483593388014</v>
      </c>
      <c r="CD114" s="59">
        <f ca="1">AVERAGE(OFFSET($CC$3,0,0,'Données projet'!$E$12+1,1))-AVERAGE(OFFSET($H$3,0,0,'Données projet'!$E$12+1,1))</f>
        <v>226.0452828290525</v>
      </c>
      <c r="CE114" s="59">
        <f t="shared" si="94"/>
        <v>179.89696397462069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1.8248747671336192</v>
      </c>
      <c r="CL114" s="21">
        <f>EXP(-LN(2)/25)*CL113+(1-EXP(-LN(2)/25))/(LN(2)/25)*Calculateur!CG114*Calculateur!CI114*VLOOKUP('Données projet'!$B$12,Paramètres!$A$1:$I$89,3,0)*0.475*44/12</f>
        <v>1.1802910150169608</v>
      </c>
      <c r="CM114" s="21">
        <f>EXP(-LN(2)/2)*CM113+(1-EXP(-LN(2)/2))/(LN(2)/2)*CG114*CJ114*VLOOKUP('Données projet'!$B$12,Paramètres!$A$1:$I$89,3,0)*0.475*44/12</f>
        <v>7.1019450382699182E-12</v>
      </c>
      <c r="CN114" s="22">
        <f t="shared" si="66"/>
        <v>3.0051657821576816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482.74318690313885</v>
      </c>
      <c r="CZ114" s="59">
        <f t="shared" si="96"/>
        <v>205.57161411620217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2.3079113227234918</v>
      </c>
      <c r="DG114" s="21">
        <f>EXP(-LN(2)/25)*DG113+(1-EXP(-LN(2)/25))/(LN(2)/25)*Calculateur!DB114*Calculateur!DD114*VLOOKUP('Données projet'!$B$13,Paramètres!$A$1:$I$89,3,0)*0.475*44/12</f>
        <v>0.9977930838648208</v>
      </c>
      <c r="DH114" s="21">
        <f>EXP(-LN(2)/2)*DH113+(1-EXP(-LN(2)/2))/(LN(2)/2)*DB114*DE114*VLOOKUP('Données projet'!$B$13,Paramètres!$A$1:$I$89,3,0)*0.475*44/12</f>
        <v>2.9126423014576854E-12</v>
      </c>
      <c r="DI114" s="22">
        <f t="shared" si="69"/>
        <v>3.3057044065912256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2.2737367544323206E-13</v>
      </c>
      <c r="DP114" s="17">
        <f>DO114*VLOOKUP('Données projet'!$B$14,Paramètres!$A$1:$I$89,3,0)*VLOOKUP('Données projet'!$B$14,Paramètres!$A$1:$I$89,5,0)</f>
        <v>1.0936673788819462E-13</v>
      </c>
      <c r="DQ114" s="13">
        <f t="shared" si="97"/>
        <v>1.6259645746645945E-12</v>
      </c>
      <c r="DR114" s="20">
        <f t="shared" si="70"/>
        <v>3.0223687026961078E-12</v>
      </c>
      <c r="DS114" s="59">
        <f t="shared" si="71"/>
        <v>293.33333333333633</v>
      </c>
      <c r="DT114" s="59">
        <f ca="1">AVERAGE(OFFSET($DS$3,0,0,'Données projet'!$E$14+1,1))-AVERAGE(OFFSET($H$3,0,0,'Données projet'!$E$14+1,1))</f>
        <v>247.11965163963526</v>
      </c>
      <c r="DU114" s="59">
        <f t="shared" si="98"/>
        <v>61.686311966192704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0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3.4</v>
      </c>
      <c r="N115" s="13">
        <f>IF('Données projet'!$A$36&gt;35,N114+M115-V114,IF(A115&lt;'Données projet'!$A$36,$K$205^A115,IF(A115='Données projet'!$A$36,'Données projet'!$B$36,N114+M115-V114)))</f>
        <v>272.7999999999999</v>
      </c>
      <c r="O115" s="13">
        <f>N115*VLOOKUP('Données projet'!$B$9,Paramètres!$A$1:$I$89,3,0)*VLOOKUP('Données projet'!$B$9,Paramètres!$A$1:$I$89,5,0)</f>
        <v>246.82943999999989</v>
      </c>
      <c r="P115" s="13">
        <f t="shared" si="87"/>
        <v>59.906509645447436</v>
      </c>
      <c r="Q115" s="20">
        <f t="shared" si="107"/>
        <v>534.23177896582058</v>
      </c>
      <c r="R115" s="59">
        <f t="shared" si="55"/>
        <v>827.56511229915395</v>
      </c>
      <c r="S115" s="59">
        <f ca="1">AVERAGE(OFFSET($R$3,0,0,'Données projet'!$E$9+1,1))-AVERAGE(OFFSET($H$3,0,0,'Données projet'!$E$9+1,1))</f>
        <v>265.50419397354284</v>
      </c>
      <c r="T115" s="59">
        <f t="shared" si="88"/>
        <v>156.67965022779907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0.65698036573256979</v>
      </c>
      <c r="AA115" s="21">
        <f>EXP(-LN(2)/25)*AA114+(1-EXP(-LN(2)/25))/(LN(2)/25)*Calculateur!V115*Calculateur!X115*VLOOKUP('Données projet'!$B$9,Paramètres!$A$1:$I$89,3,0)*0.475*44/12</f>
        <v>0.43190366237919597</v>
      </c>
      <c r="AB115" s="21">
        <f>EXP(-LN(2)/2)*AB114+(1-EXP(-LN(2)/2))/(LN(2)/2)*V115*Y115*VLOOKUP('Données projet'!$B$9,Paramètres!$A$1:$I$89,3,0)*0.475*44/12</f>
        <v>2.7751962104384219E-12</v>
      </c>
      <c r="AC115" s="22">
        <f t="shared" si="57"/>
        <v>1.0888840281145409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3.4</v>
      </c>
      <c r="AI115" s="13">
        <f>IF('Données projet'!$A$62&gt;35,AI114+AH115-AQ114,IF(A115&lt;'Données projet'!$A$62,$AF$205^A115,IF(A115='Données projet'!$A$62,'Données projet'!$B$62,AI114+AH115-AQ114)))</f>
        <v>272.7999999999999</v>
      </c>
      <c r="AJ115" s="13">
        <f>AI115*VLOOKUP('Données projet'!$B$10,Paramètres!$A$1:$I$89,3,0)*VLOOKUP('Données projet'!$B$10,Paramètres!$A$1:$I$89,5,0)</f>
        <v>276.61919999999992</v>
      </c>
      <c r="AK115" s="13">
        <f t="shared" si="89"/>
        <v>66.252044316235512</v>
      </c>
      <c r="AL115" s="20">
        <f t="shared" si="58"/>
        <v>597.16741718411004</v>
      </c>
      <c r="AM115" s="59">
        <f t="shared" si="59"/>
        <v>890.50075051744329</v>
      </c>
      <c r="AN115" s="59">
        <f ca="1">AVERAGE(OFFSET($AM$3,0,0,'Données projet'!$E$10+1,1))-AVERAGE(OFFSET($H$3,0,0,'Données projet'!$E$10+1,1))</f>
        <v>296.43642006376018</v>
      </c>
      <c r="AO115" s="59">
        <f t="shared" si="90"/>
        <v>179.56041631665812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0.73627109952788006</v>
      </c>
      <c r="AV115" s="21">
        <f>EXP(-LN(2)/25)*AV114+(1-EXP(-LN(2)/25))/(LN(2)/25)*Calculateur!AQ115*Calculateur!AS115*VLOOKUP('Données projet'!$B$10,Paramètres!$A$1:$I$89,3,0)*0.475*44/12</f>
        <v>0.48402996645944363</v>
      </c>
      <c r="AW115" s="21">
        <f>EXP(-LN(2)/2)*AW114+(1-EXP(-LN(2)/2))/(LN(2)/2)*AQ115*AT115*VLOOKUP('Données projet'!$B$10,Paramètres!$A$1:$I$89,3,0)*0.475*44/12</f>
        <v>3.1101336841120256E-12</v>
      </c>
      <c r="AX115" s="21">
        <f t="shared" si="60"/>
        <v>1.2203010659904339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5.6843418860808015E-14</v>
      </c>
      <c r="BE115" s="13">
        <f>BD115*VLOOKUP('Données projet'!$B$11,Paramètres!$A$1:$I$89,3,0)*VLOOKUP('Données projet'!$B$11,Paramètres!$A$1:$I$89,5,0)</f>
        <v>3.813056537183002E-14</v>
      </c>
      <c r="BF115" s="13">
        <f t="shared" si="91"/>
        <v>6.4086286045526829E-13</v>
      </c>
      <c r="BG115" s="20">
        <f t="shared" si="61"/>
        <v>1.1825802166488628E-12</v>
      </c>
      <c r="BH115" s="59">
        <f t="shared" si="62"/>
        <v>293.33333333333451</v>
      </c>
      <c r="BI115" s="59">
        <f ca="1">AVERAGE(OFFSET($BH$3,0,0,'Données projet'!$E$11+1,1))-AVERAGE(OFFSET($H$3,0,0,'Données projet'!$E$11+1,1))</f>
        <v>181.32837315090507</v>
      </c>
      <c r="BJ115" s="59">
        <f t="shared" si="92"/>
        <v>175.03267817980338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1.0795496146453032</v>
      </c>
      <c r="BQ115" s="21">
        <f>EXP(-LN(2)/25)*BQ114+(1-EXP(-LN(2)/25))/(LN(2)/25)*Calculateur!BL115*Calculateur!BN115*VLOOKUP('Données projet'!$B$11,Paramètres!$A$1:$I$89,3,0)*0.475*44/12</f>
        <v>0.70029919597295553</v>
      </c>
      <c r="BR115" s="21">
        <f>EXP(-LN(2)/2)*BR114+(1-EXP(-LN(2)/2))/(LN(2)/2)*BL115*BO115*VLOOKUP('Données projet'!$B$11,Paramètres!$A$1:$I$89,3,0)*0.475*44/12</f>
        <v>4.8244291365018977E-13</v>
      </c>
      <c r="BS115" s="22">
        <f t="shared" si="63"/>
        <v>1.7798488106187411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574.49999999999989</v>
      </c>
      <c r="BZ115" s="13">
        <f>BY115*VLOOKUP('Données projet'!$B$12,Paramètres!$A$1:$I$89,3,0)*VLOOKUP('Données projet'!$B$12,Paramètres!$A$1:$I$89,5,0)</f>
        <v>268.86599999999999</v>
      </c>
      <c r="CA115" s="13">
        <f t="shared" si="93"/>
        <v>64.608546947682441</v>
      </c>
      <c r="CB115" s="20">
        <f t="shared" si="64"/>
        <v>580.80150260054677</v>
      </c>
      <c r="CC115" s="59">
        <f t="shared" si="65"/>
        <v>874.13483593388014</v>
      </c>
      <c r="CD115" s="59">
        <f ca="1">AVERAGE(OFFSET($CC$3,0,0,'Données projet'!$E$12+1,1))-AVERAGE(OFFSET($H$3,0,0,'Données projet'!$E$12+1,1))</f>
        <v>226.0452828290525</v>
      </c>
      <c r="CE115" s="59">
        <f t="shared" si="94"/>
        <v>179.89696397462069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1.789090086013831</v>
      </c>
      <c r="CL115" s="21">
        <f>EXP(-LN(2)/25)*CL114+(1-EXP(-LN(2)/25))/(LN(2)/25)*Calculateur!CG115*Calculateur!CI115*VLOOKUP('Données projet'!$B$12,Paramètres!$A$1:$I$89,3,0)*0.475*44/12</f>
        <v>1.148015895142515</v>
      </c>
      <c r="CM115" s="21">
        <f>EXP(-LN(2)/2)*CM114+(1-EXP(-LN(2)/2))/(LN(2)/2)*CG115*CJ115*VLOOKUP('Données projet'!$B$12,Paramètres!$A$1:$I$89,3,0)*0.475*44/12</f>
        <v>5.0218334961748141E-12</v>
      </c>
      <c r="CN115" s="22">
        <f t="shared" si="66"/>
        <v>2.937105981161368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482.74318690313885</v>
      </c>
      <c r="CZ115" s="59">
        <f t="shared" si="96"/>
        <v>205.57161411620217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2.2626545893717935</v>
      </c>
      <c r="DG115" s="21">
        <f>EXP(-LN(2)/25)*DG114+(1-EXP(-LN(2)/25))/(LN(2)/25)*Calculateur!DB115*Calculateur!DD115*VLOOKUP('Données projet'!$B$13,Paramètres!$A$1:$I$89,3,0)*0.475*44/12</f>
        <v>0.97050837951487945</v>
      </c>
      <c r="DH115" s="21">
        <f>EXP(-LN(2)/2)*DH114+(1-EXP(-LN(2)/2))/(LN(2)/2)*DB115*DE115*VLOOKUP('Données projet'!$B$13,Paramètres!$A$1:$I$89,3,0)*0.475*44/12</f>
        <v>2.0595491225315217E-12</v>
      </c>
      <c r="DI115" s="22">
        <f t="shared" si="69"/>
        <v>3.2331629688887329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2.2737367544323206E-13</v>
      </c>
      <c r="DP115" s="17">
        <f>DO115*VLOOKUP('Données projet'!$B$14,Paramètres!$A$1:$I$89,3,0)*VLOOKUP('Données projet'!$B$14,Paramètres!$A$1:$I$89,5,0)</f>
        <v>1.0936673788819462E-13</v>
      </c>
      <c r="DQ115" s="13">
        <f t="shared" si="97"/>
        <v>1.6259645746645945E-12</v>
      </c>
      <c r="DR115" s="20">
        <f t="shared" si="70"/>
        <v>3.0223687026961078E-12</v>
      </c>
      <c r="DS115" s="59">
        <f t="shared" si="71"/>
        <v>293.33333333333633</v>
      </c>
      <c r="DT115" s="59">
        <f ca="1">AVERAGE(OFFSET($DS$3,0,0,'Données projet'!$E$14+1,1))-AVERAGE(OFFSET($H$3,0,0,'Données projet'!$E$14+1,1))</f>
        <v>247.11965163963526</v>
      </c>
      <c r="DU115" s="59">
        <f t="shared" si="98"/>
        <v>61.686311966192704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0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3.4</v>
      </c>
      <c r="N116" s="13">
        <f>IF('Données projet'!$A$36&gt;35,N115+M116-V115,IF(A116&lt;'Données projet'!$A$36,$K$205^A116,IF(A116='Données projet'!$A$36,'Données projet'!$B$36,N115+M116-V115)))</f>
        <v>276.19999999999987</v>
      </c>
      <c r="O116" s="13">
        <f>N116*VLOOKUP('Données projet'!$B$9,Paramètres!$A$1:$I$89,3,0)*VLOOKUP('Données projet'!$B$9,Paramètres!$A$1:$I$89,5,0)</f>
        <v>249.90575999999987</v>
      </c>
      <c r="P116" s="13">
        <f t="shared" si="87"/>
        <v>60.565760331923833</v>
      </c>
      <c r="Q116" s="20">
        <f t="shared" si="107"/>
        <v>540.73789791143372</v>
      </c>
      <c r="R116" s="59">
        <f t="shared" si="55"/>
        <v>834.07123124476698</v>
      </c>
      <c r="S116" s="59">
        <f ca="1">AVERAGE(OFFSET($R$3,0,0,'Données projet'!$E$9+1,1))-AVERAGE(OFFSET($H$3,0,0,'Données projet'!$E$9+1,1))</f>
        <v>265.50419397354284</v>
      </c>
      <c r="T116" s="59">
        <f t="shared" si="88"/>
        <v>156.67965022779907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0.64409738147900952</v>
      </c>
      <c r="AA116" s="21">
        <f>EXP(-LN(2)/25)*AA115+(1-EXP(-LN(2)/25))/(LN(2)/25)*Calculateur!V116*Calculateur!X116*VLOOKUP('Données projet'!$B$9,Paramètres!$A$1:$I$89,3,0)*0.475*44/12</f>
        <v>0.42009323401861037</v>
      </c>
      <c r="AB116" s="21">
        <f>EXP(-LN(2)/2)*AB115+(1-EXP(-LN(2)/2))/(LN(2)/2)*V116*Y116*VLOOKUP('Données projet'!$B$9,Paramètres!$A$1:$I$89,3,0)*0.475*44/12</f>
        <v>1.9623600595242171E-12</v>
      </c>
      <c r="AC116" s="22">
        <f t="shared" si="57"/>
        <v>1.0641906154995824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3.4</v>
      </c>
      <c r="AI116" s="13">
        <f>IF('Données projet'!$A$62&gt;35,AI115+AH116-AQ115,IF(A116&lt;'Données projet'!$A$62,$AF$205^A116,IF(A116='Données projet'!$A$62,'Données projet'!$B$62,AI115+AH116-AQ115)))</f>
        <v>276.19999999999987</v>
      </c>
      <c r="AJ116" s="13">
        <f>AI116*VLOOKUP('Données projet'!$B$10,Paramètres!$A$1:$I$89,3,0)*VLOOKUP('Données projet'!$B$10,Paramètres!$A$1:$I$89,5,0)</f>
        <v>280.06679999999989</v>
      </c>
      <c r="AK116" s="13">
        <f t="shared" si="89"/>
        <v>66.981125445388926</v>
      </c>
      <c r="AL116" s="20">
        <f t="shared" si="58"/>
        <v>604.44180348405223</v>
      </c>
      <c r="AM116" s="59">
        <f t="shared" si="59"/>
        <v>897.7751368173856</v>
      </c>
      <c r="AN116" s="59">
        <f ca="1">AVERAGE(OFFSET($AM$3,0,0,'Données projet'!$E$10+1,1))-AVERAGE(OFFSET($H$3,0,0,'Données projet'!$E$10+1,1))</f>
        <v>296.43642006376018</v>
      </c>
      <c r="AO116" s="59">
        <f t="shared" si="90"/>
        <v>179.56041631665812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0.72183327234716599</v>
      </c>
      <c r="AV116" s="21">
        <f>EXP(-LN(2)/25)*AV115+(1-EXP(-LN(2)/25))/(LN(2)/25)*Calculateur!AQ116*Calculateur!AS116*VLOOKUP('Données projet'!$B$10,Paramètres!$A$1:$I$89,3,0)*0.475*44/12</f>
        <v>0.47079414157258048</v>
      </c>
      <c r="AW116" s="21">
        <f>EXP(-LN(2)/2)*AW115+(1-EXP(-LN(2)/2))/(LN(2)/2)*AQ116*AT116*VLOOKUP('Données projet'!$B$10,Paramètres!$A$1:$I$89,3,0)*0.475*44/12</f>
        <v>2.199196618432313E-12</v>
      </c>
      <c r="AX116" s="21">
        <f t="shared" si="60"/>
        <v>1.1926274139219455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5.6843418860808015E-14</v>
      </c>
      <c r="BE116" s="13">
        <f>BD116*VLOOKUP('Données projet'!$B$11,Paramètres!$A$1:$I$89,3,0)*VLOOKUP('Données projet'!$B$11,Paramètres!$A$1:$I$89,5,0)</f>
        <v>3.813056537183002E-14</v>
      </c>
      <c r="BF116" s="13">
        <f t="shared" si="91"/>
        <v>6.4086286045526829E-13</v>
      </c>
      <c r="BG116" s="20">
        <f t="shared" si="61"/>
        <v>1.1825802166488628E-12</v>
      </c>
      <c r="BH116" s="59">
        <f t="shared" si="62"/>
        <v>293.33333333333451</v>
      </c>
      <c r="BI116" s="59">
        <f ca="1">AVERAGE(OFFSET($BH$3,0,0,'Données projet'!$E$11+1,1))-AVERAGE(OFFSET($H$3,0,0,'Données projet'!$E$11+1,1))</f>
        <v>181.32837315090507</v>
      </c>
      <c r="BJ116" s="59">
        <f t="shared" si="92"/>
        <v>175.03267817980338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1.0583803051623561</v>
      </c>
      <c r="BQ116" s="21">
        <f>EXP(-LN(2)/25)*BQ115+(1-EXP(-LN(2)/25))/(LN(2)/25)*Calculateur!BL116*Calculateur!BN116*VLOOKUP('Données projet'!$B$11,Paramètres!$A$1:$I$89,3,0)*0.475*44/12</f>
        <v>0.68114947763194089</v>
      </c>
      <c r="BR116" s="21">
        <f>EXP(-LN(2)/2)*BR115+(1-EXP(-LN(2)/2))/(LN(2)/2)*BL116*BO116*VLOOKUP('Données projet'!$B$11,Paramètres!$A$1:$I$89,3,0)*0.475*44/12</f>
        <v>3.4113865577744519E-13</v>
      </c>
      <c r="BS116" s="22">
        <f t="shared" si="63"/>
        <v>1.7395297827946381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574.49999999999989</v>
      </c>
      <c r="BZ116" s="13">
        <f>BY116*VLOOKUP('Données projet'!$B$12,Paramètres!$A$1:$I$89,3,0)*VLOOKUP('Données projet'!$B$12,Paramètres!$A$1:$I$89,5,0)</f>
        <v>268.86599999999999</v>
      </c>
      <c r="CA116" s="13">
        <f t="shared" si="93"/>
        <v>64.608546947682441</v>
      </c>
      <c r="CB116" s="20">
        <f t="shared" si="64"/>
        <v>580.80150260054677</v>
      </c>
      <c r="CC116" s="59">
        <f t="shared" si="65"/>
        <v>874.13483593388014</v>
      </c>
      <c r="CD116" s="59">
        <f ca="1">AVERAGE(OFFSET($CC$3,0,0,'Données projet'!$E$12+1,1))-AVERAGE(OFFSET($H$3,0,0,'Données projet'!$E$12+1,1))</f>
        <v>226.0452828290525</v>
      </c>
      <c r="CE116" s="59">
        <f t="shared" si="94"/>
        <v>179.89696397462069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1.7540071206643015</v>
      </c>
      <c r="CL116" s="21">
        <f>EXP(-LN(2)/25)*CL115+(1-EXP(-LN(2)/25))/(LN(2)/25)*Calculateur!CG116*Calculateur!CI116*VLOOKUP('Données projet'!$B$12,Paramètres!$A$1:$I$89,3,0)*0.475*44/12</f>
        <v>1.1166233401183108</v>
      </c>
      <c r="CM116" s="21">
        <f>EXP(-LN(2)/2)*CM115+(1-EXP(-LN(2)/2))/(LN(2)/2)*CG116*CJ116*VLOOKUP('Données projet'!$B$12,Paramètres!$A$1:$I$89,3,0)*0.475*44/12</f>
        <v>3.5509725191349595E-12</v>
      </c>
      <c r="CN116" s="22">
        <f t="shared" si="66"/>
        <v>2.8706304607861632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482.74318690313885</v>
      </c>
      <c r="CZ116" s="59">
        <f t="shared" si="96"/>
        <v>205.57161411620217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2.2182853129572404</v>
      </c>
      <c r="DG116" s="21">
        <f>EXP(-LN(2)/25)*DG115+(1-EXP(-LN(2)/25))/(LN(2)/25)*Calculateur!DB116*Calculateur!DD116*VLOOKUP('Données projet'!$B$13,Paramètres!$A$1:$I$89,3,0)*0.475*44/12</f>
        <v>0.94396977684022754</v>
      </c>
      <c r="DH116" s="21">
        <f>EXP(-LN(2)/2)*DH115+(1-EXP(-LN(2)/2))/(LN(2)/2)*DB116*DE116*VLOOKUP('Données projet'!$B$13,Paramètres!$A$1:$I$89,3,0)*0.475*44/12</f>
        <v>1.4563211507288427E-12</v>
      </c>
      <c r="DI116" s="22">
        <f t="shared" si="69"/>
        <v>3.1622550897989243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2.2737367544323206E-13</v>
      </c>
      <c r="DP116" s="17">
        <f>DO116*VLOOKUP('Données projet'!$B$14,Paramètres!$A$1:$I$89,3,0)*VLOOKUP('Données projet'!$B$14,Paramètres!$A$1:$I$89,5,0)</f>
        <v>1.0936673788819462E-13</v>
      </c>
      <c r="DQ116" s="13">
        <f t="shared" si="97"/>
        <v>1.6259645746645945E-12</v>
      </c>
      <c r="DR116" s="20">
        <f t="shared" si="70"/>
        <v>3.0223687026961078E-12</v>
      </c>
      <c r="DS116" s="59">
        <f t="shared" si="71"/>
        <v>293.33333333333633</v>
      </c>
      <c r="DT116" s="59">
        <f ca="1">AVERAGE(OFFSET($DS$3,0,0,'Données projet'!$E$14+1,1))-AVERAGE(OFFSET($H$3,0,0,'Données projet'!$E$14+1,1))</f>
        <v>247.11965163963526</v>
      </c>
      <c r="DU116" s="59">
        <f t="shared" si="98"/>
        <v>61.686311966192704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0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3.4</v>
      </c>
      <c r="N117" s="13">
        <f>IF('Données projet'!$A$36&gt;35,N116+M117-V116,IF(A117&lt;'Données projet'!$A$36,$K$205^A117,IF(A117='Données projet'!$A$36,'Données projet'!$B$36,N116+M117-V116)))</f>
        <v>279.59999999999985</v>
      </c>
      <c r="O117" s="13">
        <f>N117*VLOOKUP('Données projet'!$B$9,Paramètres!$A$1:$I$89,3,0)*VLOOKUP('Données projet'!$B$9,Paramètres!$A$1:$I$89,5,0)</f>
        <v>252.98207999999985</v>
      </c>
      <c r="P117" s="13">
        <f t="shared" si="87"/>
        <v>61.224067045981329</v>
      </c>
      <c r="Q117" s="20">
        <f t="shared" si="107"/>
        <v>547.24237277175052</v>
      </c>
      <c r="R117" s="59">
        <f t="shared" si="55"/>
        <v>840.57570610508378</v>
      </c>
      <c r="S117" s="59">
        <f ca="1">AVERAGE(OFFSET($R$3,0,0,'Données projet'!$E$9+1,1))-AVERAGE(OFFSET($H$3,0,0,'Données projet'!$E$9+1,1))</f>
        <v>265.50419397354284</v>
      </c>
      <c r="T117" s="59">
        <f t="shared" si="88"/>
        <v>156.67965022779907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0.6314670246888171</v>
      </c>
      <c r="AA117" s="21">
        <f>EXP(-LN(2)/25)*AA116+(1-EXP(-LN(2)/25))/(LN(2)/25)*Calculateur!V117*Calculateur!X117*VLOOKUP('Données projet'!$B$9,Paramètres!$A$1:$I$89,3,0)*0.475*44/12</f>
        <v>0.40860576244262842</v>
      </c>
      <c r="AB117" s="21">
        <f>EXP(-LN(2)/2)*AB116+(1-EXP(-LN(2)/2))/(LN(2)/2)*V117*Y117*VLOOKUP('Données projet'!$B$9,Paramètres!$A$1:$I$89,3,0)*0.475*44/12</f>
        <v>1.387598105219211E-12</v>
      </c>
      <c r="AC117" s="22">
        <f t="shared" si="57"/>
        <v>1.040072787132833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3.4</v>
      </c>
      <c r="AI117" s="13">
        <f>IF('Données projet'!$A$62&gt;35,AI116+AH117-AQ116,IF(A117&lt;'Données projet'!$A$62,$AF$205^A117,IF(A117='Données projet'!$A$62,'Données projet'!$B$62,AI116+AH117-AQ116)))</f>
        <v>279.59999999999985</v>
      </c>
      <c r="AJ117" s="13">
        <f>AI117*VLOOKUP('Données projet'!$B$10,Paramètres!$A$1:$I$89,3,0)*VLOOKUP('Données projet'!$B$10,Paramètres!$A$1:$I$89,5,0)</f>
        <v>283.51439999999991</v>
      </c>
      <c r="AK117" s="13">
        <f t="shared" si="89"/>
        <v>67.709162612827669</v>
      </c>
      <c r="AL117" s="20">
        <f t="shared" si="58"/>
        <v>611.71437155067463</v>
      </c>
      <c r="AM117" s="59">
        <f t="shared" si="59"/>
        <v>905.047704884008</v>
      </c>
      <c r="AN117" s="59">
        <f ca="1">AVERAGE(OFFSET($AM$3,0,0,'Données projet'!$E$10+1,1))-AVERAGE(OFFSET($H$3,0,0,'Données projet'!$E$10+1,1))</f>
        <v>296.43642006376018</v>
      </c>
      <c r="AO117" s="59">
        <f t="shared" si="90"/>
        <v>179.56041631665812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0.70767856215126068</v>
      </c>
      <c r="AV117" s="21">
        <f>EXP(-LN(2)/25)*AV116+(1-EXP(-LN(2)/25))/(LN(2)/25)*Calculateur!AQ117*Calculateur!AS117*VLOOKUP('Données projet'!$B$10,Paramètres!$A$1:$I$89,3,0)*0.475*44/12</f>
        <v>0.45792025101329037</v>
      </c>
      <c r="AW117" s="21">
        <f>EXP(-LN(2)/2)*AW116+(1-EXP(-LN(2)/2))/(LN(2)/2)*AQ117*AT117*VLOOKUP('Données projet'!$B$10,Paramètres!$A$1:$I$89,3,0)*0.475*44/12</f>
        <v>1.5550668420560128E-12</v>
      </c>
      <c r="AX117" s="21">
        <f t="shared" si="60"/>
        <v>1.1655988131661059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5.6843418860808015E-14</v>
      </c>
      <c r="BE117" s="13">
        <f>BD117*VLOOKUP('Données projet'!$B$11,Paramètres!$A$1:$I$89,3,0)*VLOOKUP('Données projet'!$B$11,Paramètres!$A$1:$I$89,5,0)</f>
        <v>3.813056537183002E-14</v>
      </c>
      <c r="BF117" s="13">
        <f t="shared" si="91"/>
        <v>6.4086286045526829E-13</v>
      </c>
      <c r="BG117" s="20">
        <f t="shared" si="61"/>
        <v>1.1825802166488628E-12</v>
      </c>
      <c r="BH117" s="59">
        <f t="shared" si="62"/>
        <v>293.33333333333451</v>
      </c>
      <c r="BI117" s="59">
        <f ca="1">AVERAGE(OFFSET($BH$3,0,0,'Données projet'!$E$11+1,1))-AVERAGE(OFFSET($H$3,0,0,'Données projet'!$E$11+1,1))</f>
        <v>181.32837315090507</v>
      </c>
      <c r="BJ117" s="59">
        <f t="shared" si="92"/>
        <v>175.03267817980338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1.037626112926366</v>
      </c>
      <c r="BQ117" s="21">
        <f>EXP(-LN(2)/25)*BQ116+(1-EXP(-LN(2)/25))/(LN(2)/25)*Calculateur!BL117*Calculateur!BN117*VLOOKUP('Données projet'!$B$11,Paramètres!$A$1:$I$89,3,0)*0.475*44/12</f>
        <v>0.66252340934600118</v>
      </c>
      <c r="BR117" s="21">
        <f>EXP(-LN(2)/2)*BR116+(1-EXP(-LN(2)/2))/(LN(2)/2)*BL117*BO117*VLOOKUP('Données projet'!$B$11,Paramètres!$A$1:$I$89,3,0)*0.475*44/12</f>
        <v>2.4122145682509489E-13</v>
      </c>
      <c r="BS117" s="22">
        <f t="shared" si="63"/>
        <v>1.7001495222726084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574.49999999999989</v>
      </c>
      <c r="BZ117" s="13">
        <f>BY117*VLOOKUP('Données projet'!$B$12,Paramètres!$A$1:$I$89,3,0)*VLOOKUP('Données projet'!$B$12,Paramètres!$A$1:$I$89,5,0)</f>
        <v>268.86599999999999</v>
      </c>
      <c r="CA117" s="13">
        <f t="shared" si="93"/>
        <v>64.608546947682441</v>
      </c>
      <c r="CB117" s="20">
        <f t="shared" si="64"/>
        <v>580.80150260054677</v>
      </c>
      <c r="CC117" s="59">
        <f t="shared" si="65"/>
        <v>874.13483593388014</v>
      </c>
      <c r="CD117" s="59">
        <f ca="1">AVERAGE(OFFSET($CC$3,0,0,'Données projet'!$E$12+1,1))-AVERAGE(OFFSET($H$3,0,0,'Données projet'!$E$12+1,1))</f>
        <v>226.0452828290525</v>
      </c>
      <c r="CE117" s="59">
        <f t="shared" si="94"/>
        <v>179.89696397462069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1.7196121108667803</v>
      </c>
      <c r="CL117" s="21">
        <f>EXP(-LN(2)/25)*CL116+(1-EXP(-LN(2)/25))/(LN(2)/25)*Calculateur!CG117*Calculateur!CI117*VLOOKUP('Données projet'!$B$12,Paramètres!$A$1:$I$89,3,0)*0.475*44/12</f>
        <v>1.0860892161621061</v>
      </c>
      <c r="CM117" s="21">
        <f>EXP(-LN(2)/2)*CM116+(1-EXP(-LN(2)/2))/(LN(2)/2)*CG117*CJ117*VLOOKUP('Données projet'!$B$12,Paramètres!$A$1:$I$89,3,0)*0.475*44/12</f>
        <v>2.5109167480874075E-12</v>
      </c>
      <c r="CN117" s="22">
        <f t="shared" si="66"/>
        <v>2.8057013270313975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482.74318690313885</v>
      </c>
      <c r="CZ117" s="59">
        <f t="shared" si="96"/>
        <v>205.57161411620217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2.1747860909905903</v>
      </c>
      <c r="DG117" s="21">
        <f>EXP(-LN(2)/25)*DG116+(1-EXP(-LN(2)/25))/(LN(2)/25)*Calculateur!DB117*Calculateur!DD117*VLOOKUP('Données projet'!$B$13,Paramètres!$A$1:$I$89,3,0)*0.475*44/12</f>
        <v>0.91815687365131837</v>
      </c>
      <c r="DH117" s="21">
        <f>EXP(-LN(2)/2)*DH116+(1-EXP(-LN(2)/2))/(LN(2)/2)*DB117*DE117*VLOOKUP('Données projet'!$B$13,Paramètres!$A$1:$I$89,3,0)*0.475*44/12</f>
        <v>1.0297745612657609E-12</v>
      </c>
      <c r="DI117" s="22">
        <f t="shared" si="69"/>
        <v>3.0929429646429383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2.2737367544323206E-13</v>
      </c>
      <c r="DP117" s="17">
        <f>DO117*VLOOKUP('Données projet'!$B$14,Paramètres!$A$1:$I$89,3,0)*VLOOKUP('Données projet'!$B$14,Paramètres!$A$1:$I$89,5,0)</f>
        <v>1.0936673788819462E-13</v>
      </c>
      <c r="DQ117" s="13">
        <f t="shared" si="97"/>
        <v>1.6259645746645945E-12</v>
      </c>
      <c r="DR117" s="20">
        <f t="shared" si="70"/>
        <v>3.0223687026961078E-12</v>
      </c>
      <c r="DS117" s="59">
        <f t="shared" si="71"/>
        <v>293.33333333333633</v>
      </c>
      <c r="DT117" s="59">
        <f ca="1">AVERAGE(OFFSET($DS$3,0,0,'Données projet'!$E$14+1,1))-AVERAGE(OFFSET($H$3,0,0,'Données projet'!$E$14+1,1))</f>
        <v>247.11965163963526</v>
      </c>
      <c r="DU117" s="59">
        <f t="shared" si="98"/>
        <v>61.686311966192704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0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>
        <f>VLOOKUP(A118,'Données projet'!$A$35:$I$55,2,0)</f>
        <v>283</v>
      </c>
      <c r="L118" s="12">
        <f>VLOOKUP(A118,'Données projet'!$A$35:$I$55,9,0)</f>
        <v>3.4</v>
      </c>
      <c r="M118" s="12">
        <f t="array" ref="M118">INDEX(L:L,MIN(IF(ISNUMBER(L118:L314),ROW(L118:L314),"")))</f>
        <v>3.4</v>
      </c>
      <c r="N118" s="13">
        <f>IF('Données projet'!$A$36&gt;35,N117+M118-V117,IF(A118&lt;'Données projet'!$A$36,$K$205^A118,IF(A118='Données projet'!$A$36,'Données projet'!$B$36,N117+M118-V117)))</f>
        <v>282.99999999999983</v>
      </c>
      <c r="O118" s="13">
        <f>N118*VLOOKUP('Données projet'!$B$9,Paramètres!$A$1:$I$89,3,0)*VLOOKUP('Données projet'!$B$9,Paramètres!$A$1:$I$89,5,0)</f>
        <v>256.05839999999984</v>
      </c>
      <c r="P118" s="13">
        <f t="shared" si="87"/>
        <v>61.881442594256434</v>
      </c>
      <c r="Q118" s="20">
        <f t="shared" si="107"/>
        <v>553.74522585166301</v>
      </c>
      <c r="R118" s="59">
        <f t="shared" si="55"/>
        <v>847.07855918499627</v>
      </c>
      <c r="S118" s="59">
        <f ca="1">AVERAGE(OFFSET($R$3,0,0,'Données projet'!$E$9+1,1))-AVERAGE(OFFSET($H$3,0,0,'Données projet'!$E$9+1,1))</f>
        <v>265.50419397354284</v>
      </c>
      <c r="T118" s="59">
        <f t="shared" si="88"/>
        <v>156.67965022779907</v>
      </c>
      <c r="U118" s="15">
        <f>IF(ISNA(VLOOKUP(A118,'Données projet'!$A$35:$I$55,3,0)),0,VLOOKUP(A118,'Données projet'!$A$35:$I$55,3,0))</f>
        <v>20</v>
      </c>
      <c r="V118" s="15">
        <f>IF(ISNA(VLOOKUP(A118,'Données projet'!$A$35:$I$55,4,0)),0,VLOOKUP(A118,'Données projet'!$A$35:$I$55,4,0))</f>
        <v>16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0.61908434149152336</v>
      </c>
      <c r="AA118" s="21">
        <f>EXP(-LN(2)/25)*AA117+(1-EXP(-LN(2)/25))/(LN(2)/25)*Calculateur!V118*Calculateur!X118*VLOOKUP('Données projet'!$B$9,Paramètres!$A$1:$I$89,3,0)*0.475*44/12</f>
        <v>0.39743241638099158</v>
      </c>
      <c r="AB118" s="21">
        <f>EXP(-LN(2)/2)*AB117+(1-EXP(-LN(2)/2))/(LN(2)/2)*V118*Y118*VLOOKUP('Données projet'!$B$9,Paramètres!$A$1:$I$89,3,0)*0.475*44/12</f>
        <v>9.8118002976210855E-13</v>
      </c>
      <c r="AC118" s="22">
        <f t="shared" si="57"/>
        <v>1.0165167578734962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283</v>
      </c>
      <c r="AG118" s="12">
        <f>VLOOKUP(A118,'Données projet'!$A$61:$I$81,9,0)</f>
        <v>3.4</v>
      </c>
      <c r="AH118" s="12">
        <f t="array" ref="AH118">INDEX(AG:AG,MIN(IF(ISNUMBER(AG118:AG314),ROW(AG118:AG314),"")))</f>
        <v>3.4</v>
      </c>
      <c r="AI118" s="13">
        <f>IF('Données projet'!$A$62&gt;35,AI117+AH118-AQ117,IF(A118&lt;'Données projet'!$A$62,$AF$205^A118,IF(A118='Données projet'!$A$62,'Données projet'!$B$62,AI117+AH118-AQ117)))</f>
        <v>282.99999999999983</v>
      </c>
      <c r="AJ118" s="13">
        <f>AI118*VLOOKUP('Données projet'!$B$10,Paramètres!$A$1:$I$89,3,0)*VLOOKUP('Données projet'!$B$10,Paramètres!$A$1:$I$89,5,0)</f>
        <v>286.96199999999988</v>
      </c>
      <c r="AK118" s="13">
        <f t="shared" si="89"/>
        <v>68.436169981717853</v>
      </c>
      <c r="AL118" s="20">
        <f t="shared" si="58"/>
        <v>618.98514605149171</v>
      </c>
      <c r="AM118" s="59">
        <f t="shared" si="59"/>
        <v>912.31847938482497</v>
      </c>
      <c r="AN118" s="59">
        <f ca="1">AVERAGE(OFFSET($AM$3,0,0,'Données projet'!$E$10+1,1))-AVERAGE(OFFSET($H$3,0,0,'Données projet'!$E$10+1,1))</f>
        <v>296.43642006376018</v>
      </c>
      <c r="AO118" s="59">
        <f t="shared" si="90"/>
        <v>179.56041631665812</v>
      </c>
      <c r="AP118" s="15">
        <f>IF(ISNA(VLOOKUP(A118,'Données projet'!$A$61:$I$81,3,0)),0,VLOOKUP(A118,'Données projet'!$A$61:$I$81,3,0))</f>
        <v>20</v>
      </c>
      <c r="AQ118" s="15">
        <f>IF(ISNA(VLOOKUP(A118,'Données projet'!$A$61:$I$81,4,0)),0,VLOOKUP(A118,'Données projet'!$A$61:$I$81,4,0))</f>
        <v>16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0.6938014171887763</v>
      </c>
      <c r="AV118" s="21">
        <f>EXP(-LN(2)/25)*AV117+(1-EXP(-LN(2)/25))/(LN(2)/25)*Calculateur!AQ118*Calculateur!AS118*VLOOKUP('Données projet'!$B$10,Paramètres!$A$1:$I$89,3,0)*0.475*44/12</f>
        <v>0.44539839766835254</v>
      </c>
      <c r="AW118" s="21">
        <f>EXP(-LN(2)/2)*AW117+(1-EXP(-LN(2)/2))/(LN(2)/2)*AQ118*AT118*VLOOKUP('Données projet'!$B$10,Paramètres!$A$1:$I$89,3,0)*0.475*44/12</f>
        <v>1.0995983092161565E-12</v>
      </c>
      <c r="AX118" s="21">
        <f t="shared" si="60"/>
        <v>1.1391998148582285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5.6843418860808015E-14</v>
      </c>
      <c r="BE118" s="13">
        <f>BD118*VLOOKUP('Données projet'!$B$11,Paramètres!$A$1:$I$89,3,0)*VLOOKUP('Données projet'!$B$11,Paramètres!$A$1:$I$89,5,0)</f>
        <v>3.813056537183002E-14</v>
      </c>
      <c r="BF118" s="13">
        <f t="shared" si="91"/>
        <v>6.4086286045526829E-13</v>
      </c>
      <c r="BG118" s="20">
        <f t="shared" si="61"/>
        <v>1.1825802166488628E-12</v>
      </c>
      <c r="BH118" s="59">
        <f t="shared" si="62"/>
        <v>293.33333333333451</v>
      </c>
      <c r="BI118" s="59">
        <f ca="1">AVERAGE(OFFSET($BH$3,0,0,'Données projet'!$E$11+1,1))-AVERAGE(OFFSET($H$3,0,0,'Données projet'!$E$11+1,1))</f>
        <v>181.32837315090507</v>
      </c>
      <c r="BJ118" s="59">
        <f t="shared" si="92"/>
        <v>175.03267817980338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1.0172788977413161</v>
      </c>
      <c r="BQ118" s="21">
        <f>EXP(-LN(2)/25)*BQ117+(1-EXP(-LN(2)/25))/(LN(2)/25)*Calculateur!BL118*Calculateur!BN118*VLOOKUP('Données projet'!$B$11,Paramètres!$A$1:$I$89,3,0)*0.475*44/12</f>
        <v>0.64440667187684286</v>
      </c>
      <c r="BR118" s="21">
        <f>EXP(-LN(2)/2)*BR117+(1-EXP(-LN(2)/2))/(LN(2)/2)*BL118*BO118*VLOOKUP('Données projet'!$B$11,Paramètres!$A$1:$I$89,3,0)*0.475*44/12</f>
        <v>1.7056932788872259E-13</v>
      </c>
      <c r="BS118" s="22">
        <f t="shared" si="63"/>
        <v>1.6616855696183295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574.49999999999989</v>
      </c>
      <c r="BZ118" s="13">
        <f>BY118*VLOOKUP('Données projet'!$B$12,Paramètres!$A$1:$I$89,3,0)*VLOOKUP('Données projet'!$B$12,Paramètres!$A$1:$I$89,5,0)</f>
        <v>268.86599999999999</v>
      </c>
      <c r="CA118" s="13">
        <f t="shared" si="93"/>
        <v>64.608546947682441</v>
      </c>
      <c r="CB118" s="20">
        <f t="shared" si="64"/>
        <v>580.80150260054677</v>
      </c>
      <c r="CC118" s="59">
        <f t="shared" si="65"/>
        <v>874.13483593388014</v>
      </c>
      <c r="CD118" s="59">
        <f ca="1">AVERAGE(OFFSET($CC$3,0,0,'Données projet'!$E$12+1,1))-AVERAGE(OFFSET($H$3,0,0,'Données projet'!$E$12+1,1))</f>
        <v>226.0452828290525</v>
      </c>
      <c r="CE118" s="59">
        <f t="shared" si="94"/>
        <v>179.89696397462069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1.685891566232504</v>
      </c>
      <c r="CL118" s="21">
        <f>EXP(-LN(2)/25)*CL117+(1-EXP(-LN(2)/25))/(LN(2)/25)*Calculateur!CG118*Calculateur!CI118*VLOOKUP('Données projet'!$B$12,Paramètres!$A$1:$I$89,3,0)*0.475*44/12</f>
        <v>1.0563900494312037</v>
      </c>
      <c r="CM118" s="21">
        <f>EXP(-LN(2)/2)*CM117+(1-EXP(-LN(2)/2))/(LN(2)/2)*CG118*CJ118*VLOOKUP('Données projet'!$B$12,Paramètres!$A$1:$I$89,3,0)*0.475*44/12</f>
        <v>1.7754862595674799E-12</v>
      </c>
      <c r="CN118" s="22">
        <f t="shared" si="66"/>
        <v>2.7422816156654832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482.74318690313885</v>
      </c>
      <c r="CZ118" s="59">
        <f t="shared" si="96"/>
        <v>205.57161411620217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2.1321398622348005</v>
      </c>
      <c r="DG118" s="21">
        <f>EXP(-LN(2)/25)*DG117+(1-EXP(-LN(2)/25))/(LN(2)/25)*Calculateur!DB118*Calculateur!DD118*VLOOKUP('Données projet'!$B$13,Paramètres!$A$1:$I$89,3,0)*0.475*44/12</f>
        <v>0.89304982565755153</v>
      </c>
      <c r="DH118" s="21">
        <f>EXP(-LN(2)/2)*DH117+(1-EXP(-LN(2)/2))/(LN(2)/2)*DB118*DE118*VLOOKUP('Données projet'!$B$13,Paramètres!$A$1:$I$89,3,0)*0.475*44/12</f>
        <v>7.2816057536442135E-13</v>
      </c>
      <c r="DI118" s="22">
        <f t="shared" si="69"/>
        <v>3.0251896878930804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2.2737367544323206E-13</v>
      </c>
      <c r="DP118" s="17">
        <f>DO118*VLOOKUP('Données projet'!$B$14,Paramètres!$A$1:$I$89,3,0)*VLOOKUP('Données projet'!$B$14,Paramètres!$A$1:$I$89,5,0)</f>
        <v>1.0936673788819462E-13</v>
      </c>
      <c r="DQ118" s="13">
        <f t="shared" si="97"/>
        <v>1.6259645746645945E-12</v>
      </c>
      <c r="DR118" s="20">
        <f t="shared" si="70"/>
        <v>3.0223687026961078E-12</v>
      </c>
      <c r="DS118" s="59">
        <f t="shared" si="71"/>
        <v>293.33333333333633</v>
      </c>
      <c r="DT118" s="59">
        <f ca="1">AVERAGE(OFFSET($DS$3,0,0,'Données projet'!$E$14+1,1))-AVERAGE(OFFSET($H$3,0,0,'Données projet'!$E$14+1,1))</f>
        <v>247.11965163963526</v>
      </c>
      <c r="DU118" s="59">
        <f t="shared" si="98"/>
        <v>61.686311966192704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0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3.8</v>
      </c>
      <c r="N119" s="13">
        <f>IF('Données projet'!$A$36&gt;35,N118+M119-V118,IF(A119&lt;'Données projet'!$A$36,$K$205^A119,IF(A119='Données projet'!$A$36,'Données projet'!$B$36,N118+M119-V118)))</f>
        <v>270.79999999999984</v>
      </c>
      <c r="O119" s="13">
        <f>N119*VLOOKUP('Données projet'!$B$9,Paramètres!$A$1:$I$89,3,0)*VLOOKUP('Données projet'!$B$9,Paramètres!$A$1:$I$89,5,0)</f>
        <v>245.01983999999987</v>
      </c>
      <c r="P119" s="13">
        <f t="shared" si="87"/>
        <v>59.518268884951055</v>
      </c>
      <c r="Q119" s="20">
        <f t="shared" si="107"/>
        <v>530.40387297462291</v>
      </c>
      <c r="R119" s="59">
        <f t="shared" si="55"/>
        <v>823.73720630795628</v>
      </c>
      <c r="S119" s="59">
        <f ca="1">AVERAGE(OFFSET($R$3,0,0,'Données projet'!$E$9+1,1))-AVERAGE(OFFSET($H$3,0,0,'Données projet'!$E$9+1,1))</f>
        <v>265.50419397354284</v>
      </c>
      <c r="T119" s="59">
        <f t="shared" si="88"/>
        <v>156.67965022779907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0.6069444751590376</v>
      </c>
      <c r="AA119" s="21">
        <f>EXP(-LN(2)/25)*AA118+(1-EXP(-LN(2)/25))/(LN(2)/25)*Calculateur!V119*Calculateur!X119*VLOOKUP('Données projet'!$B$9,Paramètres!$A$1:$I$89,3,0)*0.475*44/12</f>
        <v>0.38656460605499093</v>
      </c>
      <c r="AB119" s="21">
        <f>EXP(-LN(2)/2)*AB118+(1-EXP(-LN(2)/2))/(LN(2)/2)*V119*Y119*VLOOKUP('Données projet'!$B$9,Paramètres!$A$1:$I$89,3,0)*0.475*44/12</f>
        <v>6.9379905260960548E-13</v>
      </c>
      <c r="AC119" s="22">
        <f t="shared" si="57"/>
        <v>0.99350908121472237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3.8</v>
      </c>
      <c r="AI119" s="13">
        <f>IF('Données projet'!$A$62&gt;35,AI118+AH119-AQ118,IF(A119&lt;'Données projet'!$A$62,$AF$205^A119,IF(A119='Données projet'!$A$62,'Données projet'!$B$62,AI118+AH119-AQ118)))</f>
        <v>270.79999999999984</v>
      </c>
      <c r="AJ119" s="13">
        <f>AI119*VLOOKUP('Données projet'!$B$10,Paramètres!$A$1:$I$89,3,0)*VLOOKUP('Données projet'!$B$10,Paramètres!$A$1:$I$89,5,0)</f>
        <v>274.59119999999984</v>
      </c>
      <c r="AK119" s="13">
        <f t="shared" si="89"/>
        <v>65.822679557346859</v>
      </c>
      <c r="AL119" s="20">
        <f t="shared" si="58"/>
        <v>592.88750689571225</v>
      </c>
      <c r="AM119" s="59">
        <f t="shared" si="59"/>
        <v>886.22084022904551</v>
      </c>
      <c r="AN119" s="59">
        <f ca="1">AVERAGE(OFFSET($AM$3,0,0,'Données projet'!$E$10+1,1))-AVERAGE(OFFSET($H$3,0,0,'Données projet'!$E$10+1,1))</f>
        <v>296.43642006376018</v>
      </c>
      <c r="AO119" s="59">
        <f t="shared" si="90"/>
        <v>179.56041631665812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0.68019639457478365</v>
      </c>
      <c r="AV119" s="21">
        <f>EXP(-LN(2)/25)*AV118+(1-EXP(-LN(2)/25))/(LN(2)/25)*Calculateur!AQ119*Calculateur!AS119*VLOOKUP('Données projet'!$B$10,Paramètres!$A$1:$I$89,3,0)*0.475*44/12</f>
        <v>0.43321895506162766</v>
      </c>
      <c r="AW119" s="21">
        <f>EXP(-LN(2)/2)*AW118+(1-EXP(-LN(2)/2))/(LN(2)/2)*AQ119*AT119*VLOOKUP('Données projet'!$B$10,Paramètres!$A$1:$I$89,3,0)*0.475*44/12</f>
        <v>7.7753342102800641E-13</v>
      </c>
      <c r="AX119" s="21">
        <f t="shared" si="60"/>
        <v>1.1134153496371888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5.6843418860808015E-14</v>
      </c>
      <c r="BE119" s="13">
        <f>BD119*VLOOKUP('Données projet'!$B$11,Paramètres!$A$1:$I$89,3,0)*VLOOKUP('Données projet'!$B$11,Paramètres!$A$1:$I$89,5,0)</f>
        <v>3.813056537183002E-14</v>
      </c>
      <c r="BF119" s="13">
        <f t="shared" si="91"/>
        <v>6.4086286045526829E-13</v>
      </c>
      <c r="BG119" s="20">
        <f t="shared" si="61"/>
        <v>1.1825802166488628E-12</v>
      </c>
      <c r="BH119" s="59">
        <f t="shared" si="62"/>
        <v>293.33333333333451</v>
      </c>
      <c r="BI119" s="59">
        <f ca="1">AVERAGE(OFFSET($BH$3,0,0,'Données projet'!$E$11+1,1))-AVERAGE(OFFSET($H$3,0,0,'Données projet'!$E$11+1,1))</f>
        <v>181.32837315090507</v>
      </c>
      <c r="BJ119" s="59">
        <f t="shared" si="92"/>
        <v>175.03267817980338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0.99733067903546935</v>
      </c>
      <c r="BQ119" s="21">
        <f>EXP(-LN(2)/25)*BQ118+(1-EXP(-LN(2)/25))/(LN(2)/25)*Calculateur!BL119*Calculateur!BN119*VLOOKUP('Données projet'!$B$11,Paramètres!$A$1:$I$89,3,0)*0.475*44/12</f>
        <v>0.62678533754649657</v>
      </c>
      <c r="BR119" s="21">
        <f>EXP(-LN(2)/2)*BR118+(1-EXP(-LN(2)/2))/(LN(2)/2)*BL119*BO119*VLOOKUP('Données projet'!$B$11,Paramètres!$A$1:$I$89,3,0)*0.475*44/12</f>
        <v>1.2061072841254744E-13</v>
      </c>
      <c r="BS119" s="22">
        <f t="shared" si="63"/>
        <v>1.6241160165820865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574.49999999999989</v>
      </c>
      <c r="BZ119" s="13">
        <f>BY119*VLOOKUP('Données projet'!$B$12,Paramètres!$A$1:$I$89,3,0)*VLOOKUP('Données projet'!$B$12,Paramètres!$A$1:$I$89,5,0)</f>
        <v>268.86599999999999</v>
      </c>
      <c r="CA119" s="13">
        <f t="shared" si="93"/>
        <v>64.608546947682441</v>
      </c>
      <c r="CB119" s="20">
        <f t="shared" si="64"/>
        <v>580.80150260054677</v>
      </c>
      <c r="CC119" s="59">
        <f t="shared" si="65"/>
        <v>874.13483593388014</v>
      </c>
      <c r="CD119" s="59">
        <f ca="1">AVERAGE(OFFSET($CC$3,0,0,'Données projet'!$E$12+1,1))-AVERAGE(OFFSET($H$3,0,0,'Données projet'!$E$12+1,1))</f>
        <v>226.0452828290525</v>
      </c>
      <c r="CE119" s="59">
        <f t="shared" si="94"/>
        <v>179.89696397462069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1.6528322609110047</v>
      </c>
      <c r="CL119" s="21">
        <f>EXP(-LN(2)/25)*CL118+(1-EXP(-LN(2)/25))/(LN(2)/25)*Calculateur!CG119*Calculateur!CI119*VLOOKUP('Données projet'!$B$12,Paramètres!$A$1:$I$89,3,0)*0.475*44/12</f>
        <v>1.0275030079763692</v>
      </c>
      <c r="CM119" s="21">
        <f>EXP(-LN(2)/2)*CM118+(1-EXP(-LN(2)/2))/(LN(2)/2)*CG119*CJ119*VLOOKUP('Données projet'!$B$12,Paramètres!$A$1:$I$89,3,0)*0.475*44/12</f>
        <v>1.2554583740437039E-12</v>
      </c>
      <c r="CN119" s="22">
        <f t="shared" si="66"/>
        <v>2.6803352688886295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482.74318690313885</v>
      </c>
      <c r="CZ119" s="59">
        <f t="shared" si="96"/>
        <v>205.57161411620217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2.0903299000132805</v>
      </c>
      <c r="DG119" s="21">
        <f>EXP(-LN(2)/25)*DG118+(1-EXP(-LN(2)/25))/(LN(2)/25)*Calculateur!DB119*Calculateur!DD119*VLOOKUP('Données projet'!$B$13,Paramètres!$A$1:$I$89,3,0)*0.475*44/12</f>
        <v>0.86862933121149655</v>
      </c>
      <c r="DH119" s="21">
        <f>EXP(-LN(2)/2)*DH118+(1-EXP(-LN(2)/2))/(LN(2)/2)*DB119*DE119*VLOOKUP('Données projet'!$B$13,Paramètres!$A$1:$I$89,3,0)*0.475*44/12</f>
        <v>5.1488728063288044E-13</v>
      </c>
      <c r="DI119" s="22">
        <f t="shared" si="69"/>
        <v>2.9589592312252919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2.2737367544323206E-13</v>
      </c>
      <c r="DP119" s="17">
        <f>DO119*VLOOKUP('Données projet'!$B$14,Paramètres!$A$1:$I$89,3,0)*VLOOKUP('Données projet'!$B$14,Paramètres!$A$1:$I$89,5,0)</f>
        <v>1.0936673788819462E-13</v>
      </c>
      <c r="DQ119" s="13">
        <f t="shared" si="97"/>
        <v>1.6259645746645945E-12</v>
      </c>
      <c r="DR119" s="20">
        <f t="shared" si="70"/>
        <v>3.0223687026961078E-12</v>
      </c>
      <c r="DS119" s="59">
        <f t="shared" si="71"/>
        <v>293.33333333333633</v>
      </c>
      <c r="DT119" s="59">
        <f ca="1">AVERAGE(OFFSET($DS$3,0,0,'Données projet'!$E$14+1,1))-AVERAGE(OFFSET($H$3,0,0,'Données projet'!$E$14+1,1))</f>
        <v>247.11965163963526</v>
      </c>
      <c r="DU119" s="59">
        <f t="shared" si="98"/>
        <v>61.686311966192704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0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3.8</v>
      </c>
      <c r="N120" s="13">
        <f>IF('Données projet'!$A$36&gt;35,N119+M120-V119,IF(A120&lt;'Données projet'!$A$36,$K$205^A120,IF(A120='Données projet'!$A$36,'Données projet'!$B$36,N119+M120-V119)))</f>
        <v>274.59999999999985</v>
      </c>
      <c r="O120" s="13">
        <f>N120*VLOOKUP('Données projet'!$B$9,Paramètres!$A$1:$I$89,3,0)*VLOOKUP('Données projet'!$B$9,Paramètres!$A$1:$I$89,5,0)</f>
        <v>248.45807999999988</v>
      </c>
      <c r="P120" s="13">
        <f t="shared" si="87"/>
        <v>60.25564309762369</v>
      </c>
      <c r="Q120" s="20">
        <f t="shared" si="107"/>
        <v>537.67640106169438</v>
      </c>
      <c r="R120" s="59">
        <f t="shared" si="55"/>
        <v>831.00973439502764</v>
      </c>
      <c r="S120" s="59">
        <f ca="1">AVERAGE(OFFSET($R$3,0,0,'Données projet'!$E$9+1,1))-AVERAGE(OFFSET($H$3,0,0,'Données projet'!$E$9+1,1))</f>
        <v>265.50419397354284</v>
      </c>
      <c r="T120" s="59">
        <f t="shared" si="88"/>
        <v>156.67965022779907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0.59504266420074459</v>
      </c>
      <c r="AA120" s="21">
        <f>EXP(-LN(2)/25)*AA119+(1-EXP(-LN(2)/25))/(LN(2)/25)*Calculateur!V120*Calculateur!X120*VLOOKUP('Données projet'!$B$9,Paramètres!$A$1:$I$89,3,0)*0.475*44/12</f>
        <v>0.37599397657386807</v>
      </c>
      <c r="AB120" s="21">
        <f>EXP(-LN(2)/2)*AB119+(1-EXP(-LN(2)/2))/(LN(2)/2)*V120*Y120*VLOOKUP('Données projet'!$B$9,Paramètres!$A$1:$I$89,3,0)*0.475*44/12</f>
        <v>4.9059001488105428E-13</v>
      </c>
      <c r="AC120" s="22">
        <f t="shared" si="57"/>
        <v>0.97103664077510332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3.8</v>
      </c>
      <c r="AI120" s="13">
        <f>IF('Données projet'!$A$62&gt;35,AI119+AH120-AQ119,IF(A120&lt;'Données projet'!$A$62,$AF$205^A120,IF(A120='Données projet'!$A$62,'Données projet'!$B$62,AI119+AH120-AQ119)))</f>
        <v>274.59999999999985</v>
      </c>
      <c r="AJ120" s="13">
        <f>AI120*VLOOKUP('Données projet'!$B$10,Paramètres!$A$1:$I$89,3,0)*VLOOKUP('Données projet'!$B$10,Paramètres!$A$1:$I$89,5,0)</f>
        <v>278.44439999999992</v>
      </c>
      <c r="AK120" s="13">
        <f t="shared" si="89"/>
        <v>66.638159365881364</v>
      </c>
      <c r="AL120" s="20">
        <f t="shared" si="58"/>
        <v>601.01879089557644</v>
      </c>
      <c r="AM120" s="59">
        <f t="shared" si="59"/>
        <v>894.35212422890982</v>
      </c>
      <c r="AN120" s="59">
        <f ca="1">AVERAGE(OFFSET($AM$3,0,0,'Données projet'!$E$10+1,1))-AVERAGE(OFFSET($H$3,0,0,'Données projet'!$E$10+1,1))</f>
        <v>296.43642006376018</v>
      </c>
      <c r="AO120" s="59">
        <f t="shared" si="90"/>
        <v>179.56041631665812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0.66685815815600691</v>
      </c>
      <c r="AV120" s="21">
        <f>EXP(-LN(2)/25)*AV119+(1-EXP(-LN(2)/25))/(LN(2)/25)*Calculateur!AQ120*Calculateur!AS120*VLOOKUP('Données projet'!$B$10,Paramètres!$A$1:$I$89,3,0)*0.475*44/12</f>
        <v>0.42137255995347273</v>
      </c>
      <c r="AW120" s="21">
        <f>EXP(-LN(2)/2)*AW119+(1-EXP(-LN(2)/2))/(LN(2)/2)*AQ120*AT120*VLOOKUP('Données projet'!$B$10,Paramètres!$A$1:$I$89,3,0)*0.475*44/12</f>
        <v>5.4979915460807825E-13</v>
      </c>
      <c r="AX120" s="21">
        <f t="shared" si="60"/>
        <v>1.0882307181100295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5.6843418860808015E-14</v>
      </c>
      <c r="BE120" s="13">
        <f>BD120*VLOOKUP('Données projet'!$B$11,Paramètres!$A$1:$I$89,3,0)*VLOOKUP('Données projet'!$B$11,Paramètres!$A$1:$I$89,5,0)</f>
        <v>3.813056537183002E-14</v>
      </c>
      <c r="BF120" s="13">
        <f t="shared" si="91"/>
        <v>6.4086286045526829E-13</v>
      </c>
      <c r="BG120" s="20">
        <f t="shared" si="61"/>
        <v>1.1825802166488628E-12</v>
      </c>
      <c r="BH120" s="59">
        <f t="shared" si="62"/>
        <v>293.33333333333451</v>
      </c>
      <c r="BI120" s="59">
        <f ca="1">AVERAGE(OFFSET($BH$3,0,0,'Données projet'!$E$11+1,1))-AVERAGE(OFFSET($H$3,0,0,'Données projet'!$E$11+1,1))</f>
        <v>181.32837315090507</v>
      </c>
      <c r="BJ120" s="59">
        <f t="shared" si="92"/>
        <v>175.03267817980338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0.97777363273123219</v>
      </c>
      <c r="BQ120" s="21">
        <f>EXP(-LN(2)/25)*BQ119+(1-EXP(-LN(2)/25))/(LN(2)/25)*Calculateur!BL120*Calculateur!BN120*VLOOKUP('Données projet'!$B$11,Paramètres!$A$1:$I$89,3,0)*0.475*44/12</f>
        <v>0.60964585953007921</v>
      </c>
      <c r="BR120" s="21">
        <f>EXP(-LN(2)/2)*BR119+(1-EXP(-LN(2)/2))/(LN(2)/2)*BL120*BO120*VLOOKUP('Données projet'!$B$11,Paramètres!$A$1:$I$89,3,0)*0.475*44/12</f>
        <v>8.5284663944361297E-14</v>
      </c>
      <c r="BS120" s="22">
        <f t="shared" si="63"/>
        <v>1.5874194922613967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574.49999999999989</v>
      </c>
      <c r="BZ120" s="13">
        <f>BY120*VLOOKUP('Données projet'!$B$12,Paramètres!$A$1:$I$89,3,0)*VLOOKUP('Données projet'!$B$12,Paramètres!$A$1:$I$89,5,0)</f>
        <v>268.86599999999999</v>
      </c>
      <c r="CA120" s="13">
        <f t="shared" si="93"/>
        <v>64.608546947682441</v>
      </c>
      <c r="CB120" s="20">
        <f t="shared" si="64"/>
        <v>580.80150260054677</v>
      </c>
      <c r="CC120" s="59">
        <f t="shared" si="65"/>
        <v>874.13483593388014</v>
      </c>
      <c r="CD120" s="59">
        <f ca="1">AVERAGE(OFFSET($CC$3,0,0,'Données projet'!$E$12+1,1))-AVERAGE(OFFSET($H$3,0,0,'Données projet'!$E$12+1,1))</f>
        <v>226.0452828290525</v>
      </c>
      <c r="CE120" s="59">
        <f t="shared" si="94"/>
        <v>179.89696397462069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1.6204212284026747</v>
      </c>
      <c r="CL120" s="21">
        <f>EXP(-LN(2)/25)*CL119+(1-EXP(-LN(2)/25))/(LN(2)/25)*Calculateur!CG120*Calculateur!CI120*VLOOKUP('Données projet'!$B$12,Paramètres!$A$1:$I$89,3,0)*0.475*44/12</f>
        <v>0.99940588418922061</v>
      </c>
      <c r="CM120" s="21">
        <f>EXP(-LN(2)/2)*CM119+(1-EXP(-LN(2)/2))/(LN(2)/2)*CG120*CJ120*VLOOKUP('Données projet'!$B$12,Paramètres!$A$1:$I$89,3,0)*0.475*44/12</f>
        <v>8.8774312978374017E-13</v>
      </c>
      <c r="CN120" s="22">
        <f t="shared" si="66"/>
        <v>2.619827112592783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482.74318690313885</v>
      </c>
      <c r="CZ120" s="59">
        <f t="shared" si="96"/>
        <v>205.57161411620217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2.0493398056493657</v>
      </c>
      <c r="DG120" s="21">
        <f>EXP(-LN(2)/25)*DG119+(1-EXP(-LN(2)/25))/(LN(2)/25)*Calculateur!DB120*Calculateur!DD120*VLOOKUP('Données projet'!$B$13,Paramètres!$A$1:$I$89,3,0)*0.475*44/12</f>
        <v>0.84487661647028689</v>
      </c>
      <c r="DH120" s="21">
        <f>EXP(-LN(2)/2)*DH119+(1-EXP(-LN(2)/2))/(LN(2)/2)*DB120*DE120*VLOOKUP('Données projet'!$B$13,Paramètres!$A$1:$I$89,3,0)*0.475*44/12</f>
        <v>3.6408028768221068E-13</v>
      </c>
      <c r="DI120" s="22">
        <f t="shared" si="69"/>
        <v>2.8942164221200168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2.2737367544323206E-13</v>
      </c>
      <c r="DP120" s="17">
        <f>DO120*VLOOKUP('Données projet'!$B$14,Paramètres!$A$1:$I$89,3,0)*VLOOKUP('Données projet'!$B$14,Paramètres!$A$1:$I$89,5,0)</f>
        <v>1.0936673788819462E-13</v>
      </c>
      <c r="DQ120" s="13">
        <f t="shared" si="97"/>
        <v>1.6259645746645945E-12</v>
      </c>
      <c r="DR120" s="20">
        <f t="shared" si="70"/>
        <v>3.0223687026961078E-12</v>
      </c>
      <c r="DS120" s="59">
        <f t="shared" si="71"/>
        <v>293.33333333333633</v>
      </c>
      <c r="DT120" s="59">
        <f ca="1">AVERAGE(OFFSET($DS$3,0,0,'Données projet'!$E$14+1,1))-AVERAGE(OFFSET($H$3,0,0,'Données projet'!$E$14+1,1))</f>
        <v>247.11965163963526</v>
      </c>
      <c r="DU120" s="59">
        <f t="shared" si="98"/>
        <v>61.686311966192704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0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3.8</v>
      </c>
      <c r="N121" s="13">
        <f>IF('Données projet'!$A$36&gt;35,N120+M121-V120,IF(A121&lt;'Données projet'!$A$36,$K$205^A121,IF(A121='Données projet'!$A$36,'Données projet'!$B$36,N120+M121-V120)))</f>
        <v>278.39999999999986</v>
      </c>
      <c r="O121" s="13">
        <f>N121*VLOOKUP('Données projet'!$B$9,Paramètres!$A$1:$I$89,3,0)*VLOOKUP('Données projet'!$B$9,Paramètres!$A$1:$I$89,5,0)</f>
        <v>251.89631999999989</v>
      </c>
      <c r="P121" s="13">
        <f t="shared" si="87"/>
        <v>60.991830479199145</v>
      </c>
      <c r="Q121" s="20">
        <f t="shared" si="107"/>
        <v>544.94686208460496</v>
      </c>
      <c r="R121" s="59">
        <f t="shared" si="55"/>
        <v>838.28019541793833</v>
      </c>
      <c r="S121" s="59">
        <f ca="1">AVERAGE(OFFSET($R$3,0,0,'Données projet'!$E$9+1,1))-AVERAGE(OFFSET($H$3,0,0,'Données projet'!$E$9+1,1))</f>
        <v>265.50419397354284</v>
      </c>
      <c r="T121" s="59">
        <f t="shared" si="88"/>
        <v>156.67965022779907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0.58337424049595576</v>
      </c>
      <c r="AA121" s="21">
        <f>EXP(-LN(2)/25)*AA120+(1-EXP(-LN(2)/25))/(LN(2)/25)*Calculateur!V121*Calculateur!X121*VLOOKUP('Données projet'!$B$9,Paramètres!$A$1:$I$89,3,0)*0.475*44/12</f>
        <v>0.36571240151179174</v>
      </c>
      <c r="AB121" s="21">
        <f>EXP(-LN(2)/2)*AB120+(1-EXP(-LN(2)/2))/(LN(2)/2)*V121*Y121*VLOOKUP('Données projet'!$B$9,Paramètres!$A$1:$I$89,3,0)*0.475*44/12</f>
        <v>3.4689952630480274E-13</v>
      </c>
      <c r="AC121" s="22">
        <f t="shared" si="57"/>
        <v>0.94908664200809445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3.8</v>
      </c>
      <c r="AI121" s="13">
        <f>IF('Données projet'!$A$62&gt;35,AI120+AH121-AQ120,IF(A121&lt;'Données projet'!$A$62,$AF$205^A121,IF(A121='Données projet'!$A$62,'Données projet'!$B$62,AI120+AH121-AQ120)))</f>
        <v>278.39999999999986</v>
      </c>
      <c r="AJ121" s="13">
        <f>AI121*VLOOKUP('Données projet'!$B$10,Paramètres!$A$1:$I$89,3,0)*VLOOKUP('Données projet'!$B$10,Paramètres!$A$1:$I$89,5,0)</f>
        <v>282.29759999999987</v>
      </c>
      <c r="AK121" s="13">
        <f t="shared" si="89"/>
        <v>67.452326629470178</v>
      </c>
      <c r="AL121" s="20">
        <f t="shared" si="58"/>
        <v>609.14778887966042</v>
      </c>
      <c r="AM121" s="59">
        <f t="shared" si="59"/>
        <v>902.4811222129938</v>
      </c>
      <c r="AN121" s="59">
        <f ca="1">AVERAGE(OFFSET($AM$3,0,0,'Données projet'!$E$10+1,1))-AVERAGE(OFFSET($H$3,0,0,'Données projet'!$E$10+1,1))</f>
        <v>296.43642006376018</v>
      </c>
      <c r="AO121" s="59">
        <f t="shared" si="90"/>
        <v>179.56041631665812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0.65378147641788154</v>
      </c>
      <c r="AV121" s="21">
        <f>EXP(-LN(2)/25)*AV120+(1-EXP(-LN(2)/25))/(LN(2)/25)*Calculateur!AQ121*Calculateur!AS121*VLOOKUP('Données projet'!$B$10,Paramètres!$A$1:$I$89,3,0)*0.475*44/12</f>
        <v>0.40985010514252512</v>
      </c>
      <c r="AW121" s="21">
        <f>EXP(-LN(2)/2)*AW120+(1-EXP(-LN(2)/2))/(LN(2)/2)*AQ121*AT121*VLOOKUP('Données projet'!$B$10,Paramètres!$A$1:$I$89,3,0)*0.475*44/12</f>
        <v>3.887667105140032E-13</v>
      </c>
      <c r="AX121" s="21">
        <f t="shared" si="60"/>
        <v>1.0636315815607955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5.6843418860808015E-14</v>
      </c>
      <c r="BE121" s="13">
        <f>BD121*VLOOKUP('Données projet'!$B$11,Paramètres!$A$1:$I$89,3,0)*VLOOKUP('Données projet'!$B$11,Paramètres!$A$1:$I$89,5,0)</f>
        <v>3.813056537183002E-14</v>
      </c>
      <c r="BF121" s="13">
        <f t="shared" si="91"/>
        <v>6.4086286045526829E-13</v>
      </c>
      <c r="BG121" s="20">
        <f t="shared" si="61"/>
        <v>1.1825802166488628E-12</v>
      </c>
      <c r="BH121" s="59">
        <f t="shared" si="62"/>
        <v>293.33333333333451</v>
      </c>
      <c r="BI121" s="59">
        <f ca="1">AVERAGE(OFFSET($BH$3,0,0,'Données projet'!$E$11+1,1))-AVERAGE(OFFSET($H$3,0,0,'Données projet'!$E$11+1,1))</f>
        <v>181.32837315090507</v>
      </c>
      <c r="BJ121" s="59">
        <f t="shared" si="92"/>
        <v>175.03267817980338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0.95860008817640074</v>
      </c>
      <c r="BQ121" s="21">
        <f>EXP(-LN(2)/25)*BQ120+(1-EXP(-LN(2)/25))/(LN(2)/25)*Calculateur!BL121*Calculateur!BN121*VLOOKUP('Données projet'!$B$11,Paramètres!$A$1:$I$89,3,0)*0.475*44/12</f>
        <v>0.59297506144134682</v>
      </c>
      <c r="BR121" s="21">
        <f>EXP(-LN(2)/2)*BR120+(1-EXP(-LN(2)/2))/(LN(2)/2)*BL121*BO121*VLOOKUP('Données projet'!$B$11,Paramètres!$A$1:$I$89,3,0)*0.475*44/12</f>
        <v>6.0305364206273721E-14</v>
      </c>
      <c r="BS121" s="22">
        <f t="shared" si="63"/>
        <v>1.5515751496178081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574.49999999999989</v>
      </c>
      <c r="BZ121" s="13">
        <f>BY121*VLOOKUP('Données projet'!$B$12,Paramètres!$A$1:$I$89,3,0)*VLOOKUP('Données projet'!$B$12,Paramètres!$A$1:$I$89,5,0)</f>
        <v>268.86599999999999</v>
      </c>
      <c r="CA121" s="13">
        <f t="shared" si="93"/>
        <v>64.608546947682441</v>
      </c>
      <c r="CB121" s="20">
        <f t="shared" si="64"/>
        <v>580.80150260054677</v>
      </c>
      <c r="CC121" s="59">
        <f t="shared" si="65"/>
        <v>874.13483593388014</v>
      </c>
      <c r="CD121" s="59">
        <f ca="1">AVERAGE(OFFSET($CC$3,0,0,'Données projet'!$E$12+1,1))-AVERAGE(OFFSET($H$3,0,0,'Données projet'!$E$12+1,1))</f>
        <v>226.0452828290525</v>
      </c>
      <c r="CE121" s="59">
        <f t="shared" si="94"/>
        <v>179.89696397462069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1.5886457564730552</v>
      </c>
      <c r="CL121" s="21">
        <f>EXP(-LN(2)/25)*CL120+(1-EXP(-LN(2)/25))/(LN(2)/25)*Calculateur!CG121*Calculateur!CI121*VLOOKUP('Données projet'!$B$12,Paramètres!$A$1:$I$89,3,0)*0.475*44/12</f>
        <v>0.97207707772959506</v>
      </c>
      <c r="CM121" s="21">
        <f>EXP(-LN(2)/2)*CM120+(1-EXP(-LN(2)/2))/(LN(2)/2)*CG121*CJ121*VLOOKUP('Données projet'!$B$12,Paramètres!$A$1:$I$89,3,0)*0.475*44/12</f>
        <v>6.2772918702185207E-13</v>
      </c>
      <c r="CN121" s="22">
        <f t="shared" si="66"/>
        <v>2.5607228342032782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482.74318690313885</v>
      </c>
      <c r="CZ121" s="59">
        <f t="shared" si="96"/>
        <v>205.57161411620217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2.0091535020344384</v>
      </c>
      <c r="DG121" s="21">
        <f>EXP(-LN(2)/25)*DG120+(1-EXP(-LN(2)/25))/(LN(2)/25)*Calculateur!DB121*Calculateur!DD121*VLOOKUP('Données projet'!$B$13,Paramètres!$A$1:$I$89,3,0)*0.475*44/12</f>
        <v>0.82177342096277661</v>
      </c>
      <c r="DH121" s="21">
        <f>EXP(-LN(2)/2)*DH120+(1-EXP(-LN(2)/2))/(LN(2)/2)*DB121*DE121*VLOOKUP('Données projet'!$B$13,Paramètres!$A$1:$I$89,3,0)*0.475*44/12</f>
        <v>2.5744364031644022E-13</v>
      </c>
      <c r="DI121" s="22">
        <f t="shared" si="69"/>
        <v>2.8309269229974725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2.2737367544323206E-13</v>
      </c>
      <c r="DP121" s="17">
        <f>DO121*VLOOKUP('Données projet'!$B$14,Paramètres!$A$1:$I$89,3,0)*VLOOKUP('Données projet'!$B$14,Paramètres!$A$1:$I$89,5,0)</f>
        <v>1.0936673788819462E-13</v>
      </c>
      <c r="DQ121" s="13">
        <f t="shared" si="97"/>
        <v>1.6259645746645945E-12</v>
      </c>
      <c r="DR121" s="20">
        <f t="shared" si="70"/>
        <v>3.0223687026961078E-12</v>
      </c>
      <c r="DS121" s="59">
        <f t="shared" si="71"/>
        <v>293.33333333333633</v>
      </c>
      <c r="DT121" s="59">
        <f ca="1">AVERAGE(OFFSET($DS$3,0,0,'Données projet'!$E$14+1,1))-AVERAGE(OFFSET($H$3,0,0,'Données projet'!$E$14+1,1))</f>
        <v>247.11965163963526</v>
      </c>
      <c r="DU121" s="59">
        <f t="shared" si="98"/>
        <v>61.686311966192704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0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3.8</v>
      </c>
      <c r="N122" s="13">
        <f>IF('Données projet'!$A$36&gt;35,N121+M122-V121,IF(A122&lt;'Données projet'!$A$36,$K$205^A122,IF(A122='Données projet'!$A$36,'Données projet'!$B$36,N121+M122-V121)))</f>
        <v>282.19999999999987</v>
      </c>
      <c r="O122" s="13">
        <f>N122*VLOOKUP('Données projet'!$B$9,Paramètres!$A$1:$I$89,3,0)*VLOOKUP('Données projet'!$B$9,Paramètres!$A$1:$I$89,5,0)</f>
        <v>255.33455999999987</v>
      </c>
      <c r="P122" s="13">
        <f t="shared" si="87"/>
        <v>61.726849101638756</v>
      </c>
      <c r="Q122" s="20">
        <f t="shared" si="107"/>
        <v>552.21528751868721</v>
      </c>
      <c r="R122" s="59">
        <f t="shared" si="55"/>
        <v>845.54862085202058</v>
      </c>
      <c r="S122" s="59">
        <f ca="1">AVERAGE(OFFSET($R$3,0,0,'Données projet'!$E$9+1,1))-AVERAGE(OFFSET($H$3,0,0,'Données projet'!$E$9+1,1))</f>
        <v>265.50419397354284</v>
      </c>
      <c r="T122" s="59">
        <f t="shared" si="88"/>
        <v>156.67965022779907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0.57193462746298218</v>
      </c>
      <c r="AA122" s="21">
        <f>EXP(-LN(2)/25)*AA121+(1-EXP(-LN(2)/25))/(LN(2)/25)*Calculateur!V122*Calculateur!X122*VLOOKUP('Données projet'!$B$9,Paramètres!$A$1:$I$89,3,0)*0.475*44/12</f>
        <v>0.35571197666047244</v>
      </c>
      <c r="AB122" s="21">
        <f>EXP(-LN(2)/2)*AB121+(1-EXP(-LN(2)/2))/(LN(2)/2)*V122*Y122*VLOOKUP('Données projet'!$B$9,Paramètres!$A$1:$I$89,3,0)*0.475*44/12</f>
        <v>2.4529500744052714E-13</v>
      </c>
      <c r="AC122" s="22">
        <f t="shared" si="57"/>
        <v>0.92764660412369981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3.8</v>
      </c>
      <c r="AI122" s="13">
        <f>IF('Données projet'!$A$62&gt;35,AI121+AH122-AQ121,IF(A122&lt;'Données projet'!$A$62,$AF$205^A122,IF(A122='Données projet'!$A$62,'Données projet'!$B$62,AI121+AH122-AQ121)))</f>
        <v>282.19999999999987</v>
      </c>
      <c r="AJ122" s="13">
        <f>AI122*VLOOKUP('Données projet'!$B$10,Paramètres!$A$1:$I$89,3,0)*VLOOKUP('Données projet'!$B$10,Paramètres!$A$1:$I$89,5,0)</f>
        <v>286.15079999999989</v>
      </c>
      <c r="AK122" s="13">
        <f t="shared" si="89"/>
        <v>68.265201334328424</v>
      </c>
      <c r="AL122" s="20">
        <f t="shared" si="58"/>
        <v>617.27453565728842</v>
      </c>
      <c r="AM122" s="59">
        <f t="shared" si="59"/>
        <v>910.60786899062168</v>
      </c>
      <c r="AN122" s="59">
        <f ca="1">AVERAGE(OFFSET($AM$3,0,0,'Données projet'!$E$10+1,1))-AVERAGE(OFFSET($H$3,0,0,'Données projet'!$E$10+1,1))</f>
        <v>296.43642006376018</v>
      </c>
      <c r="AO122" s="59">
        <f t="shared" si="90"/>
        <v>179.56041631665812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0.64096122043265247</v>
      </c>
      <c r="AV122" s="21">
        <f>EXP(-LN(2)/25)*AV121+(1-EXP(-LN(2)/25))/(LN(2)/25)*Calculateur!AQ122*Calculateur!AS122*VLOOKUP('Données projet'!$B$10,Paramètres!$A$1:$I$89,3,0)*0.475*44/12</f>
        <v>0.39864273246432247</v>
      </c>
      <c r="AW122" s="21">
        <f>EXP(-LN(2)/2)*AW121+(1-EXP(-LN(2)/2))/(LN(2)/2)*AQ122*AT122*VLOOKUP('Données projet'!$B$10,Paramètres!$A$1:$I$89,3,0)*0.475*44/12</f>
        <v>2.7489957730403912E-13</v>
      </c>
      <c r="AX122" s="21">
        <f t="shared" si="60"/>
        <v>1.0396039528972498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5.6843418860808015E-14</v>
      </c>
      <c r="BE122" s="13">
        <f>BD122*VLOOKUP('Données projet'!$B$11,Paramètres!$A$1:$I$89,3,0)*VLOOKUP('Données projet'!$B$11,Paramètres!$A$1:$I$89,5,0)</f>
        <v>3.813056537183002E-14</v>
      </c>
      <c r="BF122" s="13">
        <f t="shared" si="91"/>
        <v>6.4086286045526829E-13</v>
      </c>
      <c r="BG122" s="20">
        <f t="shared" si="61"/>
        <v>1.1825802166488628E-12</v>
      </c>
      <c r="BH122" s="59">
        <f t="shared" si="62"/>
        <v>293.33333333333451</v>
      </c>
      <c r="BI122" s="59">
        <f ca="1">AVERAGE(OFFSET($BH$3,0,0,'Données projet'!$E$11+1,1))-AVERAGE(OFFSET($H$3,0,0,'Données projet'!$E$11+1,1))</f>
        <v>181.32837315090507</v>
      </c>
      <c r="BJ122" s="59">
        <f t="shared" si="92"/>
        <v>175.03267817980338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0.93980252513558216</v>
      </c>
      <c r="BQ122" s="21">
        <f>EXP(-LN(2)/25)*BQ121+(1-EXP(-LN(2)/25))/(LN(2)/25)*Calculateur!BL122*Calculateur!BN122*VLOOKUP('Données projet'!$B$11,Paramètres!$A$1:$I$89,3,0)*0.475*44/12</f>
        <v>0.57676012720302994</v>
      </c>
      <c r="BR122" s="21">
        <f>EXP(-LN(2)/2)*BR121+(1-EXP(-LN(2)/2))/(LN(2)/2)*BL122*BO122*VLOOKUP('Données projet'!$B$11,Paramètres!$A$1:$I$89,3,0)*0.475*44/12</f>
        <v>4.2642331972180648E-14</v>
      </c>
      <c r="BS122" s="22">
        <f t="shared" si="63"/>
        <v>1.5165626523386546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574.49999999999989</v>
      </c>
      <c r="BZ122" s="13">
        <f>BY122*VLOOKUP('Données projet'!$B$12,Paramètres!$A$1:$I$89,3,0)*VLOOKUP('Données projet'!$B$12,Paramètres!$A$1:$I$89,5,0)</f>
        <v>268.86599999999999</v>
      </c>
      <c r="CA122" s="13">
        <f t="shared" si="93"/>
        <v>64.608546947682441</v>
      </c>
      <c r="CB122" s="20">
        <f t="shared" si="64"/>
        <v>580.80150260054677</v>
      </c>
      <c r="CC122" s="59">
        <f t="shared" si="65"/>
        <v>874.13483593388014</v>
      </c>
      <c r="CD122" s="59">
        <f ca="1">AVERAGE(OFFSET($CC$3,0,0,'Données projet'!$E$12+1,1))-AVERAGE(OFFSET($H$3,0,0,'Données projet'!$E$12+1,1))</f>
        <v>226.0452828290525</v>
      </c>
      <c r="CE122" s="59">
        <f t="shared" si="94"/>
        <v>179.89696397462069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1.5574933821668513</v>
      </c>
      <c r="CL122" s="21">
        <f>EXP(-LN(2)/25)*CL121+(1-EXP(-LN(2)/25))/(LN(2)/25)*Calculateur!CG122*Calculateur!CI122*VLOOKUP('Données projet'!$B$12,Paramètres!$A$1:$I$89,3,0)*0.475*44/12</f>
        <v>0.94549557891976743</v>
      </c>
      <c r="CM122" s="21">
        <f>EXP(-LN(2)/2)*CM121+(1-EXP(-LN(2)/2))/(LN(2)/2)*CG122*CJ122*VLOOKUP('Données projet'!$B$12,Paramètres!$A$1:$I$89,3,0)*0.475*44/12</f>
        <v>4.4387156489187014E-13</v>
      </c>
      <c r="CN122" s="22">
        <f t="shared" si="66"/>
        <v>2.5029889610870626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482.74318690313885</v>
      </c>
      <c r="CZ122" s="59">
        <f t="shared" si="96"/>
        <v>205.57161411620217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1.969755227322175</v>
      </c>
      <c r="DG122" s="21">
        <f>EXP(-LN(2)/25)*DG121+(1-EXP(-LN(2)/25))/(LN(2)/25)*Calculateur!DB122*Calculateur!DD122*VLOOKUP('Données projet'!$B$13,Paramètres!$A$1:$I$89,3,0)*0.475*44/12</f>
        <v>0.7993019835513635</v>
      </c>
      <c r="DH122" s="21">
        <f>EXP(-LN(2)/2)*DH121+(1-EXP(-LN(2)/2))/(LN(2)/2)*DB122*DE122*VLOOKUP('Données projet'!$B$13,Paramètres!$A$1:$I$89,3,0)*0.475*44/12</f>
        <v>1.8204014384110534E-13</v>
      </c>
      <c r="DI122" s="22">
        <f t="shared" si="69"/>
        <v>2.7690572108737204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2.2737367544323206E-13</v>
      </c>
      <c r="DP122" s="17">
        <f>DO122*VLOOKUP('Données projet'!$B$14,Paramètres!$A$1:$I$89,3,0)*VLOOKUP('Données projet'!$B$14,Paramètres!$A$1:$I$89,5,0)</f>
        <v>1.0936673788819462E-13</v>
      </c>
      <c r="DQ122" s="13">
        <f t="shared" si="97"/>
        <v>1.6259645746645945E-12</v>
      </c>
      <c r="DR122" s="20">
        <f t="shared" si="70"/>
        <v>3.0223687026961078E-12</v>
      </c>
      <c r="DS122" s="59">
        <f t="shared" si="71"/>
        <v>293.33333333333633</v>
      </c>
      <c r="DT122" s="59">
        <f ca="1">AVERAGE(OFFSET($DS$3,0,0,'Données projet'!$E$14+1,1))-AVERAGE(OFFSET($H$3,0,0,'Données projet'!$E$14+1,1))</f>
        <v>247.11965163963526</v>
      </c>
      <c r="DU122" s="59">
        <f t="shared" si="98"/>
        <v>61.686311966192704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0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286</v>
      </c>
      <c r="L123" s="12">
        <f>VLOOKUP(A123,'Données projet'!$A$35:$I$55,9,0)</f>
        <v>3.8</v>
      </c>
      <c r="M123" s="12">
        <f t="array" ref="M123">INDEX(L:L,MIN(IF(ISNUMBER(L123:L319),ROW(L123:L319),"")))</f>
        <v>3.8</v>
      </c>
      <c r="N123" s="13">
        <f>IF('Données projet'!$A$36&gt;35,N122+M123-V122,IF(A123&lt;'Données projet'!$A$36,$K$205^A123,IF(A123='Données projet'!$A$36,'Données projet'!$B$36,N122+M123-V122)))</f>
        <v>285.99999999999989</v>
      </c>
      <c r="O123" s="13">
        <f>N123*VLOOKUP('Données projet'!$B$9,Paramètres!$A$1:$I$89,3,0)*VLOOKUP('Données projet'!$B$9,Paramètres!$A$1:$I$89,5,0)</f>
        <v>258.77279999999985</v>
      </c>
      <c r="P123" s="13">
        <f t="shared" si="87"/>
        <v>62.460716522234641</v>
      </c>
      <c r="Q123" s="20">
        <f t="shared" si="107"/>
        <v>559.4817079428916</v>
      </c>
      <c r="R123" s="59">
        <f t="shared" si="55"/>
        <v>852.81504127622497</v>
      </c>
      <c r="S123" s="59">
        <f ca="1">AVERAGE(OFFSET($R$3,0,0,'Données projet'!$E$9+1,1))-AVERAGE(OFFSET($H$3,0,0,'Données projet'!$E$9+1,1))</f>
        <v>265.50419397354284</v>
      </c>
      <c r="T123" s="59">
        <f t="shared" si="88"/>
        <v>156.67965022779907</v>
      </c>
      <c r="U123" s="15">
        <f>IF(ISNA(VLOOKUP(A123,'Données projet'!$A$35:$I$55,3,0)),0,VLOOKUP(A123,'Données projet'!$A$35:$I$55,3,0))</f>
        <v>21</v>
      </c>
      <c r="V123" s="15">
        <f>IF(ISNA(VLOOKUP(A123,'Données projet'!$A$35:$I$55,4,0)),0,VLOOKUP(A123,'Données projet'!$A$35:$I$55,4,0))</f>
        <v>286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0.56071933826411025</v>
      </c>
      <c r="AA123" s="21">
        <f>EXP(-LN(2)/25)*AA122+(1-EXP(-LN(2)/25))/(LN(2)/25)*Calculateur!V123*Calculateur!X123*VLOOKUP('Données projet'!$B$9,Paramètres!$A$1:$I$89,3,0)*0.475*44/12</f>
        <v>0.34598501395261194</v>
      </c>
      <c r="AB123" s="21">
        <f>EXP(-LN(2)/2)*AB122+(1-EXP(-LN(2)/2))/(LN(2)/2)*V123*Y123*VLOOKUP('Données projet'!$B$9,Paramètres!$A$1:$I$89,3,0)*0.475*44/12</f>
        <v>1.7344976315240137E-13</v>
      </c>
      <c r="AC123" s="22">
        <f t="shared" si="57"/>
        <v>0.9067043522168956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286</v>
      </c>
      <c r="AG123" s="12">
        <f>VLOOKUP(A123,'Données projet'!$A$61:$I$81,9,0)</f>
        <v>3.8</v>
      </c>
      <c r="AH123" s="12">
        <f t="array" ref="AH123">INDEX(AG:AG,MIN(IF(ISNUMBER(AG123:AG319),ROW(AG123:AG319),"")))</f>
        <v>3.8</v>
      </c>
      <c r="AI123" s="13">
        <f>IF('Données projet'!$A$62&gt;35,AI122+AH123-AQ122,IF(A123&lt;'Données projet'!$A$62,$AF$205^A123,IF(A123='Données projet'!$A$62,'Données projet'!$B$62,AI122+AH123-AQ122)))</f>
        <v>285.99999999999989</v>
      </c>
      <c r="AJ123" s="13">
        <f>AI123*VLOOKUP('Données projet'!$B$10,Paramètres!$A$1:$I$89,3,0)*VLOOKUP('Données projet'!$B$10,Paramètres!$A$1:$I$89,5,0)</f>
        <v>290.00399999999991</v>
      </c>
      <c r="AK123" s="13">
        <f t="shared" si="89"/>
        <v>69.076802897485877</v>
      </c>
      <c r="AL123" s="20">
        <f t="shared" si="58"/>
        <v>625.39906504645444</v>
      </c>
      <c r="AM123" s="59">
        <f t="shared" si="59"/>
        <v>918.73239837978781</v>
      </c>
      <c r="AN123" s="59">
        <f ca="1">AVERAGE(OFFSET($AM$3,0,0,'Données projet'!$E$10+1,1))-AVERAGE(OFFSET($H$3,0,0,'Données projet'!$E$10+1,1))</f>
        <v>296.43642006376018</v>
      </c>
      <c r="AO123" s="59">
        <f t="shared" si="90"/>
        <v>179.56041631665812</v>
      </c>
      <c r="AP123" s="15">
        <f>IF(ISNA(VLOOKUP(A123,'Données projet'!$A$61:$I$81,3,0)),0,VLOOKUP(A123,'Données projet'!$A$61:$I$81,3,0))</f>
        <v>21</v>
      </c>
      <c r="AQ123" s="15">
        <f>IF(ISNA(VLOOKUP(A123,'Données projet'!$A$61:$I$81,4,0)),0,VLOOKUP(A123,'Données projet'!$A$61:$I$81,4,0))</f>
        <v>286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0.62839236184770975</v>
      </c>
      <c r="AV123" s="21">
        <f>EXP(-LN(2)/25)*AV122+(1-EXP(-LN(2)/25))/(LN(2)/25)*Calculateur!AQ123*Calculateur!AS123*VLOOKUP('Données projet'!$B$10,Paramètres!$A$1:$I$89,3,0)*0.475*44/12</f>
        <v>0.38774182598137535</v>
      </c>
      <c r="AW123" s="21">
        <f>EXP(-LN(2)/2)*AW122+(1-EXP(-LN(2)/2))/(LN(2)/2)*AQ123*AT123*VLOOKUP('Données projet'!$B$10,Paramètres!$A$1:$I$89,3,0)*0.475*44/12</f>
        <v>1.943833552570016E-13</v>
      </c>
      <c r="AX123" s="21">
        <f t="shared" si="60"/>
        <v>1.0161341878292793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5.6843418860808015E-14</v>
      </c>
      <c r="BE123" s="13">
        <f>BD123*VLOOKUP('Données projet'!$B$11,Paramètres!$A$1:$I$89,3,0)*VLOOKUP('Données projet'!$B$11,Paramètres!$A$1:$I$89,5,0)</f>
        <v>3.813056537183002E-14</v>
      </c>
      <c r="BF123" s="13">
        <f t="shared" si="91"/>
        <v>6.4086286045526829E-13</v>
      </c>
      <c r="BG123" s="20">
        <f t="shared" si="61"/>
        <v>1.1825802166488628E-12</v>
      </c>
      <c r="BH123" s="59">
        <f t="shared" si="62"/>
        <v>293.33333333333451</v>
      </c>
      <c r="BI123" s="59">
        <f ca="1">AVERAGE(OFFSET($BH$3,0,0,'Données projet'!$E$11+1,1))-AVERAGE(OFFSET($H$3,0,0,'Données projet'!$E$11+1,1))</f>
        <v>181.32837315090507</v>
      </c>
      <c r="BJ123" s="59">
        <f t="shared" si="92"/>
        <v>175.03267817980338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0.92137357084061267</v>
      </c>
      <c r="BQ123" s="21">
        <f>EXP(-LN(2)/25)*BQ122+(1-EXP(-LN(2)/25))/(LN(2)/25)*Calculateur!BL123*Calculateur!BN123*VLOOKUP('Données projet'!$B$11,Paramètres!$A$1:$I$89,3,0)*0.475*44/12</f>
        <v>0.56098859119416622</v>
      </c>
      <c r="BR123" s="21">
        <f>EXP(-LN(2)/2)*BR122+(1-EXP(-LN(2)/2))/(LN(2)/2)*BL123*BO123*VLOOKUP('Données projet'!$B$11,Paramètres!$A$1:$I$89,3,0)*0.475*44/12</f>
        <v>3.0152682103136861E-14</v>
      </c>
      <c r="BS123" s="22">
        <f t="shared" si="63"/>
        <v>1.4823621620348091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574.49999999999989</v>
      </c>
      <c r="BZ123" s="13">
        <f>BY123*VLOOKUP('Données projet'!$B$12,Paramètres!$A$1:$I$89,3,0)*VLOOKUP('Données projet'!$B$12,Paramètres!$A$1:$I$89,5,0)</f>
        <v>268.86599999999999</v>
      </c>
      <c r="CA123" s="13">
        <f t="shared" si="93"/>
        <v>64.608546947682441</v>
      </c>
      <c r="CB123" s="20">
        <f t="shared" si="64"/>
        <v>580.80150260054677</v>
      </c>
      <c r="CC123" s="59">
        <f t="shared" si="65"/>
        <v>874.13483593388014</v>
      </c>
      <c r="CD123" s="59">
        <f ca="1">AVERAGE(OFFSET($CC$3,0,0,'Données projet'!$E$12+1,1))-AVERAGE(OFFSET($H$3,0,0,'Données projet'!$E$12+1,1))</f>
        <v>226.0452828290525</v>
      </c>
      <c r="CE123" s="59">
        <f t="shared" si="94"/>
        <v>179.89696397462069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1.5269518869197201</v>
      </c>
      <c r="CL123" s="21">
        <f>EXP(-LN(2)/25)*CL122+(1-EXP(-LN(2)/25))/(LN(2)/25)*Calculateur!CG123*Calculateur!CI123*VLOOKUP('Données projet'!$B$12,Paramètres!$A$1:$I$89,3,0)*0.475*44/12</f>
        <v>0.9196409525927548</v>
      </c>
      <c r="CM123" s="21">
        <f>EXP(-LN(2)/2)*CM122+(1-EXP(-LN(2)/2))/(LN(2)/2)*CG123*CJ123*VLOOKUP('Données projet'!$B$12,Paramètres!$A$1:$I$89,3,0)*0.475*44/12</f>
        <v>3.1386459351092609E-13</v>
      </c>
      <c r="CN123" s="22">
        <f t="shared" si="66"/>
        <v>2.4465928395127889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482.74318690313885</v>
      </c>
      <c r="CZ123" s="59">
        <f t="shared" si="96"/>
        <v>205.57161411620217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1.9311295287464443</v>
      </c>
      <c r="DG123" s="21">
        <f>EXP(-LN(2)/25)*DG122+(1-EXP(-LN(2)/25))/(LN(2)/25)*Calculateur!DB123*Calculateur!DD123*VLOOKUP('Données projet'!$B$13,Paramètres!$A$1:$I$89,3,0)*0.475*44/12</f>
        <v>0.77744502877768695</v>
      </c>
      <c r="DH123" s="21">
        <f>EXP(-LN(2)/2)*DH122+(1-EXP(-LN(2)/2))/(LN(2)/2)*DB123*DE123*VLOOKUP('Données projet'!$B$13,Paramètres!$A$1:$I$89,3,0)*0.475*44/12</f>
        <v>1.2872182015822011E-13</v>
      </c>
      <c r="DI123" s="22">
        <f t="shared" si="69"/>
        <v>2.7085745575242601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2.2737367544323206E-13</v>
      </c>
      <c r="DP123" s="17">
        <f>DO123*VLOOKUP('Données projet'!$B$14,Paramètres!$A$1:$I$89,3,0)*VLOOKUP('Données projet'!$B$14,Paramètres!$A$1:$I$89,5,0)</f>
        <v>1.0936673788819462E-13</v>
      </c>
      <c r="DQ123" s="13">
        <f t="shared" si="97"/>
        <v>1.6259645746645945E-12</v>
      </c>
      <c r="DR123" s="20">
        <f t="shared" si="70"/>
        <v>3.0223687026961078E-12</v>
      </c>
      <c r="DS123" s="59">
        <f t="shared" si="71"/>
        <v>293.33333333333633</v>
      </c>
      <c r="DT123" s="59">
        <f ca="1">AVERAGE(OFFSET($DS$3,0,0,'Données projet'!$E$14+1,1))-AVERAGE(OFFSET($H$3,0,0,'Données projet'!$E$14+1,1))</f>
        <v>247.11965163963526</v>
      </c>
      <c r="DU123" s="59">
        <f t="shared" si="98"/>
        <v>61.686311966192704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0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-1.0286385077051818E-13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265.50419397354284</v>
      </c>
      <c r="T124" s="59">
        <f t="shared" si="88"/>
        <v>156.67965022779907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0.54972397404577722</v>
      </c>
      <c r="AA124" s="21">
        <f>EXP(-LN(2)/25)*AA123+(1-EXP(-LN(2)/25))/(LN(2)/25)*Calculateur!V124*Calculateur!X124*VLOOKUP('Données projet'!$B$9,Paramètres!$A$1:$I$89,3,0)*0.475*44/12</f>
        <v>0.33652403555151666</v>
      </c>
      <c r="AB124" s="21">
        <f>EXP(-LN(2)/2)*AB123+(1-EXP(-LN(2)/2))/(LN(2)/2)*V124*Y124*VLOOKUP('Données projet'!$B$9,Paramètres!$A$1:$I$89,3,0)*0.475*44/12</f>
        <v>1.2264750372026357E-13</v>
      </c>
      <c r="AC124" s="22">
        <f t="shared" si="57"/>
        <v>0.88624800959741656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-1.1527845344971866E-13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296.43642006376018</v>
      </c>
      <c r="AO124" s="59">
        <f t="shared" si="90"/>
        <v>179.56041631665812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0.61606997091337101</v>
      </c>
      <c r="AV124" s="21">
        <f>EXP(-LN(2)/25)*AV123+(1-EXP(-LN(2)/25))/(LN(2)/25)*Calculateur!AQ124*Calculateur!AS124*VLOOKUP('Données projet'!$B$10,Paramètres!$A$1:$I$89,3,0)*0.475*44/12</f>
        <v>0.37713900535945821</v>
      </c>
      <c r="AW124" s="21">
        <f>EXP(-LN(2)/2)*AW123+(1-EXP(-LN(2)/2))/(LN(2)/2)*AQ124*AT124*VLOOKUP('Données projet'!$B$10,Paramètres!$A$1:$I$89,3,0)*0.475*44/12</f>
        <v>1.3744978865201956E-13</v>
      </c>
      <c r="AX124" s="21">
        <f t="shared" si="60"/>
        <v>0.99320897627296667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5.6843418860808015E-14</v>
      </c>
      <c r="BE124" s="13">
        <f>BD124*VLOOKUP('Données projet'!$B$11,Paramètres!$A$1:$I$89,3,0)*VLOOKUP('Données projet'!$B$11,Paramètres!$A$1:$I$89,5,0)</f>
        <v>3.813056537183002E-14</v>
      </c>
      <c r="BF124" s="13">
        <f t="shared" si="91"/>
        <v>6.4086286045526829E-13</v>
      </c>
      <c r="BG124" s="20">
        <f t="shared" si="61"/>
        <v>1.1825802166488628E-12</v>
      </c>
      <c r="BH124" s="59">
        <f t="shared" si="62"/>
        <v>293.33333333333451</v>
      </c>
      <c r="BI124" s="59">
        <f ca="1">AVERAGE(OFFSET($BH$3,0,0,'Données projet'!$E$11+1,1))-AVERAGE(OFFSET($H$3,0,0,'Données projet'!$E$11+1,1))</f>
        <v>181.32837315090507</v>
      </c>
      <c r="BJ124" s="59">
        <f t="shared" si="92"/>
        <v>175.03267817980338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0.90330599709881532</v>
      </c>
      <c r="BQ124" s="21">
        <f>EXP(-LN(2)/25)*BQ123+(1-EXP(-LN(2)/25))/(LN(2)/25)*Calculateur!BL124*Calculateur!BN124*VLOOKUP('Données projet'!$B$11,Paramètres!$A$1:$I$89,3,0)*0.475*44/12</f>
        <v>0.54564832866685387</v>
      </c>
      <c r="BR124" s="21">
        <f>EXP(-LN(2)/2)*BR123+(1-EXP(-LN(2)/2))/(LN(2)/2)*BL124*BO124*VLOOKUP('Données projet'!$B$11,Paramètres!$A$1:$I$89,3,0)*0.475*44/12</f>
        <v>2.1321165986090324E-14</v>
      </c>
      <c r="BS124" s="22">
        <f t="shared" si="63"/>
        <v>1.4489543257656905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574.49999999999989</v>
      </c>
      <c r="BZ124" s="13">
        <f>BY124*VLOOKUP('Données projet'!$B$12,Paramètres!$A$1:$I$89,3,0)*VLOOKUP('Données projet'!$B$12,Paramètres!$A$1:$I$89,5,0)</f>
        <v>268.86599999999999</v>
      </c>
      <c r="CA124" s="13">
        <f t="shared" si="93"/>
        <v>64.608546947682441</v>
      </c>
      <c r="CB124" s="20">
        <f t="shared" si="64"/>
        <v>580.80150260054677</v>
      </c>
      <c r="CC124" s="59">
        <f t="shared" si="65"/>
        <v>874.13483593388014</v>
      </c>
      <c r="CD124" s="59">
        <f ca="1">AVERAGE(OFFSET($CC$3,0,0,'Données projet'!$E$12+1,1))-AVERAGE(OFFSET($H$3,0,0,'Données projet'!$E$12+1,1))</f>
        <v>226.0452828290525</v>
      </c>
      <c r="CE124" s="59">
        <f t="shared" si="94"/>
        <v>179.89696397462069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1.4970092917659124</v>
      </c>
      <c r="CL124" s="21">
        <f>EXP(-LN(2)/25)*CL123+(1-EXP(-LN(2)/25))/(LN(2)/25)*Calculateur!CG124*Calculateur!CI124*VLOOKUP('Données projet'!$B$12,Paramètres!$A$1:$I$89,3,0)*0.475*44/12</f>
        <v>0.89449332238229007</v>
      </c>
      <c r="CM124" s="21">
        <f>EXP(-LN(2)/2)*CM123+(1-EXP(-LN(2)/2))/(LN(2)/2)*CG124*CJ124*VLOOKUP('Données projet'!$B$12,Paramètres!$A$1:$I$89,3,0)*0.475*44/12</f>
        <v>2.2193578244593512E-13</v>
      </c>
      <c r="CN124" s="22">
        <f t="shared" si="66"/>
        <v>2.3915026141484246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482.74318690313885</v>
      </c>
      <c r="CZ124" s="59">
        <f t="shared" si="96"/>
        <v>205.57161411620217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1.8932612565604339</v>
      </c>
      <c r="DG124" s="21">
        <f>EXP(-LN(2)/25)*DG123+(1-EXP(-LN(2)/25))/(LN(2)/25)*Calculateur!DB124*Calculateur!DD124*VLOOKUP('Données projet'!$B$13,Paramètres!$A$1:$I$89,3,0)*0.475*44/12</f>
        <v>0.75618575358170392</v>
      </c>
      <c r="DH124" s="21">
        <f>EXP(-LN(2)/2)*DH123+(1-EXP(-LN(2)/2))/(LN(2)/2)*DB124*DE124*VLOOKUP('Données projet'!$B$13,Paramètres!$A$1:$I$89,3,0)*0.475*44/12</f>
        <v>9.1020071920552669E-14</v>
      </c>
      <c r="DI124" s="22">
        <f t="shared" si="69"/>
        <v>2.6494470101422287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2.2737367544323206E-13</v>
      </c>
      <c r="DP124" s="17">
        <f>DO124*VLOOKUP('Données projet'!$B$14,Paramètres!$A$1:$I$89,3,0)*VLOOKUP('Données projet'!$B$14,Paramètres!$A$1:$I$89,5,0)</f>
        <v>1.0936673788819462E-13</v>
      </c>
      <c r="DQ124" s="13">
        <f t="shared" si="97"/>
        <v>1.6259645746645945E-12</v>
      </c>
      <c r="DR124" s="20">
        <f t="shared" si="70"/>
        <v>3.0223687026961078E-12</v>
      </c>
      <c r="DS124" s="59">
        <f t="shared" si="71"/>
        <v>293.33333333333633</v>
      </c>
      <c r="DT124" s="59">
        <f ca="1">AVERAGE(OFFSET($DS$3,0,0,'Données projet'!$E$14+1,1))-AVERAGE(OFFSET($H$3,0,0,'Données projet'!$E$14+1,1))</f>
        <v>247.11965163963526</v>
      </c>
      <c r="DU124" s="59">
        <f t="shared" si="98"/>
        <v>61.686311966192704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0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-1.0286385077051818E-13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265.50419397354284</v>
      </c>
      <c r="T125" s="59">
        <f t="shared" si="88"/>
        <v>156.67965022779907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0.53894422221325566</v>
      </c>
      <c r="AA125" s="21">
        <f>EXP(-LN(2)/25)*AA124+(1-EXP(-LN(2)/25))/(LN(2)/25)*Calculateur!V125*Calculateur!X125*VLOOKUP('Données projet'!$B$9,Paramètres!$A$1:$I$89,3,0)*0.475*44/12</f>
        <v>0.32732176810233055</v>
      </c>
      <c r="AB125" s="21">
        <f>EXP(-LN(2)/2)*AB124+(1-EXP(-LN(2)/2))/(LN(2)/2)*V125*Y125*VLOOKUP('Données projet'!$B$9,Paramètres!$A$1:$I$89,3,0)*0.475*44/12</f>
        <v>8.6724881576200685E-14</v>
      </c>
      <c r="AC125" s="22">
        <f t="shared" si="57"/>
        <v>0.86626599031567297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-1.1527845344971866E-13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296.43642006376018</v>
      </c>
      <c r="AO125" s="59">
        <f t="shared" si="90"/>
        <v>179.56041631665812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0.60398921454933829</v>
      </c>
      <c r="AV125" s="21">
        <f>EXP(-LN(2)/25)*AV124+(1-EXP(-LN(2)/25))/(LN(2)/25)*Calculateur!AQ125*Calculateur!AS125*VLOOKUP('Données projet'!$B$10,Paramètres!$A$1:$I$89,3,0)*0.475*44/12</f>
        <v>0.36682611942502552</v>
      </c>
      <c r="AW125" s="21">
        <f>EXP(-LN(2)/2)*AW124+(1-EXP(-LN(2)/2))/(LN(2)/2)*AQ125*AT125*VLOOKUP('Données projet'!$B$10,Paramètres!$A$1:$I$89,3,0)*0.475*44/12</f>
        <v>9.7191677628500801E-14</v>
      </c>
      <c r="AX125" s="21">
        <f t="shared" si="60"/>
        <v>0.97081533397446096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5.6843418860808015E-14</v>
      </c>
      <c r="BE125" s="13">
        <f>BD125*VLOOKUP('Données projet'!$B$11,Paramètres!$A$1:$I$89,3,0)*VLOOKUP('Données projet'!$B$11,Paramètres!$A$1:$I$89,5,0)</f>
        <v>3.813056537183002E-14</v>
      </c>
      <c r="BF125" s="13">
        <f t="shared" si="91"/>
        <v>6.4086286045526829E-13</v>
      </c>
      <c r="BG125" s="20">
        <f t="shared" si="61"/>
        <v>1.1825802166488628E-12</v>
      </c>
      <c r="BH125" s="59">
        <f t="shared" si="62"/>
        <v>293.33333333333451</v>
      </c>
      <c r="BI125" s="59">
        <f ca="1">AVERAGE(OFFSET($BH$3,0,0,'Données projet'!$E$11+1,1))-AVERAGE(OFFSET($H$3,0,0,'Données projet'!$E$11+1,1))</f>
        <v>181.32837315090507</v>
      </c>
      <c r="BJ125" s="59">
        <f t="shared" si="92"/>
        <v>175.03267817980338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0.88559271745796275</v>
      </c>
      <c r="BQ125" s="21">
        <f>EXP(-LN(2)/25)*BQ124+(1-EXP(-LN(2)/25))/(LN(2)/25)*Calculateur!BL125*Calculateur!BN125*VLOOKUP('Données projet'!$B$11,Paramètres!$A$1:$I$89,3,0)*0.475*44/12</f>
        <v>0.53072754642506026</v>
      </c>
      <c r="BR125" s="21">
        <f>EXP(-LN(2)/2)*BR124+(1-EXP(-LN(2)/2))/(LN(2)/2)*BL125*BO125*VLOOKUP('Données projet'!$B$11,Paramètres!$A$1:$I$89,3,0)*0.475*44/12</f>
        <v>1.507634105156843E-14</v>
      </c>
      <c r="BS125" s="22">
        <f t="shared" si="63"/>
        <v>1.4163202638830381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574.49999999999989</v>
      </c>
      <c r="BZ125" s="13">
        <f>BY125*VLOOKUP('Données projet'!$B$12,Paramètres!$A$1:$I$89,3,0)*VLOOKUP('Données projet'!$B$12,Paramètres!$A$1:$I$89,5,0)</f>
        <v>268.86599999999999</v>
      </c>
      <c r="CA125" s="13">
        <f t="shared" si="93"/>
        <v>64.608546947682441</v>
      </c>
      <c r="CB125" s="20">
        <f t="shared" si="64"/>
        <v>580.80150260054677</v>
      </c>
      <c r="CC125" s="59">
        <f t="shared" si="65"/>
        <v>874.13483593388014</v>
      </c>
      <c r="CD125" s="59">
        <f ca="1">AVERAGE(OFFSET($CC$3,0,0,'Données projet'!$E$12+1,1))-AVERAGE(OFFSET($H$3,0,0,'Données projet'!$E$12+1,1))</f>
        <v>226.0452828290525</v>
      </c>
      <c r="CE125" s="59">
        <f t="shared" si="94"/>
        <v>179.89696397462069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1.467653852639891</v>
      </c>
      <c r="CL125" s="21">
        <f>EXP(-LN(2)/25)*CL124+(1-EXP(-LN(2)/25))/(LN(2)/25)*Calculateur!CG125*Calculateur!CI125*VLOOKUP('Données projet'!$B$12,Paramètres!$A$1:$I$89,3,0)*0.475*44/12</f>
        <v>0.87003335544238691</v>
      </c>
      <c r="CM125" s="21">
        <f>EXP(-LN(2)/2)*CM124+(1-EXP(-LN(2)/2))/(LN(2)/2)*CG125*CJ125*VLOOKUP('Données projet'!$B$12,Paramètres!$A$1:$I$89,3,0)*0.475*44/12</f>
        <v>1.5693229675546307E-13</v>
      </c>
      <c r="CN125" s="22">
        <f t="shared" si="66"/>
        <v>2.3376872080824347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482.74318690313885</v>
      </c>
      <c r="CZ125" s="59">
        <f t="shared" si="96"/>
        <v>205.57161411620217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1.8561355580946257</v>
      </c>
      <c r="DG125" s="21">
        <f>EXP(-LN(2)/25)*DG124+(1-EXP(-LN(2)/25))/(LN(2)/25)*Calculateur!DB125*Calculateur!DD125*VLOOKUP('Données projet'!$B$13,Paramètres!$A$1:$I$89,3,0)*0.475*44/12</f>
        <v>0.73550781438393176</v>
      </c>
      <c r="DH125" s="21">
        <f>EXP(-LN(2)/2)*DH124+(1-EXP(-LN(2)/2))/(LN(2)/2)*DB125*DE125*VLOOKUP('Données projet'!$B$13,Paramètres!$A$1:$I$89,3,0)*0.475*44/12</f>
        <v>6.4360910079110054E-14</v>
      </c>
      <c r="DI125" s="22">
        <f t="shared" si="69"/>
        <v>2.5916433724786221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2.2737367544323206E-13</v>
      </c>
      <c r="DP125" s="17">
        <f>DO125*VLOOKUP('Données projet'!$B$14,Paramètres!$A$1:$I$89,3,0)*VLOOKUP('Données projet'!$B$14,Paramètres!$A$1:$I$89,5,0)</f>
        <v>1.0936673788819462E-13</v>
      </c>
      <c r="DQ125" s="13">
        <f t="shared" si="97"/>
        <v>1.6259645746645945E-12</v>
      </c>
      <c r="DR125" s="20">
        <f t="shared" si="70"/>
        <v>3.0223687026961078E-12</v>
      </c>
      <c r="DS125" s="59">
        <f t="shared" si="71"/>
        <v>293.33333333333633</v>
      </c>
      <c r="DT125" s="59">
        <f ca="1">AVERAGE(OFFSET($DS$3,0,0,'Données projet'!$E$14+1,1))-AVERAGE(OFFSET($H$3,0,0,'Données projet'!$E$14+1,1))</f>
        <v>247.11965163963526</v>
      </c>
      <c r="DU125" s="59">
        <f t="shared" si="98"/>
        <v>61.686311966192704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0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-1.0286385077051818E-13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265.50419397354284</v>
      </c>
      <c r="T126" s="59">
        <f t="shared" si="88"/>
        <v>156.67965022779907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0.52837585473917048</v>
      </c>
      <c r="AA126" s="21">
        <f>EXP(-LN(2)/25)*AA125+(1-EXP(-LN(2)/25))/(LN(2)/25)*Calculateur!V126*Calculateur!X126*VLOOKUP('Données projet'!$B$9,Paramètres!$A$1:$I$89,3,0)*0.475*44/12</f>
        <v>0.31837113714046866</v>
      </c>
      <c r="AB126" s="21">
        <f>EXP(-LN(2)/2)*AB125+(1-EXP(-LN(2)/2))/(LN(2)/2)*V126*Y126*VLOOKUP('Données projet'!$B$9,Paramètres!$A$1:$I$89,3,0)*0.475*44/12</f>
        <v>6.1323751860131785E-14</v>
      </c>
      <c r="AC126" s="22">
        <f t="shared" si="57"/>
        <v>0.84674699187970037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-1.1527845344971866E-13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296.43642006376018</v>
      </c>
      <c r="AO126" s="59">
        <f t="shared" si="90"/>
        <v>179.56041631665812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0.59214535444907046</v>
      </c>
      <c r="AV126" s="21">
        <f>EXP(-LN(2)/25)*AV125+(1-EXP(-LN(2)/25))/(LN(2)/25)*Calculateur!AQ126*Calculateur!AS126*VLOOKUP('Données projet'!$B$10,Paramètres!$A$1:$I$89,3,0)*0.475*44/12</f>
        <v>0.35679523989880096</v>
      </c>
      <c r="AW126" s="21">
        <f>EXP(-LN(2)/2)*AW125+(1-EXP(-LN(2)/2))/(LN(2)/2)*AQ126*AT126*VLOOKUP('Données projet'!$B$10,Paramètres!$A$1:$I$89,3,0)*0.475*44/12</f>
        <v>6.8724894326009781E-14</v>
      </c>
      <c r="AX126" s="21">
        <f t="shared" si="60"/>
        <v>0.9489405943479402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5.6843418860808015E-14</v>
      </c>
      <c r="BE126" s="13">
        <f>BD126*VLOOKUP('Données projet'!$B$11,Paramètres!$A$1:$I$89,3,0)*VLOOKUP('Données projet'!$B$11,Paramètres!$A$1:$I$89,5,0)</f>
        <v>3.813056537183002E-14</v>
      </c>
      <c r="BF126" s="13">
        <f t="shared" si="91"/>
        <v>6.4086286045526829E-13</v>
      </c>
      <c r="BG126" s="20">
        <f t="shared" si="61"/>
        <v>1.1825802166488628E-12</v>
      </c>
      <c r="BH126" s="59">
        <f t="shared" si="62"/>
        <v>293.33333333333451</v>
      </c>
      <c r="BI126" s="59">
        <f ca="1">AVERAGE(OFFSET($BH$3,0,0,'Données projet'!$E$11+1,1))-AVERAGE(OFFSET($H$3,0,0,'Données projet'!$E$11+1,1))</f>
        <v>181.32837315090507</v>
      </c>
      <c r="BJ126" s="59">
        <f t="shared" si="92"/>
        <v>175.03267817980338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0.86822678442683354</v>
      </c>
      <c r="BQ126" s="21">
        <f>EXP(-LN(2)/25)*BQ125+(1-EXP(-LN(2)/25))/(LN(2)/25)*Calculateur!BL126*Calculateur!BN126*VLOOKUP('Données projet'!$B$11,Paramètres!$A$1:$I$89,3,0)*0.475*44/12</f>
        <v>0.51621477375831837</v>
      </c>
      <c r="BR126" s="21">
        <f>EXP(-LN(2)/2)*BR125+(1-EXP(-LN(2)/2))/(LN(2)/2)*BL126*BO126*VLOOKUP('Données projet'!$B$11,Paramètres!$A$1:$I$89,3,0)*0.475*44/12</f>
        <v>1.0660582993045162E-14</v>
      </c>
      <c r="BS126" s="22">
        <f t="shared" si="63"/>
        <v>1.3844415581851626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574.49999999999989</v>
      </c>
      <c r="BZ126" s="13">
        <f>BY126*VLOOKUP('Données projet'!$B$12,Paramètres!$A$1:$I$89,3,0)*VLOOKUP('Données projet'!$B$12,Paramètres!$A$1:$I$89,5,0)</f>
        <v>268.86599999999999</v>
      </c>
      <c r="CA126" s="13">
        <f t="shared" si="93"/>
        <v>64.608546947682441</v>
      </c>
      <c r="CB126" s="20">
        <f t="shared" si="64"/>
        <v>580.80150260054677</v>
      </c>
      <c r="CC126" s="59">
        <f t="shared" si="65"/>
        <v>874.13483593388014</v>
      </c>
      <c r="CD126" s="59">
        <f ca="1">AVERAGE(OFFSET($CC$3,0,0,'Données projet'!$E$12+1,1))-AVERAGE(OFFSET($H$3,0,0,'Données projet'!$E$12+1,1))</f>
        <v>226.0452828290525</v>
      </c>
      <c r="CE126" s="59">
        <f t="shared" si="94"/>
        <v>179.89696397462069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1.4388740557700812</v>
      </c>
      <c r="CL126" s="21">
        <f>EXP(-LN(2)/25)*CL125+(1-EXP(-LN(2)/25))/(LN(2)/25)*Calculateur!CG126*Calculateur!CI126*VLOOKUP('Données projet'!$B$12,Paramètres!$A$1:$I$89,3,0)*0.475*44/12</f>
        <v>0.8462422475847492</v>
      </c>
      <c r="CM126" s="21">
        <f>EXP(-LN(2)/2)*CM125+(1-EXP(-LN(2)/2))/(LN(2)/2)*CG126*CJ126*VLOOKUP('Données projet'!$B$12,Paramètres!$A$1:$I$89,3,0)*0.475*44/12</f>
        <v>1.1096789122296757E-13</v>
      </c>
      <c r="CN126" s="22">
        <f t="shared" si="66"/>
        <v>2.2851163033549415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482.74318690313885</v>
      </c>
      <c r="CZ126" s="59">
        <f t="shared" si="96"/>
        <v>205.57161411620217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1.819737871931292</v>
      </c>
      <c r="DG126" s="21">
        <f>EXP(-LN(2)/25)*DG125+(1-EXP(-LN(2)/25))/(LN(2)/25)*Calculateur!DB126*Calculateur!DD126*VLOOKUP('Données projet'!$B$13,Paramètres!$A$1:$I$89,3,0)*0.475*44/12</f>
        <v>0.71539531452092819</v>
      </c>
      <c r="DH126" s="21">
        <f>EXP(-LN(2)/2)*DH125+(1-EXP(-LN(2)/2))/(LN(2)/2)*DB126*DE126*VLOOKUP('Données projet'!$B$13,Paramètres!$A$1:$I$89,3,0)*0.475*44/12</f>
        <v>4.5510035960276335E-14</v>
      </c>
      <c r="DI126" s="22">
        <f t="shared" si="69"/>
        <v>2.5351331864522653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2.2737367544323206E-13</v>
      </c>
      <c r="DP126" s="17">
        <f>DO126*VLOOKUP('Données projet'!$B$14,Paramètres!$A$1:$I$89,3,0)*VLOOKUP('Données projet'!$B$14,Paramètres!$A$1:$I$89,5,0)</f>
        <v>1.0936673788819462E-13</v>
      </c>
      <c r="DQ126" s="13">
        <f t="shared" si="97"/>
        <v>1.6259645746645945E-12</v>
      </c>
      <c r="DR126" s="20">
        <f t="shared" si="70"/>
        <v>3.0223687026961078E-12</v>
      </c>
      <c r="DS126" s="59">
        <f t="shared" si="71"/>
        <v>293.33333333333633</v>
      </c>
      <c r="DT126" s="59">
        <f ca="1">AVERAGE(OFFSET($DS$3,0,0,'Données projet'!$E$14+1,1))-AVERAGE(OFFSET($H$3,0,0,'Données projet'!$E$14+1,1))</f>
        <v>247.11965163963526</v>
      </c>
      <c r="DU126" s="59">
        <f t="shared" si="98"/>
        <v>61.686311966192704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0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-1.0286385077051818E-13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265.50419397354284</v>
      </c>
      <c r="T127" s="59">
        <f t="shared" si="88"/>
        <v>156.67965022779907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0.51801472650518443</v>
      </c>
      <c r="AA127" s="21">
        <f>EXP(-LN(2)/25)*AA126+(1-EXP(-LN(2)/25))/(LN(2)/25)*Calculateur!V127*Calculateur!X127*VLOOKUP('Données projet'!$B$9,Paramètres!$A$1:$I$89,3,0)*0.475*44/12</f>
        <v>0.30966526165295211</v>
      </c>
      <c r="AB127" s="21">
        <f>EXP(-LN(2)/2)*AB126+(1-EXP(-LN(2)/2))/(LN(2)/2)*V127*Y127*VLOOKUP('Données projet'!$B$9,Paramètres!$A$1:$I$89,3,0)*0.475*44/12</f>
        <v>4.3362440788100343E-14</v>
      </c>
      <c r="AC127" s="22">
        <f t="shared" si="57"/>
        <v>0.82767998815817989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-1.1527845344971866E-13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296.43642006376018</v>
      </c>
      <c r="AO127" s="59">
        <f t="shared" si="90"/>
        <v>179.56041631665812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0.5805337452213275</v>
      </c>
      <c r="AV127" s="21">
        <f>EXP(-LN(2)/25)*AV126+(1-EXP(-LN(2)/25))/(LN(2)/25)*Calculateur!AQ127*Calculateur!AS127*VLOOKUP('Données projet'!$B$10,Paramètres!$A$1:$I$89,3,0)*0.475*44/12</f>
        <v>0.34703865530072203</v>
      </c>
      <c r="AW127" s="21">
        <f>EXP(-LN(2)/2)*AW126+(1-EXP(-LN(2)/2))/(LN(2)/2)*AQ127*AT127*VLOOKUP('Données projet'!$B$10,Paramètres!$A$1:$I$89,3,0)*0.475*44/12</f>
        <v>4.8595838814250401E-14</v>
      </c>
      <c r="AX127" s="21">
        <f t="shared" si="60"/>
        <v>0.92757240052209822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5.6843418860808015E-14</v>
      </c>
      <c r="BE127" s="13">
        <f>BD127*VLOOKUP('Données projet'!$B$11,Paramètres!$A$1:$I$89,3,0)*VLOOKUP('Données projet'!$B$11,Paramètres!$A$1:$I$89,5,0)</f>
        <v>3.813056537183002E-14</v>
      </c>
      <c r="BF127" s="13">
        <f t="shared" si="91"/>
        <v>6.4086286045526829E-13</v>
      </c>
      <c r="BG127" s="20">
        <f t="shared" si="61"/>
        <v>1.1825802166488628E-12</v>
      </c>
      <c r="BH127" s="59">
        <f t="shared" si="62"/>
        <v>293.33333333333451</v>
      </c>
      <c r="BI127" s="59">
        <f ca="1">AVERAGE(OFFSET($BH$3,0,0,'Données projet'!$E$11+1,1))-AVERAGE(OFFSET($H$3,0,0,'Données projet'!$E$11+1,1))</f>
        <v>181.32837315090507</v>
      </c>
      <c r="BJ127" s="59">
        <f t="shared" si="92"/>
        <v>175.03267817980338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0.85120138675027157</v>
      </c>
      <c r="BQ127" s="21">
        <f>EXP(-LN(2)/25)*BQ126+(1-EXP(-LN(2)/25))/(LN(2)/25)*Calculateur!BL127*Calculateur!BN127*VLOOKUP('Données projet'!$B$11,Paramètres!$A$1:$I$89,3,0)*0.475*44/12</f>
        <v>0.50209885362334206</v>
      </c>
      <c r="BR127" s="21">
        <f>EXP(-LN(2)/2)*BR126+(1-EXP(-LN(2)/2))/(LN(2)/2)*BL127*BO127*VLOOKUP('Données projet'!$B$11,Paramètres!$A$1:$I$89,3,0)*0.475*44/12</f>
        <v>7.5381705257842152E-15</v>
      </c>
      <c r="BS127" s="22">
        <f t="shared" si="63"/>
        <v>1.3533002403736212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574.49999999999989</v>
      </c>
      <c r="BZ127" s="13">
        <f>BY127*VLOOKUP('Données projet'!$B$12,Paramètres!$A$1:$I$89,3,0)*VLOOKUP('Données projet'!$B$12,Paramètres!$A$1:$I$89,5,0)</f>
        <v>268.86599999999999</v>
      </c>
      <c r="CA127" s="13">
        <f t="shared" si="93"/>
        <v>64.608546947682441</v>
      </c>
      <c r="CB127" s="20">
        <f t="shared" si="64"/>
        <v>580.80150260054677</v>
      </c>
      <c r="CC127" s="59">
        <f t="shared" si="65"/>
        <v>874.13483593388014</v>
      </c>
      <c r="CD127" s="59">
        <f ca="1">AVERAGE(OFFSET($CC$3,0,0,'Données projet'!$E$12+1,1))-AVERAGE(OFFSET($H$3,0,0,'Données projet'!$E$12+1,1))</f>
        <v>226.0452828290525</v>
      </c>
      <c r="CE127" s="59">
        <f t="shared" si="94"/>
        <v>179.89696397462069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1.4106586131629455</v>
      </c>
      <c r="CL127" s="21">
        <f>EXP(-LN(2)/25)*CL126+(1-EXP(-LN(2)/25))/(LN(2)/25)*Calculateur!CG127*Calculateur!CI127*VLOOKUP('Données projet'!$B$12,Paramètres!$A$1:$I$89,3,0)*0.475*44/12</f>
        <v>0.82310170882259859</v>
      </c>
      <c r="CM127" s="21">
        <f>EXP(-LN(2)/2)*CM126+(1-EXP(-LN(2)/2))/(LN(2)/2)*CG127*CJ127*VLOOKUP('Données projet'!$B$12,Paramètres!$A$1:$I$89,3,0)*0.475*44/12</f>
        <v>7.8466148377731547E-14</v>
      </c>
      <c r="CN127" s="22">
        <f t="shared" si="66"/>
        <v>2.2337603219856228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482.74318690313885</v>
      </c>
      <c r="CZ127" s="59">
        <f t="shared" si="96"/>
        <v>205.57161411620217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1.7840539221932248</v>
      </c>
      <c r="DG127" s="21">
        <f>EXP(-LN(2)/25)*DG126+(1-EXP(-LN(2)/25))/(LN(2)/25)*Calculateur!DB127*Calculateur!DD127*VLOOKUP('Données projet'!$B$13,Paramètres!$A$1:$I$89,3,0)*0.475*44/12</f>
        <v>0.69583279202434889</v>
      </c>
      <c r="DH127" s="21">
        <f>EXP(-LN(2)/2)*DH126+(1-EXP(-LN(2)/2))/(LN(2)/2)*DB127*DE127*VLOOKUP('Données projet'!$B$13,Paramètres!$A$1:$I$89,3,0)*0.475*44/12</f>
        <v>3.2180455039555027E-14</v>
      </c>
      <c r="DI127" s="22">
        <f t="shared" si="69"/>
        <v>2.4798867142176055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2.2737367544323206E-13</v>
      </c>
      <c r="DP127" s="17">
        <f>DO127*VLOOKUP('Données projet'!$B$14,Paramètres!$A$1:$I$89,3,0)*VLOOKUP('Données projet'!$B$14,Paramètres!$A$1:$I$89,5,0)</f>
        <v>1.0936673788819462E-13</v>
      </c>
      <c r="DQ127" s="13">
        <f t="shared" si="97"/>
        <v>1.6259645746645945E-12</v>
      </c>
      <c r="DR127" s="20">
        <f t="shared" si="70"/>
        <v>3.0223687026961078E-12</v>
      </c>
      <c r="DS127" s="59">
        <f t="shared" si="71"/>
        <v>293.33333333333633</v>
      </c>
      <c r="DT127" s="59">
        <f ca="1">AVERAGE(OFFSET($DS$3,0,0,'Données projet'!$E$14+1,1))-AVERAGE(OFFSET($H$3,0,0,'Données projet'!$E$14+1,1))</f>
        <v>247.11965163963526</v>
      </c>
      <c r="DU127" s="59">
        <f t="shared" si="98"/>
        <v>61.686311966192704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0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-1.0286385077051818E-13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265.50419397354284</v>
      </c>
      <c r="T128" s="59">
        <f t="shared" si="88"/>
        <v>156.67965022779907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0.50785677367620274</v>
      </c>
      <c r="AA128" s="21">
        <f>EXP(-LN(2)/25)*AA127+(1-EXP(-LN(2)/25))/(LN(2)/25)*Calculateur!V128*Calculateur!X128*VLOOKUP('Données projet'!$B$9,Paramètres!$A$1:$I$89,3,0)*0.475*44/12</f>
        <v>0.30119744878846377</v>
      </c>
      <c r="AB128" s="21">
        <f>EXP(-LN(2)/2)*AB127+(1-EXP(-LN(2)/2))/(LN(2)/2)*V128*Y128*VLOOKUP('Données projet'!$B$9,Paramètres!$A$1:$I$89,3,0)*0.475*44/12</f>
        <v>3.0661875930065892E-14</v>
      </c>
      <c r="AC128" s="22">
        <f t="shared" si="57"/>
        <v>0.80905422246469716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-1.1527845344971866E-13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296.43642006376018</v>
      </c>
      <c r="AO128" s="59">
        <f t="shared" si="90"/>
        <v>179.56041631665812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0.56914983256815832</v>
      </c>
      <c r="AV128" s="21">
        <f>EXP(-LN(2)/25)*AV127+(1-EXP(-LN(2)/25))/(LN(2)/25)*Calculateur!AQ128*Calculateur!AS128*VLOOKUP('Données projet'!$B$10,Paramètres!$A$1:$I$89,3,0)*0.475*44/12</f>
        <v>0.33754886502155407</v>
      </c>
      <c r="AW128" s="21">
        <f>EXP(-LN(2)/2)*AW127+(1-EXP(-LN(2)/2))/(LN(2)/2)*AQ128*AT128*VLOOKUP('Données projet'!$B$10,Paramètres!$A$1:$I$89,3,0)*0.475*44/12</f>
        <v>3.4362447163004891E-14</v>
      </c>
      <c r="AX128" s="21">
        <f t="shared" si="60"/>
        <v>0.90669869758974686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5.6843418860808015E-14</v>
      </c>
      <c r="BE128" s="13">
        <f>BD128*VLOOKUP('Données projet'!$B$11,Paramètres!$A$1:$I$89,3,0)*VLOOKUP('Données projet'!$B$11,Paramètres!$A$1:$I$89,5,0)</f>
        <v>3.813056537183002E-14</v>
      </c>
      <c r="BF128" s="13">
        <f t="shared" si="91"/>
        <v>6.4086286045526829E-13</v>
      </c>
      <c r="BG128" s="20">
        <f t="shared" si="61"/>
        <v>1.1825802166488628E-12</v>
      </c>
      <c r="BH128" s="59">
        <f t="shared" si="62"/>
        <v>293.33333333333451</v>
      </c>
      <c r="BI128" s="59">
        <f ca="1">AVERAGE(OFFSET($BH$3,0,0,'Données projet'!$E$11+1,1))-AVERAGE(OFFSET($H$3,0,0,'Données projet'!$E$11+1,1))</f>
        <v>181.32837315090507</v>
      </c>
      <c r="BJ128" s="59">
        <f t="shared" si="92"/>
        <v>175.03267817980338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0.83450984673767969</v>
      </c>
      <c r="BQ128" s="21">
        <f>EXP(-LN(2)/25)*BQ127+(1-EXP(-LN(2)/25))/(LN(2)/25)*Calculateur!BL128*Calculateur!BN128*VLOOKUP('Données projet'!$B$11,Paramètres!$A$1:$I$89,3,0)*0.475*44/12</f>
        <v>0.48836893406678061</v>
      </c>
      <c r="BR128" s="21">
        <f>EXP(-LN(2)/2)*BR127+(1-EXP(-LN(2)/2))/(LN(2)/2)*BL128*BO128*VLOOKUP('Données projet'!$B$11,Paramètres!$A$1:$I$89,3,0)*0.475*44/12</f>
        <v>5.330291496522581E-15</v>
      </c>
      <c r="BS128" s="22">
        <f t="shared" si="63"/>
        <v>1.3228787808044657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574.49999999999989</v>
      </c>
      <c r="BZ128" s="13">
        <f>BY128*VLOOKUP('Données projet'!$B$12,Paramètres!$A$1:$I$89,3,0)*VLOOKUP('Données projet'!$B$12,Paramètres!$A$1:$I$89,5,0)</f>
        <v>268.86599999999999</v>
      </c>
      <c r="CA128" s="13">
        <f t="shared" si="93"/>
        <v>64.608546947682441</v>
      </c>
      <c r="CB128" s="20">
        <f t="shared" si="64"/>
        <v>580.80150260054677</v>
      </c>
      <c r="CC128" s="59">
        <f t="shared" si="65"/>
        <v>874.13483593388014</v>
      </c>
      <c r="CD128" s="59">
        <f ca="1">AVERAGE(OFFSET($CC$3,0,0,'Données projet'!$E$12+1,1))-AVERAGE(OFFSET($H$3,0,0,'Données projet'!$E$12+1,1))</f>
        <v>226.0452828290525</v>
      </c>
      <c r="CE128" s="59">
        <f t="shared" si="94"/>
        <v>179.89696397462069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1.3829964581756151</v>
      </c>
      <c r="CL128" s="21">
        <f>EXP(-LN(2)/25)*CL127+(1-EXP(-LN(2)/25))/(LN(2)/25)*Calculateur!CG128*Calculateur!CI128*VLOOKUP('Données projet'!$B$12,Paramètres!$A$1:$I$89,3,0)*0.475*44/12</f>
        <v>0.80059394930980698</v>
      </c>
      <c r="CM128" s="21">
        <f>EXP(-LN(2)/2)*CM127+(1-EXP(-LN(2)/2))/(LN(2)/2)*CG128*CJ128*VLOOKUP('Données projet'!$B$12,Paramètres!$A$1:$I$89,3,0)*0.475*44/12</f>
        <v>5.5483945611483799E-14</v>
      </c>
      <c r="CN128" s="22">
        <f t="shared" si="66"/>
        <v>2.1835904074854775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482.74318690313885</v>
      </c>
      <c r="CZ128" s="59">
        <f t="shared" si="96"/>
        <v>205.57161411620217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1.7490697129444608</v>
      </c>
      <c r="DG128" s="21">
        <f>EXP(-LN(2)/25)*DG127+(1-EXP(-LN(2)/25))/(LN(2)/25)*Calculateur!DB128*Calculateur!DD128*VLOOKUP('Données projet'!$B$13,Paramètres!$A$1:$I$89,3,0)*0.475*44/12</f>
        <v>0.67680520773418684</v>
      </c>
      <c r="DH128" s="21">
        <f>EXP(-LN(2)/2)*DH127+(1-EXP(-LN(2)/2))/(LN(2)/2)*DB128*DE128*VLOOKUP('Données projet'!$B$13,Paramètres!$A$1:$I$89,3,0)*0.475*44/12</f>
        <v>2.2755017980138167E-14</v>
      </c>
      <c r="DI128" s="22">
        <f t="shared" si="69"/>
        <v>2.4258749206786701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2.2737367544323206E-13</v>
      </c>
      <c r="DP128" s="17">
        <f>DO128*VLOOKUP('Données projet'!$B$14,Paramètres!$A$1:$I$89,3,0)*VLOOKUP('Données projet'!$B$14,Paramètres!$A$1:$I$89,5,0)</f>
        <v>1.0936673788819462E-13</v>
      </c>
      <c r="DQ128" s="13">
        <f t="shared" si="97"/>
        <v>1.6259645746645945E-12</v>
      </c>
      <c r="DR128" s="20">
        <f t="shared" si="70"/>
        <v>3.0223687026961078E-12</v>
      </c>
      <c r="DS128" s="59">
        <f t="shared" si="71"/>
        <v>293.33333333333633</v>
      </c>
      <c r="DT128" s="59">
        <f ca="1">AVERAGE(OFFSET($DS$3,0,0,'Données projet'!$E$14+1,1))-AVERAGE(OFFSET($H$3,0,0,'Données projet'!$E$14+1,1))</f>
        <v>247.11965163963526</v>
      </c>
      <c r="DU128" s="59">
        <f t="shared" si="98"/>
        <v>61.686311966192704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0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-1.0286385077051818E-13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265.50419397354284</v>
      </c>
      <c r="T129" s="59">
        <f t="shared" si="88"/>
        <v>156.67965022779907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0.4978980121064579</v>
      </c>
      <c r="AA129" s="21">
        <f>EXP(-LN(2)/25)*AA128+(1-EXP(-LN(2)/25))/(LN(2)/25)*Calculateur!V129*Calculateur!X129*VLOOKUP('Données projet'!$B$9,Paramètres!$A$1:$I$89,3,0)*0.475*44/12</f>
        <v>0.29296118871205779</v>
      </c>
      <c r="AB129" s="21">
        <f>EXP(-LN(2)/2)*AB128+(1-EXP(-LN(2)/2))/(LN(2)/2)*V129*Y129*VLOOKUP('Données projet'!$B$9,Paramètres!$A$1:$I$89,3,0)*0.475*44/12</f>
        <v>2.1681220394050171E-14</v>
      </c>
      <c r="AC129" s="22">
        <f t="shared" si="57"/>
        <v>0.79085920081853733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-1.1527845344971866E-13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296.43642006376018</v>
      </c>
      <c r="AO129" s="59">
        <f t="shared" si="90"/>
        <v>179.56041631665812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0.55798915149861672</v>
      </c>
      <c r="AV129" s="21">
        <f>EXP(-LN(2)/25)*AV128+(1-EXP(-LN(2)/25))/(LN(2)/25)*Calculateur!AQ129*Calculateur!AS129*VLOOKUP('Données projet'!$B$10,Paramètres!$A$1:$I$89,3,0)*0.475*44/12</f>
        <v>0.32831857355661631</v>
      </c>
      <c r="AW129" s="21">
        <f>EXP(-LN(2)/2)*AW128+(1-EXP(-LN(2)/2))/(LN(2)/2)*AQ129*AT129*VLOOKUP('Données projet'!$B$10,Paramètres!$A$1:$I$89,3,0)*0.475*44/12</f>
        <v>2.42979194071252E-14</v>
      </c>
      <c r="AX129" s="21">
        <f t="shared" si="60"/>
        <v>0.88630772505525734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5.6843418860808015E-14</v>
      </c>
      <c r="BE129" s="13">
        <f>BD129*VLOOKUP('Données projet'!$B$11,Paramètres!$A$1:$I$89,3,0)*VLOOKUP('Données projet'!$B$11,Paramètres!$A$1:$I$89,5,0)</f>
        <v>3.813056537183002E-14</v>
      </c>
      <c r="BF129" s="13">
        <f t="shared" si="91"/>
        <v>6.4086286045526829E-13</v>
      </c>
      <c r="BG129" s="20">
        <f t="shared" si="61"/>
        <v>1.1825802166488628E-12</v>
      </c>
      <c r="BH129" s="59">
        <f t="shared" si="62"/>
        <v>293.33333333333451</v>
      </c>
      <c r="BI129" s="59">
        <f ca="1">AVERAGE(OFFSET($BH$3,0,0,'Données projet'!$E$11+1,1))-AVERAGE(OFFSET($H$3,0,0,'Données projet'!$E$11+1,1))</f>
        <v>181.32837315090507</v>
      </c>
      <c r="BJ129" s="59">
        <f t="shared" si="92"/>
        <v>175.03267817980338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0.8181456176439007</v>
      </c>
      <c r="BQ129" s="21">
        <f>EXP(-LN(2)/25)*BQ128+(1-EXP(-LN(2)/25))/(LN(2)/25)*Calculateur!BL129*Calculateur!BN129*VLOOKUP('Données projet'!$B$11,Paramètres!$A$1:$I$89,3,0)*0.475*44/12</f>
        <v>0.47501445988251845</v>
      </c>
      <c r="BR129" s="21">
        <f>EXP(-LN(2)/2)*BR128+(1-EXP(-LN(2)/2))/(LN(2)/2)*BL129*BO129*VLOOKUP('Données projet'!$B$11,Paramètres!$A$1:$I$89,3,0)*0.475*44/12</f>
        <v>3.7690852628921076E-15</v>
      </c>
      <c r="BS129" s="22">
        <f t="shared" si="63"/>
        <v>1.2931600775264229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574.49999999999989</v>
      </c>
      <c r="BZ129" s="13">
        <f>BY129*VLOOKUP('Données projet'!$B$12,Paramètres!$A$1:$I$89,3,0)*VLOOKUP('Données projet'!$B$12,Paramètres!$A$1:$I$89,5,0)</f>
        <v>268.86599999999999</v>
      </c>
      <c r="CA129" s="13">
        <f t="shared" si="93"/>
        <v>64.608546947682441</v>
      </c>
      <c r="CB129" s="20">
        <f t="shared" si="64"/>
        <v>580.80150260054677</v>
      </c>
      <c r="CC129" s="59">
        <f t="shared" si="65"/>
        <v>874.13483593388014</v>
      </c>
      <c r="CD129" s="59">
        <f ca="1">AVERAGE(OFFSET($CC$3,0,0,'Données projet'!$E$12+1,1))-AVERAGE(OFFSET($H$3,0,0,'Données projet'!$E$12+1,1))</f>
        <v>226.0452828290525</v>
      </c>
      <c r="CE129" s="59">
        <f t="shared" si="94"/>
        <v>179.89696397462069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1.3558767411753376</v>
      </c>
      <c r="CL129" s="21">
        <f>EXP(-LN(2)/25)*CL128+(1-EXP(-LN(2)/25))/(LN(2)/25)*Calculateur!CG129*Calculateur!CI129*VLOOKUP('Données projet'!$B$12,Paramètres!$A$1:$I$89,3,0)*0.475*44/12</f>
        <v>0.77870166566452426</v>
      </c>
      <c r="CM129" s="21">
        <f>EXP(-LN(2)/2)*CM128+(1-EXP(-LN(2)/2))/(LN(2)/2)*CG129*CJ129*VLOOKUP('Données projet'!$B$12,Paramètres!$A$1:$I$89,3,0)*0.475*44/12</f>
        <v>3.923307418886578E-14</v>
      </c>
      <c r="CN129" s="22">
        <f t="shared" si="66"/>
        <v>2.1345784068399007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482.74318690313885</v>
      </c>
      <c r="CZ129" s="59">
        <f t="shared" si="96"/>
        <v>205.57161411620217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1.7147715227008045</v>
      </c>
      <c r="DG129" s="21">
        <f>EXP(-LN(2)/25)*DG128+(1-EXP(-LN(2)/25))/(LN(2)/25)*Calculateur!DB129*Calculateur!DD129*VLOOKUP('Données projet'!$B$13,Paramètres!$A$1:$I$89,3,0)*0.475*44/12</f>
        <v>0.65829793373705647</v>
      </c>
      <c r="DH129" s="21">
        <f>EXP(-LN(2)/2)*DH128+(1-EXP(-LN(2)/2))/(LN(2)/2)*DB129*DE129*VLOOKUP('Données projet'!$B$13,Paramètres!$A$1:$I$89,3,0)*0.475*44/12</f>
        <v>1.6090227519777514E-14</v>
      </c>
      <c r="DI129" s="22">
        <f t="shared" si="69"/>
        <v>2.3730694564378769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2.2737367544323206E-13</v>
      </c>
      <c r="DP129" s="17">
        <f>DO129*VLOOKUP('Données projet'!$B$14,Paramètres!$A$1:$I$89,3,0)*VLOOKUP('Données projet'!$B$14,Paramètres!$A$1:$I$89,5,0)</f>
        <v>1.0936673788819462E-13</v>
      </c>
      <c r="DQ129" s="13">
        <f t="shared" si="97"/>
        <v>1.6259645746645945E-12</v>
      </c>
      <c r="DR129" s="20">
        <f t="shared" si="70"/>
        <v>3.0223687026961078E-12</v>
      </c>
      <c r="DS129" s="59">
        <f t="shared" si="71"/>
        <v>293.33333333333633</v>
      </c>
      <c r="DT129" s="59">
        <f ca="1">AVERAGE(OFFSET($DS$3,0,0,'Données projet'!$E$14+1,1))-AVERAGE(OFFSET($H$3,0,0,'Données projet'!$E$14+1,1))</f>
        <v>247.11965163963526</v>
      </c>
      <c r="DU129" s="59">
        <f t="shared" si="98"/>
        <v>61.686311966192704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0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-1.0286385077051818E-13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265.50419397354284</v>
      </c>
      <c r="T130" s="59">
        <f t="shared" si="88"/>
        <v>156.67965022779907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0.48813453577685095</v>
      </c>
      <c r="AA130" s="21">
        <f>EXP(-LN(2)/25)*AA129+(1-EXP(-LN(2)/25))/(LN(2)/25)*Calculateur!V130*Calculateur!X130*VLOOKUP('Données projet'!$B$9,Paramètres!$A$1:$I$89,3,0)*0.475*44/12</f>
        <v>0.28495014960056725</v>
      </c>
      <c r="AB130" s="21">
        <f>EXP(-LN(2)/2)*AB129+(1-EXP(-LN(2)/2))/(LN(2)/2)*V130*Y130*VLOOKUP('Données projet'!$B$9,Paramètres!$A$1:$I$89,3,0)*0.475*44/12</f>
        <v>1.5330937965032946E-14</v>
      </c>
      <c r="AC130" s="22">
        <f t="shared" si="57"/>
        <v>0.77308468537743358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-1.1527845344971866E-13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296.43642006376018</v>
      </c>
      <c r="AO130" s="59">
        <f t="shared" si="90"/>
        <v>179.56041631665812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0.54704732457750549</v>
      </c>
      <c r="AV130" s="21">
        <f>EXP(-LN(2)/25)*AV129+(1-EXP(-LN(2)/25))/(LN(2)/25)*Calculateur!AQ130*Calculateur!AS130*VLOOKUP('Données projet'!$B$10,Paramètres!$A$1:$I$89,3,0)*0.475*44/12</f>
        <v>0.31934068489718725</v>
      </c>
      <c r="AW130" s="21">
        <f>EXP(-LN(2)/2)*AW129+(1-EXP(-LN(2)/2))/(LN(2)/2)*AQ130*AT130*VLOOKUP('Données projet'!$B$10,Paramètres!$A$1:$I$89,3,0)*0.475*44/12</f>
        <v>1.7181223581502445E-14</v>
      </c>
      <c r="AX130" s="21">
        <f t="shared" si="60"/>
        <v>0.86638800947470995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5.6843418860808015E-14</v>
      </c>
      <c r="BE130" s="13">
        <f>BD130*VLOOKUP('Données projet'!$B$11,Paramètres!$A$1:$I$89,3,0)*VLOOKUP('Données projet'!$B$11,Paramètres!$A$1:$I$89,5,0)</f>
        <v>3.813056537183002E-14</v>
      </c>
      <c r="BF130" s="13">
        <f t="shared" si="91"/>
        <v>6.4086286045526829E-13</v>
      </c>
      <c r="BG130" s="20">
        <f t="shared" si="61"/>
        <v>1.1825802166488628E-12</v>
      </c>
      <c r="BH130" s="59">
        <f t="shared" si="62"/>
        <v>293.33333333333451</v>
      </c>
      <c r="BI130" s="59">
        <f ca="1">AVERAGE(OFFSET($BH$3,0,0,'Données projet'!$E$11+1,1))-AVERAGE(OFFSET($H$3,0,0,'Données projet'!$E$11+1,1))</f>
        <v>181.32837315090507</v>
      </c>
      <c r="BJ130" s="59">
        <f t="shared" si="92"/>
        <v>175.03267817980338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0.80210228110145654</v>
      </c>
      <c r="BQ130" s="21">
        <f>EXP(-LN(2)/25)*BQ129+(1-EXP(-LN(2)/25))/(LN(2)/25)*Calculateur!BL130*Calculateur!BN130*VLOOKUP('Données projet'!$B$11,Paramètres!$A$1:$I$89,3,0)*0.475*44/12</f>
        <v>0.46202516449710618</v>
      </c>
      <c r="BR130" s="21">
        <f>EXP(-LN(2)/2)*BR129+(1-EXP(-LN(2)/2))/(LN(2)/2)*BL130*BO130*VLOOKUP('Données projet'!$B$11,Paramètres!$A$1:$I$89,3,0)*0.475*44/12</f>
        <v>2.6651457482612905E-15</v>
      </c>
      <c r="BS130" s="22">
        <f t="shared" si="63"/>
        <v>1.2641274455985654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574.49999999999989</v>
      </c>
      <c r="BZ130" s="13">
        <f>BY130*VLOOKUP('Données projet'!$B$12,Paramètres!$A$1:$I$89,3,0)*VLOOKUP('Données projet'!$B$12,Paramètres!$A$1:$I$89,5,0)</f>
        <v>268.86599999999999</v>
      </c>
      <c r="CA130" s="13">
        <f t="shared" si="93"/>
        <v>64.608546947682441</v>
      </c>
      <c r="CB130" s="20">
        <f t="shared" si="64"/>
        <v>580.80150260054677</v>
      </c>
      <c r="CC130" s="59">
        <f t="shared" si="65"/>
        <v>874.13483593388014</v>
      </c>
      <c r="CD130" s="59">
        <f ca="1">AVERAGE(OFFSET($CC$3,0,0,'Données projet'!$E$12+1,1))-AVERAGE(OFFSET($H$3,0,0,'Données projet'!$E$12+1,1))</f>
        <v>226.0452828290525</v>
      </c>
      <c r="CE130" s="59">
        <f t="shared" si="94"/>
        <v>179.89696397462069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1.3292888252840416</v>
      </c>
      <c r="CL130" s="21">
        <f>EXP(-LN(2)/25)*CL129+(1-EXP(-LN(2)/25))/(LN(2)/25)*Calculateur!CG130*Calculateur!CI130*VLOOKUP('Données projet'!$B$12,Paramètres!$A$1:$I$89,3,0)*0.475*44/12</f>
        <v>0.75740802766678694</v>
      </c>
      <c r="CM130" s="21">
        <f>EXP(-LN(2)/2)*CM129+(1-EXP(-LN(2)/2))/(LN(2)/2)*CG130*CJ130*VLOOKUP('Données projet'!$B$12,Paramètres!$A$1:$I$89,3,0)*0.475*44/12</f>
        <v>2.7741972805741903E-14</v>
      </c>
      <c r="CN130" s="22">
        <f t="shared" si="66"/>
        <v>2.0866968529508561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482.74318690313885</v>
      </c>
      <c r="CZ130" s="59">
        <f t="shared" si="96"/>
        <v>205.57161411620217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1.6811458990479957</v>
      </c>
      <c r="DG130" s="21">
        <f>EXP(-LN(2)/25)*DG129+(1-EXP(-LN(2)/25))/(LN(2)/25)*Calculateur!DB130*Calculateur!DD130*VLOOKUP('Données projet'!$B$13,Paramètres!$A$1:$I$89,3,0)*0.475*44/12</f>
        <v>0.64029674212063292</v>
      </c>
      <c r="DH130" s="21">
        <f>EXP(-LN(2)/2)*DH129+(1-EXP(-LN(2)/2))/(LN(2)/2)*DB130*DE130*VLOOKUP('Données projet'!$B$13,Paramètres!$A$1:$I$89,3,0)*0.475*44/12</f>
        <v>1.1377508990069084E-14</v>
      </c>
      <c r="DI130" s="22">
        <f t="shared" si="69"/>
        <v>2.3214426411686402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2.2737367544323206E-13</v>
      </c>
      <c r="DP130" s="17">
        <f>DO130*VLOOKUP('Données projet'!$B$14,Paramètres!$A$1:$I$89,3,0)*VLOOKUP('Données projet'!$B$14,Paramètres!$A$1:$I$89,5,0)</f>
        <v>1.0936673788819462E-13</v>
      </c>
      <c r="DQ130" s="13">
        <f t="shared" si="97"/>
        <v>1.6259645746645945E-12</v>
      </c>
      <c r="DR130" s="20">
        <f t="shared" si="70"/>
        <v>3.0223687026961078E-12</v>
      </c>
      <c r="DS130" s="59">
        <f t="shared" si="71"/>
        <v>293.33333333333633</v>
      </c>
      <c r="DT130" s="59">
        <f ca="1">AVERAGE(OFFSET($DS$3,0,0,'Données projet'!$E$14+1,1))-AVERAGE(OFFSET($H$3,0,0,'Données projet'!$E$14+1,1))</f>
        <v>247.11965163963526</v>
      </c>
      <c r="DU130" s="59">
        <f t="shared" si="98"/>
        <v>61.686311966192704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0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-1.0286385077051818E-13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265.50419397354284</v>
      </c>
      <c r="T131" s="59">
        <f t="shared" si="88"/>
        <v>156.67965022779907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0.47856251526293508</v>
      </c>
      <c r="AA131" s="21">
        <f>EXP(-LN(2)/25)*AA130+(1-EXP(-LN(2)/25))/(LN(2)/25)*Calculateur!V131*Calculateur!X131*VLOOKUP('Données projet'!$B$9,Paramètres!$A$1:$I$89,3,0)*0.475*44/12</f>
        <v>0.27715817277486265</v>
      </c>
      <c r="AB131" s="21">
        <f>EXP(-LN(2)/2)*AB130+(1-EXP(-LN(2)/2))/(LN(2)/2)*V131*Y131*VLOOKUP('Données projet'!$B$9,Paramètres!$A$1:$I$89,3,0)*0.475*44/12</f>
        <v>1.0840610197025086E-14</v>
      </c>
      <c r="AC131" s="22">
        <f t="shared" si="57"/>
        <v>0.75572068803780867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-1.1527845344971866E-13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296.43642006376018</v>
      </c>
      <c r="AO131" s="59">
        <f t="shared" si="90"/>
        <v>179.56041631665812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0.53632006020846179</v>
      </c>
      <c r="AV131" s="21">
        <f>EXP(-LN(2)/25)*AV130+(1-EXP(-LN(2)/25))/(LN(2)/25)*Calculateur!AQ131*Calculateur!AS131*VLOOKUP('Données projet'!$B$10,Paramètres!$A$1:$I$89,3,0)*0.475*44/12</f>
        <v>0.31060829707527693</v>
      </c>
      <c r="AW131" s="21">
        <f>EXP(-LN(2)/2)*AW130+(1-EXP(-LN(2)/2))/(LN(2)/2)*AQ131*AT131*VLOOKUP('Données projet'!$B$10,Paramètres!$A$1:$I$89,3,0)*0.475*44/12</f>
        <v>1.21489597035626E-14</v>
      </c>
      <c r="AX131" s="21">
        <f t="shared" si="60"/>
        <v>0.84692835728375082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5.6843418860808015E-14</v>
      </c>
      <c r="BE131" s="13">
        <f>BD131*VLOOKUP('Données projet'!$B$11,Paramètres!$A$1:$I$89,3,0)*VLOOKUP('Données projet'!$B$11,Paramètres!$A$1:$I$89,5,0)</f>
        <v>3.813056537183002E-14</v>
      </c>
      <c r="BF131" s="13">
        <f t="shared" si="91"/>
        <v>6.4086286045526829E-13</v>
      </c>
      <c r="BG131" s="20">
        <f t="shared" si="61"/>
        <v>1.1825802166488628E-12</v>
      </c>
      <c r="BH131" s="59">
        <f t="shared" si="62"/>
        <v>293.33333333333451</v>
      </c>
      <c r="BI131" s="59">
        <f ca="1">AVERAGE(OFFSET($BH$3,0,0,'Données projet'!$E$11+1,1))-AVERAGE(OFFSET($H$3,0,0,'Données projet'!$E$11+1,1))</f>
        <v>181.32837315090507</v>
      </c>
      <c r="BJ131" s="59">
        <f t="shared" si="92"/>
        <v>175.03267817980338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0.78637354460314057</v>
      </c>
      <c r="BQ131" s="21">
        <f>EXP(-LN(2)/25)*BQ130+(1-EXP(-LN(2)/25))/(LN(2)/25)*Calculateur!BL131*Calculateur!BN131*VLOOKUP('Données projet'!$B$11,Paramètres!$A$1:$I$89,3,0)*0.475*44/12</f>
        <v>0.4493910620770854</v>
      </c>
      <c r="BR131" s="21">
        <f>EXP(-LN(2)/2)*BR130+(1-EXP(-LN(2)/2))/(LN(2)/2)*BL131*BO131*VLOOKUP('Données projet'!$B$11,Paramètres!$A$1:$I$89,3,0)*0.475*44/12</f>
        <v>1.8845426314460538E-15</v>
      </c>
      <c r="BS131" s="22">
        <f t="shared" si="63"/>
        <v>1.2357646066802277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574.49999999999989</v>
      </c>
      <c r="BZ131" s="13">
        <f>BY131*VLOOKUP('Données projet'!$B$12,Paramètres!$A$1:$I$89,3,0)*VLOOKUP('Données projet'!$B$12,Paramètres!$A$1:$I$89,5,0)</f>
        <v>268.86599999999999</v>
      </c>
      <c r="CA131" s="13">
        <f t="shared" si="93"/>
        <v>64.608546947682441</v>
      </c>
      <c r="CB131" s="20">
        <f t="shared" si="64"/>
        <v>580.80150260054677</v>
      </c>
      <c r="CC131" s="59">
        <f t="shared" si="65"/>
        <v>874.13483593388014</v>
      </c>
      <c r="CD131" s="59">
        <f ca="1">AVERAGE(OFFSET($CC$3,0,0,'Données projet'!$E$12+1,1))-AVERAGE(OFFSET($H$3,0,0,'Données projet'!$E$12+1,1))</f>
        <v>226.0452828290525</v>
      </c>
      <c r="CE131" s="59">
        <f t="shared" si="94"/>
        <v>179.89696397462069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1.3032222822063464</v>
      </c>
      <c r="CL131" s="21">
        <f>EXP(-LN(2)/25)*CL130+(1-EXP(-LN(2)/25))/(LN(2)/25)*Calculateur!CG131*Calculateur!CI131*VLOOKUP('Données projet'!$B$12,Paramètres!$A$1:$I$89,3,0)*0.475*44/12</f>
        <v>0.73669666531988154</v>
      </c>
      <c r="CM131" s="21">
        <f>EXP(-LN(2)/2)*CM130+(1-EXP(-LN(2)/2))/(LN(2)/2)*CG131*CJ131*VLOOKUP('Données projet'!$B$12,Paramètres!$A$1:$I$89,3,0)*0.475*44/12</f>
        <v>1.9616537094432893E-14</v>
      </c>
      <c r="CN131" s="22">
        <f t="shared" si="66"/>
        <v>2.0399189475262474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482.74318690313885</v>
      </c>
      <c r="CZ131" s="59">
        <f t="shared" si="96"/>
        <v>205.57161411620217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1.6481796533654134</v>
      </c>
      <c r="DG131" s="21">
        <f>EXP(-LN(2)/25)*DG130+(1-EXP(-LN(2)/25))/(LN(2)/25)*Calculateur!DB131*Calculateur!DD131*VLOOKUP('Données projet'!$B$13,Paramètres!$A$1:$I$89,3,0)*0.475*44/12</f>
        <v>0.62278779403560192</v>
      </c>
      <c r="DH131" s="21">
        <f>EXP(-LN(2)/2)*DH130+(1-EXP(-LN(2)/2))/(LN(2)/2)*DB131*DE131*VLOOKUP('Données projet'!$B$13,Paramètres!$A$1:$I$89,3,0)*0.475*44/12</f>
        <v>8.0451137598887568E-15</v>
      </c>
      <c r="DI131" s="22">
        <f t="shared" si="69"/>
        <v>2.2709674474010235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2.2737367544323206E-13</v>
      </c>
      <c r="DP131" s="17">
        <f>DO131*VLOOKUP('Données projet'!$B$14,Paramètres!$A$1:$I$89,3,0)*VLOOKUP('Données projet'!$B$14,Paramètres!$A$1:$I$89,5,0)</f>
        <v>1.0936673788819462E-13</v>
      </c>
      <c r="DQ131" s="13">
        <f t="shared" si="97"/>
        <v>1.6259645746645945E-12</v>
      </c>
      <c r="DR131" s="20">
        <f t="shared" si="70"/>
        <v>3.0223687026961078E-12</v>
      </c>
      <c r="DS131" s="59">
        <f t="shared" si="71"/>
        <v>293.33333333333633</v>
      </c>
      <c r="DT131" s="59">
        <f ca="1">AVERAGE(OFFSET($DS$3,0,0,'Données projet'!$E$14+1,1))-AVERAGE(OFFSET($H$3,0,0,'Données projet'!$E$14+1,1))</f>
        <v>247.11965163963526</v>
      </c>
      <c r="DU131" s="59">
        <f t="shared" si="98"/>
        <v>61.686311966192704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0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-1.0286385077051818E-13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265.50419397354284</v>
      </c>
      <c r="T132" s="59">
        <f t="shared" si="88"/>
        <v>156.67965022779907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0.46917819623294105</v>
      </c>
      <c r="AA132" s="21">
        <f>EXP(-LN(2)/25)*AA131+(1-EXP(-LN(2)/25))/(LN(2)/25)*Calculateur!V132*Calculateur!X132*VLOOKUP('Données projet'!$B$9,Paramètres!$A$1:$I$89,3,0)*0.475*44/12</f>
        <v>0.26957926796521919</v>
      </c>
      <c r="AB132" s="21">
        <f>EXP(-LN(2)/2)*AB131+(1-EXP(-LN(2)/2))/(LN(2)/2)*V132*Y132*VLOOKUP('Données projet'!$B$9,Paramètres!$A$1:$I$89,3,0)*0.475*44/12</f>
        <v>7.6654689825164731E-15</v>
      </c>
      <c r="AC132" s="22">
        <f t="shared" ref="AC132:AC153" si="111">SUM(Z132:AB132)</f>
        <v>0.7387574641981679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-1.1527845344971866E-13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296.43642006376018</v>
      </c>
      <c r="AO132" s="59">
        <f t="shared" si="90"/>
        <v>179.56041631665812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0.52580315095070984</v>
      </c>
      <c r="AV132" s="21">
        <f>EXP(-LN(2)/25)*AV131+(1-EXP(-LN(2)/25))/(LN(2)/25)*Calculateur!AQ132*Calculateur!AS132*VLOOKUP('Données projet'!$B$10,Paramètres!$A$1:$I$89,3,0)*0.475*44/12</f>
        <v>0.30211469685757303</v>
      </c>
      <c r="AW132" s="21">
        <f>EXP(-LN(2)/2)*AW131+(1-EXP(-LN(2)/2))/(LN(2)/2)*AQ132*AT132*VLOOKUP('Données projet'!$B$10,Paramètres!$A$1:$I$89,3,0)*0.475*44/12</f>
        <v>8.5906117907512226E-15</v>
      </c>
      <c r="AX132" s="21">
        <f t="shared" ref="AX132:AX153" si="114">SUM(AU132:AW132)</f>
        <v>0.82791784780829147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5.6843418860808015E-14</v>
      </c>
      <c r="BE132" s="13">
        <f>BD132*VLOOKUP('Données projet'!$B$11,Paramètres!$A$1:$I$89,3,0)*VLOOKUP('Données projet'!$B$11,Paramètres!$A$1:$I$89,5,0)</f>
        <v>3.813056537183002E-14</v>
      </c>
      <c r="BF132" s="13">
        <f t="shared" si="91"/>
        <v>6.4086286045526829E-13</v>
      </c>
      <c r="BG132" s="20">
        <f t="shared" ref="BG132:BG153" si="115">(BE132+BF132)*0.475*44/12</f>
        <v>1.1825802166488628E-12</v>
      </c>
      <c r="BH132" s="59">
        <f t="shared" ref="BH132:BH195" si="116">BG132+(AY132+AZ132)*44/12</f>
        <v>293.33333333333451</v>
      </c>
      <c r="BI132" s="59">
        <f ca="1">AVERAGE(OFFSET($BH$3,0,0,'Données projet'!$E$11+1,1))-AVERAGE(OFFSET($H$3,0,0,'Données projet'!$E$11+1,1))</f>
        <v>181.32837315090507</v>
      </c>
      <c r="BJ132" s="59">
        <f t="shared" si="92"/>
        <v>175.03267817980338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0.77095323903397461</v>
      </c>
      <c r="BQ132" s="21">
        <f>EXP(-LN(2)/25)*BQ131+(1-EXP(-LN(2)/25))/(LN(2)/25)*Calculateur!BL132*Calculateur!BN132*VLOOKUP('Données projet'!$B$11,Paramètres!$A$1:$I$89,3,0)*0.475*44/12</f>
        <v>0.43710243985213865</v>
      </c>
      <c r="BR132" s="21">
        <f>EXP(-LN(2)/2)*BR131+(1-EXP(-LN(2)/2))/(LN(2)/2)*BL132*BO132*VLOOKUP('Données projet'!$B$11,Paramètres!$A$1:$I$89,3,0)*0.475*44/12</f>
        <v>1.3325728741306453E-15</v>
      </c>
      <c r="BS132" s="22">
        <f t="shared" ref="BS132:BS153" si="117">SUM(BP132:BR132)</f>
        <v>1.2080556788861145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574.49999999999989</v>
      </c>
      <c r="BZ132" s="13">
        <f>BY132*VLOOKUP('Données projet'!$B$12,Paramètres!$A$1:$I$89,3,0)*VLOOKUP('Données projet'!$B$12,Paramètres!$A$1:$I$89,5,0)</f>
        <v>268.86599999999999</v>
      </c>
      <c r="CA132" s="13">
        <f t="shared" si="93"/>
        <v>64.608546947682441</v>
      </c>
      <c r="CB132" s="20">
        <f t="shared" ref="CB132:CB153" si="118">(BZ132+CA132)*0.475*44/12</f>
        <v>580.80150260054677</v>
      </c>
      <c r="CC132" s="59">
        <f t="shared" ref="CC132:CC195" si="119">CB132+(BT132+BU132)*44/12</f>
        <v>874.13483593388014</v>
      </c>
      <c r="CD132" s="59">
        <f ca="1">AVERAGE(OFFSET($CC$3,0,0,'Données projet'!$E$12+1,1))-AVERAGE(OFFSET($H$3,0,0,'Données projet'!$E$12+1,1))</f>
        <v>226.0452828290525</v>
      </c>
      <c r="CE132" s="59">
        <f t="shared" si="94"/>
        <v>179.89696397462069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1.2776668881393836</v>
      </c>
      <c r="CL132" s="21">
        <f>EXP(-LN(2)/25)*CL131+(1-EXP(-LN(2)/25))/(LN(2)/25)*Calculateur!CG132*Calculateur!CI132*VLOOKUP('Données projet'!$B$12,Paramètres!$A$1:$I$89,3,0)*0.475*44/12</f>
        <v>0.71655165626551554</v>
      </c>
      <c r="CM132" s="21">
        <f>EXP(-LN(2)/2)*CM131+(1-EXP(-LN(2)/2))/(LN(2)/2)*CG132*CJ132*VLOOKUP('Données projet'!$B$12,Paramètres!$A$1:$I$89,3,0)*0.475*44/12</f>
        <v>1.3870986402870953E-14</v>
      </c>
      <c r="CN132" s="22">
        <f t="shared" ref="CN132:CN153" si="120">SUM(CK132:CM132)</f>
        <v>1.9942185444049128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482.74318690313885</v>
      </c>
      <c r="CZ132" s="59">
        <f t="shared" si="96"/>
        <v>205.57161411620217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1.615859855653242</v>
      </c>
      <c r="DG132" s="21">
        <f>EXP(-LN(2)/25)*DG131+(1-EXP(-LN(2)/25))/(LN(2)/25)*Calculateur!DB132*Calculateur!DD132*VLOOKUP('Données projet'!$B$13,Paramètres!$A$1:$I$89,3,0)*0.475*44/12</f>
        <v>0.60575762905671171</v>
      </c>
      <c r="DH132" s="21">
        <f>EXP(-LN(2)/2)*DH131+(1-EXP(-LN(2)/2))/(LN(2)/2)*DB132*DE132*VLOOKUP('Données projet'!$B$13,Paramètres!$A$1:$I$89,3,0)*0.475*44/12</f>
        <v>5.6887544950345418E-15</v>
      </c>
      <c r="DI132" s="22">
        <f t="shared" ref="DI132:DI153" si="123">SUM(DF132:DH132)</f>
        <v>2.2216174847099595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2.2737367544323206E-13</v>
      </c>
      <c r="DP132" s="17">
        <f>DO132*VLOOKUP('Données projet'!$B$14,Paramètres!$A$1:$I$89,3,0)*VLOOKUP('Données projet'!$B$14,Paramètres!$A$1:$I$89,5,0)</f>
        <v>1.0936673788819462E-13</v>
      </c>
      <c r="DQ132" s="13">
        <f t="shared" si="97"/>
        <v>1.6259645746645945E-12</v>
      </c>
      <c r="DR132" s="20">
        <f t="shared" ref="DR132:DR153" si="124">(DP132+DQ132)*0.475*44/12</f>
        <v>3.0223687026961078E-12</v>
      </c>
      <c r="DS132" s="59">
        <f t="shared" ref="DS132:DS195" si="125">DR132+(DJ132+DK132)*44/12</f>
        <v>293.33333333333633</v>
      </c>
      <c r="DT132" s="59">
        <f ca="1">AVERAGE(OFFSET($DS$3,0,0,'Données projet'!$E$14+1,1))-AVERAGE(OFFSET($H$3,0,0,'Données projet'!$E$14+1,1))</f>
        <v>247.11965163963526</v>
      </c>
      <c r="DU132" s="59">
        <f t="shared" si="98"/>
        <v>61.686311966192704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0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-1.0286385077051818E-13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265.50419397354284</v>
      </c>
      <c r="T133" s="59">
        <f t="shared" ref="T133:T196" si="142">$T$3</f>
        <v>156.67965022779907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0.45997789797525579</v>
      </c>
      <c r="AA133" s="21">
        <f>EXP(-LN(2)/25)*AA132+(1-EXP(-LN(2)/25))/(LN(2)/25)*Calculateur!V133*Calculateur!X133*VLOOKUP('Données projet'!$B$9,Paramètres!$A$1:$I$89,3,0)*0.475*44/12</f>
        <v>0.26220760870615273</v>
      </c>
      <c r="AB133" s="21">
        <f>EXP(-LN(2)/2)*AB132+(1-EXP(-LN(2)/2))/(LN(2)/2)*V133*Y133*VLOOKUP('Données projet'!$B$9,Paramètres!$A$1:$I$89,3,0)*0.475*44/12</f>
        <v>5.4203050985125428E-15</v>
      </c>
      <c r="AC133" s="22">
        <f t="shared" si="111"/>
        <v>0.7221855066814139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-1.1527845344971866E-13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296.43642006376018</v>
      </c>
      <c r="AO133" s="59">
        <f t="shared" ref="AO133:AO196" si="144">$AO$3</f>
        <v>179.56041631665812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0.51549247186882119</v>
      </c>
      <c r="AV133" s="21">
        <f>EXP(-LN(2)/25)*AV132+(1-EXP(-LN(2)/25))/(LN(2)/25)*Calculateur!AQ133*Calculateur!AS133*VLOOKUP('Données projet'!$B$10,Paramètres!$A$1:$I$89,3,0)*0.475*44/12</f>
        <v>0.29385335458448125</v>
      </c>
      <c r="AW133" s="21">
        <f>EXP(-LN(2)/2)*AW132+(1-EXP(-LN(2)/2))/(LN(2)/2)*AQ133*AT133*VLOOKUP('Données projet'!$B$10,Paramètres!$A$1:$I$89,3,0)*0.475*44/12</f>
        <v>6.0744798517813001E-15</v>
      </c>
      <c r="AX133" s="21">
        <f t="shared" si="114"/>
        <v>0.80934582645330855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5.6843418860808015E-14</v>
      </c>
      <c r="BE133" s="13">
        <f>BD133*VLOOKUP('Données projet'!$B$11,Paramètres!$A$1:$I$89,3,0)*VLOOKUP('Données projet'!$B$11,Paramètres!$A$1:$I$89,5,0)</f>
        <v>3.813056537183002E-14</v>
      </c>
      <c r="BF133" s="13">
        <f t="shared" ref="BF133:BF153" si="145">EXP(-1.0587+0.8836*LN(BE133)+0.284)</f>
        <v>6.4086286045526829E-13</v>
      </c>
      <c r="BG133" s="20">
        <f t="shared" si="115"/>
        <v>1.1825802166488628E-12</v>
      </c>
      <c r="BH133" s="59">
        <f t="shared" si="116"/>
        <v>293.33333333333451</v>
      </c>
      <c r="BI133" s="59">
        <f ca="1">AVERAGE(OFFSET($BH$3,0,0,'Données projet'!$E$11+1,1))-AVERAGE(OFFSET($H$3,0,0,'Données projet'!$E$11+1,1))</f>
        <v>181.32837315090507</v>
      </c>
      <c r="BJ133" s="59">
        <f t="shared" ref="BJ133:BJ196" si="146">$BJ$3</f>
        <v>175.03267817980338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0.75583531625156231</v>
      </c>
      <c r="BQ133" s="21">
        <f>EXP(-LN(2)/25)*BQ132+(1-EXP(-LN(2)/25))/(LN(2)/25)*Calculateur!BL133*Calculateur!BN133*VLOOKUP('Données projet'!$B$11,Paramètres!$A$1:$I$89,3,0)*0.475*44/12</f>
        <v>0.42514985064816363</v>
      </c>
      <c r="BR133" s="21">
        <f>EXP(-LN(2)/2)*BR132+(1-EXP(-LN(2)/2))/(LN(2)/2)*BL133*BO133*VLOOKUP('Données projet'!$B$11,Paramètres!$A$1:$I$89,3,0)*0.475*44/12</f>
        <v>9.422713157230269E-16</v>
      </c>
      <c r="BS133" s="22">
        <f t="shared" si="117"/>
        <v>1.1809851668997269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574.49999999999989</v>
      </c>
      <c r="BZ133" s="13">
        <f>BY133*VLOOKUP('Données projet'!$B$12,Paramètres!$A$1:$I$89,3,0)*VLOOKUP('Données projet'!$B$12,Paramètres!$A$1:$I$89,5,0)</f>
        <v>268.86599999999999</v>
      </c>
      <c r="CA133" s="13">
        <f t="shared" ref="CA133:CA153" si="147">EXP(-1.0587+0.8836*LN(BZ133)+0.284)</f>
        <v>64.608546947682441</v>
      </c>
      <c r="CB133" s="20">
        <f t="shared" si="118"/>
        <v>580.80150260054677</v>
      </c>
      <c r="CC133" s="59">
        <f t="shared" si="119"/>
        <v>874.13483593388014</v>
      </c>
      <c r="CD133" s="59">
        <f ca="1">AVERAGE(OFFSET($CC$3,0,0,'Données projet'!$E$12+1,1))-AVERAGE(OFFSET($H$3,0,0,'Données projet'!$E$12+1,1))</f>
        <v>226.0452828290525</v>
      </c>
      <c r="CE133" s="59">
        <f t="shared" ref="CE133:CE196" si="148">$CE$3</f>
        <v>179.89696397462069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1.2526126197628225</v>
      </c>
      <c r="CL133" s="21">
        <f>EXP(-LN(2)/25)*CL132+(1-EXP(-LN(2)/25))/(LN(2)/25)*Calculateur!CG133*Calculateur!CI133*VLOOKUP('Données projet'!$B$12,Paramètres!$A$1:$I$89,3,0)*0.475*44/12</f>
        <v>0.69695751354312108</v>
      </c>
      <c r="CM133" s="21">
        <f>EXP(-LN(2)/2)*CM132+(1-EXP(-LN(2)/2))/(LN(2)/2)*CG133*CJ133*VLOOKUP('Données projet'!$B$12,Paramètres!$A$1:$I$89,3,0)*0.475*44/12</f>
        <v>9.8082685472164481E-15</v>
      </c>
      <c r="CN133" s="22">
        <f t="shared" si="120"/>
        <v>1.9495701333059534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482.74318690313885</v>
      </c>
      <c r="CZ133" s="59">
        <f t="shared" ref="CZ133:CZ196" si="150">$CZ$3</f>
        <v>205.57161411620217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1.5841738294610761</v>
      </c>
      <c r="DG133" s="21">
        <f>EXP(-LN(2)/25)*DG132+(1-EXP(-LN(2)/25))/(LN(2)/25)*Calculateur!DB133*Calculateur!DD133*VLOOKUP('Données projet'!$B$13,Paramètres!$A$1:$I$89,3,0)*0.475*44/12</f>
        <v>0.58919315483474666</v>
      </c>
      <c r="DH133" s="21">
        <f>EXP(-LN(2)/2)*DH132+(1-EXP(-LN(2)/2))/(LN(2)/2)*DB133*DE133*VLOOKUP('Données projet'!$B$13,Paramètres!$A$1:$I$89,3,0)*0.475*44/12</f>
        <v>4.0225568799443784E-15</v>
      </c>
      <c r="DI133" s="22">
        <f t="shared" si="123"/>
        <v>2.1733669842958268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2.2737367544323206E-13</v>
      </c>
      <c r="DP133" s="17">
        <f>DO133*VLOOKUP('Données projet'!$B$14,Paramètres!$A$1:$I$89,3,0)*VLOOKUP('Données projet'!$B$14,Paramètres!$A$1:$I$89,5,0)</f>
        <v>1.0936673788819462E-13</v>
      </c>
      <c r="DQ133" s="13">
        <f t="shared" ref="DQ133:DQ153" si="151">EXP(-1.0587+0.8836*LN(DP133)+0.284)</f>
        <v>1.6259645746645945E-12</v>
      </c>
      <c r="DR133" s="20">
        <f t="shared" si="124"/>
        <v>3.0223687026961078E-12</v>
      </c>
      <c r="DS133" s="59">
        <f t="shared" si="125"/>
        <v>293.33333333333633</v>
      </c>
      <c r="DT133" s="59">
        <f ca="1">AVERAGE(OFFSET($DS$3,0,0,'Données projet'!$E$14+1,1))-AVERAGE(OFFSET($H$3,0,0,'Données projet'!$E$14+1,1))</f>
        <v>247.11965163963526</v>
      </c>
      <c r="DU133" s="59">
        <f t="shared" ref="DU133:DU196" si="152">$DU$3</f>
        <v>61.686311966192704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0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-1.0286385077051818E-13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265.50419397354284</v>
      </c>
      <c r="T134" s="59">
        <f t="shared" si="142"/>
        <v>156.67965022779907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0.45095801195477592</v>
      </c>
      <c r="AA134" s="21">
        <f>EXP(-LN(2)/25)*AA133+(1-EXP(-LN(2)/25))/(LN(2)/25)*Calculateur!V134*Calculateur!X134*VLOOKUP('Données projet'!$B$9,Paramètres!$A$1:$I$89,3,0)*0.475*44/12</f>
        <v>0.25503752785718414</v>
      </c>
      <c r="AB134" s="21">
        <f>EXP(-LN(2)/2)*AB133+(1-EXP(-LN(2)/2))/(LN(2)/2)*V134*Y134*VLOOKUP('Données projet'!$B$9,Paramètres!$A$1:$I$89,3,0)*0.475*44/12</f>
        <v>3.8327344912582365E-15</v>
      </c>
      <c r="AC134" s="22">
        <f t="shared" si="111"/>
        <v>0.70599553981196395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-1.1527845344971866E-13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296.43642006376018</v>
      </c>
      <c r="AO134" s="59">
        <f t="shared" si="144"/>
        <v>179.56041631665812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0.50538397891483511</v>
      </c>
      <c r="AV134" s="21">
        <f>EXP(-LN(2)/25)*AV133+(1-EXP(-LN(2)/25))/(LN(2)/25)*Calculateur!AQ134*Calculateur!AS134*VLOOKUP('Données projet'!$B$10,Paramètres!$A$1:$I$89,3,0)*0.475*44/12</f>
        <v>0.28581791915029231</v>
      </c>
      <c r="AW134" s="21">
        <f>EXP(-LN(2)/2)*AW133+(1-EXP(-LN(2)/2))/(LN(2)/2)*AQ134*AT134*VLOOKUP('Données projet'!$B$10,Paramètres!$A$1:$I$89,3,0)*0.475*44/12</f>
        <v>4.2953058953756113E-15</v>
      </c>
      <c r="AX134" s="21">
        <f t="shared" si="114"/>
        <v>0.79120189806513175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5.6843418860808015E-14</v>
      </c>
      <c r="BE134" s="13">
        <f>BD134*VLOOKUP('Données projet'!$B$11,Paramètres!$A$1:$I$89,3,0)*VLOOKUP('Données projet'!$B$11,Paramètres!$A$1:$I$89,5,0)</f>
        <v>3.813056537183002E-14</v>
      </c>
      <c r="BF134" s="13">
        <f t="shared" si="145"/>
        <v>6.4086286045526829E-13</v>
      </c>
      <c r="BG134" s="20">
        <f t="shared" si="115"/>
        <v>1.1825802166488628E-12</v>
      </c>
      <c r="BH134" s="59">
        <f t="shared" si="116"/>
        <v>293.33333333333451</v>
      </c>
      <c r="BI134" s="59">
        <f ca="1">AVERAGE(OFFSET($BH$3,0,0,'Données projet'!$E$11+1,1))-AVERAGE(OFFSET($H$3,0,0,'Données projet'!$E$11+1,1))</f>
        <v>181.32837315090507</v>
      </c>
      <c r="BJ134" s="59">
        <f t="shared" si="146"/>
        <v>175.03267817980338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0.7410138467138907</v>
      </c>
      <c r="BQ134" s="21">
        <f>EXP(-LN(2)/25)*BQ133+(1-EXP(-LN(2)/25))/(LN(2)/25)*Calculateur!BL134*Calculateur!BN134*VLOOKUP('Données projet'!$B$11,Paramètres!$A$1:$I$89,3,0)*0.475*44/12</f>
        <v>0.41352410562453062</v>
      </c>
      <c r="BR134" s="21">
        <f>EXP(-LN(2)/2)*BR133+(1-EXP(-LN(2)/2))/(LN(2)/2)*BL134*BO134*VLOOKUP('Données projet'!$B$11,Paramètres!$A$1:$I$89,3,0)*0.475*44/12</f>
        <v>6.6628643706532263E-16</v>
      </c>
      <c r="BS134" s="22">
        <f t="shared" si="117"/>
        <v>1.154537952338422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574.49999999999989</v>
      </c>
      <c r="BZ134" s="13">
        <f>BY134*VLOOKUP('Données projet'!$B$12,Paramètres!$A$1:$I$89,3,0)*VLOOKUP('Données projet'!$B$12,Paramètres!$A$1:$I$89,5,0)</f>
        <v>268.86599999999999</v>
      </c>
      <c r="CA134" s="13">
        <f t="shared" si="147"/>
        <v>64.608546947682441</v>
      </c>
      <c r="CB134" s="20">
        <f t="shared" si="118"/>
        <v>580.80150260054677</v>
      </c>
      <c r="CC134" s="59">
        <f t="shared" si="119"/>
        <v>874.13483593388014</v>
      </c>
      <c r="CD134" s="59">
        <f ca="1">AVERAGE(OFFSET($CC$3,0,0,'Données projet'!$E$12+1,1))-AVERAGE(OFFSET($H$3,0,0,'Données projet'!$E$12+1,1))</f>
        <v>226.0452828290525</v>
      </c>
      <c r="CE134" s="59">
        <f t="shared" si="148"/>
        <v>179.89696397462069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1.2280496503075311</v>
      </c>
      <c r="CL134" s="21">
        <f>EXP(-LN(2)/25)*CL133+(1-EXP(-LN(2)/25))/(LN(2)/25)*Calculateur!CG134*Calculateur!CI134*VLOOKUP('Données projet'!$B$12,Paramètres!$A$1:$I$89,3,0)*0.475*44/12</f>
        <v>0.67789917368388175</v>
      </c>
      <c r="CM134" s="21">
        <f>EXP(-LN(2)/2)*CM133+(1-EXP(-LN(2)/2))/(LN(2)/2)*CG134*CJ134*VLOOKUP('Données projet'!$B$12,Paramètres!$A$1:$I$89,3,0)*0.475*44/12</f>
        <v>6.935493201435478E-15</v>
      </c>
      <c r="CN134" s="22">
        <f t="shared" si="120"/>
        <v>1.9059488239914197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482.74318690313885</v>
      </c>
      <c r="CZ134" s="59">
        <f t="shared" si="150"/>
        <v>205.57161411620217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1.553109146915971</v>
      </c>
      <c r="DG134" s="21">
        <f>EXP(-LN(2)/25)*DG133+(1-EXP(-LN(2)/25))/(LN(2)/25)*Calculateur!DB134*Calculateur!DD134*VLOOKUP('Données projet'!$B$13,Paramètres!$A$1:$I$89,3,0)*0.475*44/12</f>
        <v>0.57308163703146908</v>
      </c>
      <c r="DH134" s="21">
        <f>EXP(-LN(2)/2)*DH133+(1-EXP(-LN(2)/2))/(LN(2)/2)*DB134*DE134*VLOOKUP('Données projet'!$B$13,Paramètres!$A$1:$I$89,3,0)*0.475*44/12</f>
        <v>2.8443772475172709E-15</v>
      </c>
      <c r="DI134" s="22">
        <f t="shared" si="123"/>
        <v>2.1261907839474428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2.2737367544323206E-13</v>
      </c>
      <c r="DP134" s="17">
        <f>DO134*VLOOKUP('Données projet'!$B$14,Paramètres!$A$1:$I$89,3,0)*VLOOKUP('Données projet'!$B$14,Paramètres!$A$1:$I$89,5,0)</f>
        <v>1.0936673788819462E-13</v>
      </c>
      <c r="DQ134" s="13">
        <f t="shared" si="151"/>
        <v>1.6259645746645945E-12</v>
      </c>
      <c r="DR134" s="20">
        <f t="shared" si="124"/>
        <v>3.0223687026961078E-12</v>
      </c>
      <c r="DS134" s="59">
        <f t="shared" si="125"/>
        <v>293.33333333333633</v>
      </c>
      <c r="DT134" s="59">
        <f ca="1">AVERAGE(OFFSET($DS$3,0,0,'Données projet'!$E$14+1,1))-AVERAGE(OFFSET($H$3,0,0,'Données projet'!$E$14+1,1))</f>
        <v>247.11965163963526</v>
      </c>
      <c r="DU134" s="59">
        <f t="shared" si="152"/>
        <v>61.686311966192704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0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-1.0286385077051818E-13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265.50419397354284</v>
      </c>
      <c r="T135" s="59">
        <f t="shared" si="142"/>
        <v>156.67965022779907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0.4421150003975704</v>
      </c>
      <c r="AA135" s="21">
        <f>EXP(-LN(2)/25)*AA134+(1-EXP(-LN(2)/25))/(LN(2)/25)*Calculateur!V135*Calculateur!X135*VLOOKUP('Données projet'!$B$9,Paramètres!$A$1:$I$89,3,0)*0.475*44/12</f>
        <v>0.24806351324608875</v>
      </c>
      <c r="AB135" s="21">
        <f>EXP(-LN(2)/2)*AB134+(1-EXP(-LN(2)/2))/(LN(2)/2)*V135*Y135*VLOOKUP('Données projet'!$B$9,Paramètres!$A$1:$I$89,3,0)*0.475*44/12</f>
        <v>2.7101525492562714E-15</v>
      </c>
      <c r="AC135" s="22">
        <f t="shared" si="111"/>
        <v>0.69017851364366178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-1.1527845344971866E-13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296.43642006376018</v>
      </c>
      <c r="AO135" s="59">
        <f t="shared" si="144"/>
        <v>179.56041631665812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0.49547370734210477</v>
      </c>
      <c r="AV135" s="21">
        <f>EXP(-LN(2)/25)*AV134+(1-EXP(-LN(2)/25))/(LN(2)/25)*Calculateur!AQ135*Calculateur!AS135*VLOOKUP('Données projet'!$B$10,Paramètres!$A$1:$I$89,3,0)*0.475*44/12</f>
        <v>0.27800221312061646</v>
      </c>
      <c r="AW135" s="21">
        <f>EXP(-LN(2)/2)*AW134+(1-EXP(-LN(2)/2))/(LN(2)/2)*AQ135*AT135*VLOOKUP('Données projet'!$B$10,Paramètres!$A$1:$I$89,3,0)*0.475*44/12</f>
        <v>3.03723992589065E-15</v>
      </c>
      <c r="AX135" s="21">
        <f t="shared" si="114"/>
        <v>0.77347592046272429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5.6843418860808015E-14</v>
      </c>
      <c r="BE135" s="13">
        <f>BD135*VLOOKUP('Données projet'!$B$11,Paramètres!$A$1:$I$89,3,0)*VLOOKUP('Données projet'!$B$11,Paramètres!$A$1:$I$89,5,0)</f>
        <v>3.813056537183002E-14</v>
      </c>
      <c r="BF135" s="13">
        <f t="shared" si="145"/>
        <v>6.4086286045526829E-13</v>
      </c>
      <c r="BG135" s="20">
        <f t="shared" si="115"/>
        <v>1.1825802166488628E-12</v>
      </c>
      <c r="BH135" s="59">
        <f t="shared" si="116"/>
        <v>293.33333333333451</v>
      </c>
      <c r="BI135" s="59">
        <f ca="1">AVERAGE(OFFSET($BH$3,0,0,'Données projet'!$E$11+1,1))-AVERAGE(OFFSET($H$3,0,0,'Données projet'!$E$11+1,1))</f>
        <v>181.32837315090507</v>
      </c>
      <c r="BJ135" s="59">
        <f t="shared" si="146"/>
        <v>175.03267817980338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0.72648301715364905</v>
      </c>
      <c r="BQ135" s="21">
        <f>EXP(-LN(2)/25)*BQ134+(1-EXP(-LN(2)/25))/(LN(2)/25)*Calculateur!BL135*Calculateur!BN135*VLOOKUP('Données projet'!$B$11,Paramètres!$A$1:$I$89,3,0)*0.475*44/12</f>
        <v>0.40221626720994025</v>
      </c>
      <c r="BR135" s="21">
        <f>EXP(-LN(2)/2)*BR134+(1-EXP(-LN(2)/2))/(LN(2)/2)*BL135*BO135*VLOOKUP('Données projet'!$B$11,Paramètres!$A$1:$I$89,3,0)*0.475*44/12</f>
        <v>4.7113565786151345E-16</v>
      </c>
      <c r="BS135" s="22">
        <f t="shared" si="117"/>
        <v>1.1286992843635897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574.49999999999989</v>
      </c>
      <c r="BZ135" s="13">
        <f>BY135*VLOOKUP('Données projet'!$B$12,Paramètres!$A$1:$I$89,3,0)*VLOOKUP('Données projet'!$B$12,Paramètres!$A$1:$I$89,5,0)</f>
        <v>268.86599999999999</v>
      </c>
      <c r="CA135" s="13">
        <f t="shared" si="147"/>
        <v>64.608546947682441</v>
      </c>
      <c r="CB135" s="20">
        <f t="shared" si="118"/>
        <v>580.80150260054677</v>
      </c>
      <c r="CC135" s="59">
        <f t="shared" si="119"/>
        <v>874.13483593388014</v>
      </c>
      <c r="CD135" s="59">
        <f ca="1">AVERAGE(OFFSET($CC$3,0,0,'Données projet'!$E$12+1,1))-AVERAGE(OFFSET($H$3,0,0,'Données projet'!$E$12+1,1))</f>
        <v>226.0452828290525</v>
      </c>
      <c r="CE135" s="59">
        <f t="shared" si="148"/>
        <v>179.89696397462069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1.2039683457013259</v>
      </c>
      <c r="CL135" s="21">
        <f>EXP(-LN(2)/25)*CL134+(1-EXP(-LN(2)/25))/(LN(2)/25)*Calculateur!CG135*Calculateur!CI135*VLOOKUP('Données projet'!$B$12,Paramètres!$A$1:$I$89,3,0)*0.475*44/12</f>
        <v>0.65936198513032784</v>
      </c>
      <c r="CM135" s="21">
        <f>EXP(-LN(2)/2)*CM134+(1-EXP(-LN(2)/2))/(LN(2)/2)*CG135*CJ135*VLOOKUP('Données projet'!$B$12,Paramètres!$A$1:$I$89,3,0)*0.475*44/12</f>
        <v>4.9041342736082248E-15</v>
      </c>
      <c r="CN135" s="22">
        <f t="shared" si="120"/>
        <v>1.8633303308316587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482.74318690313885</v>
      </c>
      <c r="CZ135" s="59">
        <f t="shared" si="150"/>
        <v>205.57161411620217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1.52265362384799</v>
      </c>
      <c r="DG135" s="21">
        <f>EXP(-LN(2)/25)*DG134+(1-EXP(-LN(2)/25))/(LN(2)/25)*Calculateur!DB135*Calculateur!DD135*VLOOKUP('Données projet'!$B$13,Paramètres!$A$1:$I$89,3,0)*0.475*44/12</f>
        <v>0.55741068952979012</v>
      </c>
      <c r="DH135" s="21">
        <f>EXP(-LN(2)/2)*DH134+(1-EXP(-LN(2)/2))/(LN(2)/2)*DB135*DE135*VLOOKUP('Données projet'!$B$13,Paramètres!$A$1:$I$89,3,0)*0.475*44/12</f>
        <v>2.0112784399721892E-15</v>
      </c>
      <c r="DI135" s="22">
        <f t="shared" si="123"/>
        <v>2.0800643133777821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2.2737367544323206E-13</v>
      </c>
      <c r="DP135" s="17">
        <f>DO135*VLOOKUP('Données projet'!$B$14,Paramètres!$A$1:$I$89,3,0)*VLOOKUP('Données projet'!$B$14,Paramètres!$A$1:$I$89,5,0)</f>
        <v>1.0936673788819462E-13</v>
      </c>
      <c r="DQ135" s="13">
        <f t="shared" si="151"/>
        <v>1.6259645746645945E-12</v>
      </c>
      <c r="DR135" s="20">
        <f t="shared" si="124"/>
        <v>3.0223687026961078E-12</v>
      </c>
      <c r="DS135" s="59">
        <f t="shared" si="125"/>
        <v>293.33333333333633</v>
      </c>
      <c r="DT135" s="59">
        <f ca="1">AVERAGE(OFFSET($DS$3,0,0,'Données projet'!$E$14+1,1))-AVERAGE(OFFSET($H$3,0,0,'Données projet'!$E$14+1,1))</f>
        <v>247.11965163963526</v>
      </c>
      <c r="DU135" s="59">
        <f t="shared" si="152"/>
        <v>61.686311966192704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0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-1.0286385077051818E-13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265.50419397354284</v>
      </c>
      <c r="T136" s="59">
        <f t="shared" si="142"/>
        <v>156.67965022779907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0.43344539490329725</v>
      </c>
      <c r="AA136" s="21">
        <f>EXP(-LN(2)/25)*AA135+(1-EXP(-LN(2)/25))/(LN(2)/25)*Calculateur!V136*Calculateur!X136*VLOOKUP('Données projet'!$B$9,Paramètres!$A$1:$I$89,3,0)*0.475*44/12</f>
        <v>0.24128020343128123</v>
      </c>
      <c r="AB136" s="21">
        <f>EXP(-LN(2)/2)*AB135+(1-EXP(-LN(2)/2))/(LN(2)/2)*V136*Y136*VLOOKUP('Données projet'!$B$9,Paramètres!$A$1:$I$89,3,0)*0.475*44/12</f>
        <v>1.9163672456291183E-15</v>
      </c>
      <c r="AC136" s="22">
        <f t="shared" si="111"/>
        <v>0.67472559833458035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-1.1527845344971866E-13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296.43642006376018</v>
      </c>
      <c r="AO136" s="59">
        <f t="shared" si="144"/>
        <v>179.56041631665812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0.4857577701502469</v>
      </c>
      <c r="AV136" s="21">
        <f>EXP(-LN(2)/25)*AV135+(1-EXP(-LN(2)/25))/(LN(2)/25)*Calculateur!AQ136*Calculateur!AS136*VLOOKUP('Données projet'!$B$10,Paramètres!$A$1:$I$89,3,0)*0.475*44/12</f>
        <v>0.27040022798333219</v>
      </c>
      <c r="AW136" s="21">
        <f>EXP(-LN(2)/2)*AW135+(1-EXP(-LN(2)/2))/(LN(2)/2)*AQ136*AT136*VLOOKUP('Données projet'!$B$10,Paramètres!$A$1:$I$89,3,0)*0.475*44/12</f>
        <v>2.1476529476878057E-15</v>
      </c>
      <c r="AX136" s="21">
        <f t="shared" si="114"/>
        <v>0.7561579981335812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5.6843418860808015E-14</v>
      </c>
      <c r="BE136" s="13">
        <f>BD136*VLOOKUP('Données projet'!$B$11,Paramètres!$A$1:$I$89,3,0)*VLOOKUP('Données projet'!$B$11,Paramètres!$A$1:$I$89,5,0)</f>
        <v>3.813056537183002E-14</v>
      </c>
      <c r="BF136" s="13">
        <f t="shared" si="145"/>
        <v>6.4086286045526829E-13</v>
      </c>
      <c r="BG136" s="20">
        <f t="shared" si="115"/>
        <v>1.1825802166488628E-12</v>
      </c>
      <c r="BH136" s="59">
        <f t="shared" si="116"/>
        <v>293.33333333333451</v>
      </c>
      <c r="BI136" s="59">
        <f ca="1">AVERAGE(OFFSET($BH$3,0,0,'Données projet'!$E$11+1,1))-AVERAGE(OFFSET($H$3,0,0,'Données projet'!$E$11+1,1))</f>
        <v>181.32837315090507</v>
      </c>
      <c r="BJ136" s="59">
        <f t="shared" si="146"/>
        <v>175.03267817980338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0.71223712829815289</v>
      </c>
      <c r="BQ136" s="21">
        <f>EXP(-LN(2)/25)*BQ135+(1-EXP(-LN(2)/25))/(LN(2)/25)*Calculateur!BL136*Calculateur!BN136*VLOOKUP('Données projet'!$B$11,Paramètres!$A$1:$I$89,3,0)*0.475*44/12</f>
        <v>0.39121764223145022</v>
      </c>
      <c r="BR136" s="21">
        <f>EXP(-LN(2)/2)*BR135+(1-EXP(-LN(2)/2))/(LN(2)/2)*BL136*BO136*VLOOKUP('Données projet'!$B$11,Paramètres!$A$1:$I$89,3,0)*0.475*44/12</f>
        <v>3.3314321853266131E-16</v>
      </c>
      <c r="BS136" s="22">
        <f t="shared" si="117"/>
        <v>1.1034547705296036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574.49999999999989</v>
      </c>
      <c r="BZ136" s="13">
        <f>BY136*VLOOKUP('Données projet'!$B$12,Paramètres!$A$1:$I$89,3,0)*VLOOKUP('Données projet'!$B$12,Paramètres!$A$1:$I$89,5,0)</f>
        <v>268.86599999999999</v>
      </c>
      <c r="CA136" s="13">
        <f t="shared" si="147"/>
        <v>64.608546947682441</v>
      </c>
      <c r="CB136" s="20">
        <f t="shared" si="118"/>
        <v>580.80150260054677</v>
      </c>
      <c r="CC136" s="59">
        <f t="shared" si="119"/>
        <v>874.13483593388014</v>
      </c>
      <c r="CD136" s="59">
        <f ca="1">AVERAGE(OFFSET($CC$3,0,0,'Données projet'!$E$12+1,1))-AVERAGE(OFFSET($H$3,0,0,'Données projet'!$E$12+1,1))</f>
        <v>226.0452828290525</v>
      </c>
      <c r="CE136" s="59">
        <f t="shared" si="148"/>
        <v>179.89696397462069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1.1803592607903028</v>
      </c>
      <c r="CL136" s="21">
        <f>EXP(-LN(2)/25)*CL135+(1-EXP(-LN(2)/25))/(LN(2)/25)*Calculateur!CG136*Calculateur!CI136*VLOOKUP('Données projet'!$B$12,Paramètres!$A$1:$I$89,3,0)*0.475*44/12</f>
        <v>0.64133169697259917</v>
      </c>
      <c r="CM136" s="21">
        <f>EXP(-LN(2)/2)*CM135+(1-EXP(-LN(2)/2))/(LN(2)/2)*CG136*CJ136*VLOOKUP('Données projet'!$B$12,Paramètres!$A$1:$I$89,3,0)*0.475*44/12</f>
        <v>3.4677466007177394E-15</v>
      </c>
      <c r="CN136" s="22">
        <f t="shared" si="120"/>
        <v>1.8216909577629057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482.74318690313885</v>
      </c>
      <c r="CZ136" s="59">
        <f t="shared" si="150"/>
        <v>205.57161411620217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1.4927953150113373</v>
      </c>
      <c r="DG136" s="21">
        <f>EXP(-LN(2)/25)*DG135+(1-EXP(-LN(2)/25))/(LN(2)/25)*Calculateur!DB136*Calculateur!DD136*VLOOKUP('Données projet'!$B$13,Paramètres!$A$1:$I$89,3,0)*0.475*44/12</f>
        <v>0.54216826491164383</v>
      </c>
      <c r="DH136" s="21">
        <f>EXP(-LN(2)/2)*DH135+(1-EXP(-LN(2)/2))/(LN(2)/2)*DB136*DE136*VLOOKUP('Données projet'!$B$13,Paramètres!$A$1:$I$89,3,0)*0.475*44/12</f>
        <v>1.4221886237586355E-15</v>
      </c>
      <c r="DI136" s="22">
        <f t="shared" si="123"/>
        <v>2.0349635799229824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2.2737367544323206E-13</v>
      </c>
      <c r="DP136" s="17">
        <f>DO136*VLOOKUP('Données projet'!$B$14,Paramètres!$A$1:$I$89,3,0)*VLOOKUP('Données projet'!$B$14,Paramètres!$A$1:$I$89,5,0)</f>
        <v>1.0936673788819462E-13</v>
      </c>
      <c r="DQ136" s="13">
        <f t="shared" si="151"/>
        <v>1.6259645746645945E-12</v>
      </c>
      <c r="DR136" s="20">
        <f t="shared" si="124"/>
        <v>3.0223687026961078E-12</v>
      </c>
      <c r="DS136" s="59">
        <f t="shared" si="125"/>
        <v>293.33333333333633</v>
      </c>
      <c r="DT136" s="59">
        <f ca="1">AVERAGE(OFFSET($DS$3,0,0,'Données projet'!$E$14+1,1))-AVERAGE(OFFSET($H$3,0,0,'Données projet'!$E$14+1,1))</f>
        <v>247.11965163963526</v>
      </c>
      <c r="DU136" s="59">
        <f t="shared" si="152"/>
        <v>61.686311966192704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0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-1.0286385077051818E-13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265.50419397354284</v>
      </c>
      <c r="T137" s="59">
        <f t="shared" si="142"/>
        <v>156.67965022779907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0.42494579508482955</v>
      </c>
      <c r="AA137" s="21">
        <f>EXP(-LN(2)/25)*AA136+(1-EXP(-LN(2)/25))/(LN(2)/25)*Calculateur!V137*Calculateur!X137*VLOOKUP('Données projet'!$B$9,Paramètres!$A$1:$I$89,3,0)*0.475*44/12</f>
        <v>0.2346823835800784</v>
      </c>
      <c r="AB137" s="21">
        <f>EXP(-LN(2)/2)*AB136+(1-EXP(-LN(2)/2))/(LN(2)/2)*V137*Y137*VLOOKUP('Données projet'!$B$9,Paramètres!$A$1:$I$89,3,0)*0.475*44/12</f>
        <v>1.3550762746281357E-15</v>
      </c>
      <c r="AC137" s="22">
        <f t="shared" si="111"/>
        <v>0.6596281786649093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-1.1527845344971866E-13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296.43642006376018</v>
      </c>
      <c r="AO137" s="59">
        <f t="shared" si="144"/>
        <v>179.56041631665812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0.47623235656058482</v>
      </c>
      <c r="AV137" s="21">
        <f>EXP(-LN(2)/25)*AV136+(1-EXP(-LN(2)/25))/(LN(2)/25)*Calculateur!AQ137*Calculateur!AS137*VLOOKUP('Données projet'!$B$10,Paramètres!$A$1:$I$89,3,0)*0.475*44/12</f>
        <v>0.26300611952939801</v>
      </c>
      <c r="AW137" s="21">
        <f>EXP(-LN(2)/2)*AW136+(1-EXP(-LN(2)/2))/(LN(2)/2)*AQ137*AT137*VLOOKUP('Données projet'!$B$10,Paramètres!$A$1:$I$89,3,0)*0.475*44/12</f>
        <v>1.518619962945325E-15</v>
      </c>
      <c r="AX137" s="21">
        <f t="shared" si="114"/>
        <v>0.73923847608998439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5.6843418860808015E-14</v>
      </c>
      <c r="BE137" s="13">
        <f>BD137*VLOOKUP('Données projet'!$B$11,Paramètres!$A$1:$I$89,3,0)*VLOOKUP('Données projet'!$B$11,Paramètres!$A$1:$I$89,5,0)</f>
        <v>3.813056537183002E-14</v>
      </c>
      <c r="BF137" s="13">
        <f t="shared" si="145"/>
        <v>6.4086286045526829E-13</v>
      </c>
      <c r="BG137" s="20">
        <f t="shared" si="115"/>
        <v>1.1825802166488628E-12</v>
      </c>
      <c r="BH137" s="59">
        <f t="shared" si="116"/>
        <v>293.33333333333451</v>
      </c>
      <c r="BI137" s="59">
        <f ca="1">AVERAGE(OFFSET($BH$3,0,0,'Données projet'!$E$11+1,1))-AVERAGE(OFFSET($H$3,0,0,'Données projet'!$E$11+1,1))</f>
        <v>181.32837315090507</v>
      </c>
      <c r="BJ137" s="59">
        <f t="shared" si="146"/>
        <v>175.03267817980338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0.69827059263397884</v>
      </c>
      <c r="BQ137" s="21">
        <f>EXP(-LN(2)/25)*BQ136+(1-EXP(-LN(2)/25))/(LN(2)/25)*Calculateur!BL137*Calculateur!BN137*VLOOKUP('Données projet'!$B$11,Paramètres!$A$1:$I$89,3,0)*0.475*44/12</f>
        <v>0.38051977523138958</v>
      </c>
      <c r="BR137" s="21">
        <f>EXP(-LN(2)/2)*BR136+(1-EXP(-LN(2)/2))/(LN(2)/2)*BL137*BO137*VLOOKUP('Données projet'!$B$11,Paramètres!$A$1:$I$89,3,0)*0.475*44/12</f>
        <v>2.3556782893075672E-16</v>
      </c>
      <c r="BS137" s="22">
        <f t="shared" si="117"/>
        <v>1.0787903678653687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574.49999999999989</v>
      </c>
      <c r="BZ137" s="13">
        <f>BY137*VLOOKUP('Données projet'!$B$12,Paramètres!$A$1:$I$89,3,0)*VLOOKUP('Données projet'!$B$12,Paramètres!$A$1:$I$89,5,0)</f>
        <v>268.86599999999999</v>
      </c>
      <c r="CA137" s="13">
        <f t="shared" si="147"/>
        <v>64.608546947682441</v>
      </c>
      <c r="CB137" s="20">
        <f t="shared" si="118"/>
        <v>580.80150260054677</v>
      </c>
      <c r="CC137" s="59">
        <f t="shared" si="119"/>
        <v>874.13483593388014</v>
      </c>
      <c r="CD137" s="59">
        <f ca="1">AVERAGE(OFFSET($CC$3,0,0,'Données projet'!$E$12+1,1))-AVERAGE(OFFSET($H$3,0,0,'Données projet'!$E$12+1,1))</f>
        <v>226.0452828290525</v>
      </c>
      <c r="CE137" s="59">
        <f t="shared" si="148"/>
        <v>179.89696397462069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1.1572131356342652</v>
      </c>
      <c r="CL137" s="21">
        <f>EXP(-LN(2)/25)*CL136+(1-EXP(-LN(2)/25))/(LN(2)/25)*Calculateur!CG137*Calculateur!CI137*VLOOKUP('Données projet'!$B$12,Paramètres!$A$1:$I$89,3,0)*0.475*44/12</f>
        <v>0.62379444799271533</v>
      </c>
      <c r="CM137" s="21">
        <f>EXP(-LN(2)/2)*CM136+(1-EXP(-LN(2)/2))/(LN(2)/2)*CG137*CJ137*VLOOKUP('Données projet'!$B$12,Paramètres!$A$1:$I$89,3,0)*0.475*44/12</f>
        <v>2.4520671368041128E-15</v>
      </c>
      <c r="CN137" s="22">
        <f t="shared" si="120"/>
        <v>1.781007583626983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482.74318690313885</v>
      </c>
      <c r="CZ137" s="59">
        <f t="shared" si="150"/>
        <v>205.57161411620217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1.4635225093992013</v>
      </c>
      <c r="DG137" s="21">
        <f>EXP(-LN(2)/25)*DG136+(1-EXP(-LN(2)/25))/(LN(2)/25)*Calculateur!DB137*Calculateur!DD137*VLOOKUP('Données projet'!$B$13,Paramètres!$A$1:$I$89,3,0)*0.475*44/12</f>
        <v>0.52734264519624496</v>
      </c>
      <c r="DH137" s="21">
        <f>EXP(-LN(2)/2)*DH136+(1-EXP(-LN(2)/2))/(LN(2)/2)*DB137*DE137*VLOOKUP('Données projet'!$B$13,Paramètres!$A$1:$I$89,3,0)*0.475*44/12</f>
        <v>1.0056392199860946E-15</v>
      </c>
      <c r="DI137" s="22">
        <f t="shared" si="123"/>
        <v>1.9908651545954472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2.2737367544323206E-13</v>
      </c>
      <c r="DP137" s="17">
        <f>DO137*VLOOKUP('Données projet'!$B$14,Paramètres!$A$1:$I$89,3,0)*VLOOKUP('Données projet'!$B$14,Paramètres!$A$1:$I$89,5,0)</f>
        <v>1.0936673788819462E-13</v>
      </c>
      <c r="DQ137" s="13">
        <f t="shared" si="151"/>
        <v>1.6259645746645945E-12</v>
      </c>
      <c r="DR137" s="20">
        <f t="shared" si="124"/>
        <v>3.0223687026961078E-12</v>
      </c>
      <c r="DS137" s="59">
        <f t="shared" si="125"/>
        <v>293.33333333333633</v>
      </c>
      <c r="DT137" s="59">
        <f ca="1">AVERAGE(OFFSET($DS$3,0,0,'Données projet'!$E$14+1,1))-AVERAGE(OFFSET($H$3,0,0,'Données projet'!$E$14+1,1))</f>
        <v>247.11965163963526</v>
      </c>
      <c r="DU137" s="59">
        <f t="shared" si="152"/>
        <v>61.686311966192704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0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-1.0286385077051818E-13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265.50419397354284</v>
      </c>
      <c r="T138" s="59">
        <f t="shared" si="142"/>
        <v>156.67965022779907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0.41661286723455804</v>
      </c>
      <c r="AA138" s="21">
        <f>EXP(-LN(2)/25)*AA137+(1-EXP(-LN(2)/25))/(LN(2)/25)*Calculateur!V138*Calculateur!X138*VLOOKUP('Données projet'!$B$9,Paramètres!$A$1:$I$89,3,0)*0.475*44/12</f>
        <v>0.22826498145967097</v>
      </c>
      <c r="AB138" s="21">
        <f>EXP(-LN(2)/2)*AB137+(1-EXP(-LN(2)/2))/(LN(2)/2)*V138*Y138*VLOOKUP('Données projet'!$B$9,Paramètres!$A$1:$I$89,3,0)*0.475*44/12</f>
        <v>9.5818362281455913E-16</v>
      </c>
      <c r="AC138" s="22">
        <f t="shared" si="111"/>
        <v>0.64487784869423004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-1.1527845344971866E-13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296.43642006376018</v>
      </c>
      <c r="AO138" s="59">
        <f t="shared" si="144"/>
        <v>179.56041631665812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0.46689373052148742</v>
      </c>
      <c r="AV138" s="21">
        <f>EXP(-LN(2)/25)*AV137+(1-EXP(-LN(2)/25))/(LN(2)/25)*Calculateur!AQ138*Calculateur!AS138*VLOOKUP('Données projet'!$B$10,Paramètres!$A$1:$I$89,3,0)*0.475*44/12</f>
        <v>0.2558142033599759</v>
      </c>
      <c r="AW138" s="21">
        <f>EXP(-LN(2)/2)*AW137+(1-EXP(-LN(2)/2))/(LN(2)/2)*AQ138*AT138*VLOOKUP('Données projet'!$B$10,Paramètres!$A$1:$I$89,3,0)*0.475*44/12</f>
        <v>1.0738264738439028E-15</v>
      </c>
      <c r="AX138" s="21">
        <f t="shared" si="114"/>
        <v>0.72270793388146437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5.6843418860808015E-14</v>
      </c>
      <c r="BE138" s="13">
        <f>BD138*VLOOKUP('Données projet'!$B$11,Paramètres!$A$1:$I$89,3,0)*VLOOKUP('Données projet'!$B$11,Paramètres!$A$1:$I$89,5,0)</f>
        <v>3.813056537183002E-14</v>
      </c>
      <c r="BF138" s="13">
        <f t="shared" si="145"/>
        <v>6.4086286045526829E-13</v>
      </c>
      <c r="BG138" s="20">
        <f t="shared" si="115"/>
        <v>1.1825802166488628E-12</v>
      </c>
      <c r="BH138" s="59">
        <f t="shared" si="116"/>
        <v>293.33333333333451</v>
      </c>
      <c r="BI138" s="59">
        <f ca="1">AVERAGE(OFFSET($BH$3,0,0,'Données projet'!$E$11+1,1))-AVERAGE(OFFSET($H$3,0,0,'Données projet'!$E$11+1,1))</f>
        <v>181.32837315090507</v>
      </c>
      <c r="BJ138" s="59">
        <f t="shared" si="146"/>
        <v>175.03267817980338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0.68457793221543362</v>
      </c>
      <c r="BQ138" s="21">
        <f>EXP(-LN(2)/25)*BQ137+(1-EXP(-LN(2)/25))/(LN(2)/25)*Calculateur!BL138*Calculateur!BN138*VLOOKUP('Données projet'!$B$11,Paramètres!$A$1:$I$89,3,0)*0.475*44/12</f>
        <v>0.37011444196702192</v>
      </c>
      <c r="BR138" s="21">
        <f>EXP(-LN(2)/2)*BR137+(1-EXP(-LN(2)/2))/(LN(2)/2)*BL138*BO138*VLOOKUP('Données projet'!$B$11,Paramètres!$A$1:$I$89,3,0)*0.475*44/12</f>
        <v>1.6657160926633066E-16</v>
      </c>
      <c r="BS138" s="22">
        <f t="shared" si="117"/>
        <v>1.0546923741824556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574.49999999999989</v>
      </c>
      <c r="BZ138" s="13">
        <f>BY138*VLOOKUP('Données projet'!$B$12,Paramètres!$A$1:$I$89,3,0)*VLOOKUP('Données projet'!$B$12,Paramètres!$A$1:$I$89,5,0)</f>
        <v>268.86599999999999</v>
      </c>
      <c r="CA138" s="13">
        <f t="shared" si="147"/>
        <v>64.608546947682441</v>
      </c>
      <c r="CB138" s="20">
        <f t="shared" si="118"/>
        <v>580.80150260054677</v>
      </c>
      <c r="CC138" s="59">
        <f t="shared" si="119"/>
        <v>874.13483593388014</v>
      </c>
      <c r="CD138" s="59">
        <f ca="1">AVERAGE(OFFSET($CC$3,0,0,'Données projet'!$E$12+1,1))-AVERAGE(OFFSET($H$3,0,0,'Données projet'!$E$12+1,1))</f>
        <v>226.0452828290525</v>
      </c>
      <c r="CE138" s="59">
        <f t="shared" si="148"/>
        <v>179.89696397462069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1.1345208918747951</v>
      </c>
      <c r="CL138" s="21">
        <f>EXP(-LN(2)/25)*CL137+(1-EXP(-LN(2)/25))/(LN(2)/25)*Calculateur!CG138*Calculateur!CI138*VLOOKUP('Données projet'!$B$12,Paramètres!$A$1:$I$89,3,0)*0.475*44/12</f>
        <v>0.60673675600843024</v>
      </c>
      <c r="CM138" s="21">
        <f>EXP(-LN(2)/2)*CM137+(1-EXP(-LN(2)/2))/(LN(2)/2)*CG138*CJ138*VLOOKUP('Données projet'!$B$12,Paramètres!$A$1:$I$89,3,0)*0.475*44/12</f>
        <v>1.7338733003588701E-15</v>
      </c>
      <c r="CN138" s="22">
        <f t="shared" si="120"/>
        <v>1.7412576478832271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482.74318690313885</v>
      </c>
      <c r="CZ138" s="59">
        <f t="shared" si="150"/>
        <v>205.57161411620217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1.4348237256504708</v>
      </c>
      <c r="DG138" s="21">
        <f>EXP(-LN(2)/25)*DG137+(1-EXP(-LN(2)/25))/(LN(2)/25)*Calculateur!DB138*Calculateur!DD138*VLOOKUP('Données projet'!$B$13,Paramètres!$A$1:$I$89,3,0)*0.475*44/12</f>
        <v>0.51292243283160921</v>
      </c>
      <c r="DH138" s="21">
        <f>EXP(-LN(2)/2)*DH137+(1-EXP(-LN(2)/2))/(LN(2)/2)*DB138*DE138*VLOOKUP('Données projet'!$B$13,Paramètres!$A$1:$I$89,3,0)*0.475*44/12</f>
        <v>7.1109431187931773E-16</v>
      </c>
      <c r="DI138" s="22">
        <f t="shared" si="123"/>
        <v>1.9477461584820805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2.2737367544323206E-13</v>
      </c>
      <c r="DP138" s="17">
        <f>DO138*VLOOKUP('Données projet'!$B$14,Paramètres!$A$1:$I$89,3,0)*VLOOKUP('Données projet'!$B$14,Paramètres!$A$1:$I$89,5,0)</f>
        <v>1.0936673788819462E-13</v>
      </c>
      <c r="DQ138" s="13">
        <f t="shared" si="151"/>
        <v>1.6259645746645945E-12</v>
      </c>
      <c r="DR138" s="20">
        <f t="shared" si="124"/>
        <v>3.0223687026961078E-12</v>
      </c>
      <c r="DS138" s="59">
        <f t="shared" si="125"/>
        <v>293.33333333333633</v>
      </c>
      <c r="DT138" s="59">
        <f ca="1">AVERAGE(OFFSET($DS$3,0,0,'Données projet'!$E$14+1,1))-AVERAGE(OFFSET($H$3,0,0,'Données projet'!$E$14+1,1))</f>
        <v>247.11965163963526</v>
      </c>
      <c r="DU138" s="59">
        <f t="shared" si="152"/>
        <v>61.686311966192704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0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-1.0286385077051818E-13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265.50419397354284</v>
      </c>
      <c r="T139" s="59">
        <f t="shared" si="142"/>
        <v>156.67965022779907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0.40844334301684621</v>
      </c>
      <c r="AA139" s="21">
        <f>EXP(-LN(2)/25)*AA138+(1-EXP(-LN(2)/25))/(LN(2)/25)*Calculateur!V139*Calculateur!X139*VLOOKUP('Données projet'!$B$9,Paramètres!$A$1:$I$89,3,0)*0.475*44/12</f>
        <v>0.22202306353772261</v>
      </c>
      <c r="AB139" s="21">
        <f>EXP(-LN(2)/2)*AB138+(1-EXP(-LN(2)/2))/(LN(2)/2)*V139*Y139*VLOOKUP('Données projet'!$B$9,Paramètres!$A$1:$I$89,3,0)*0.475*44/12</f>
        <v>6.7753813731406785E-16</v>
      </c>
      <c r="AC139" s="22">
        <f t="shared" si="111"/>
        <v>0.63046640655456954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-1.1527845344971866E-13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296.43642006376018</v>
      </c>
      <c r="AO139" s="59">
        <f t="shared" si="144"/>
        <v>179.56041631665812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0.45773822924301727</v>
      </c>
      <c r="AV139" s="21">
        <f>EXP(-LN(2)/25)*AV138+(1-EXP(-LN(2)/25))/(LN(2)/25)*Calculateur!AQ139*Calculateur!AS139*VLOOKUP('Données projet'!$B$10,Paramètres!$A$1:$I$89,3,0)*0.475*44/12</f>
        <v>0.24881895051641306</v>
      </c>
      <c r="AW139" s="21">
        <f>EXP(-LN(2)/2)*AW138+(1-EXP(-LN(2)/2))/(LN(2)/2)*AQ139*AT139*VLOOKUP('Données projet'!$B$10,Paramètres!$A$1:$I$89,3,0)*0.475*44/12</f>
        <v>7.5930998147266251E-16</v>
      </c>
      <c r="AX139" s="21">
        <f t="shared" si="114"/>
        <v>0.70655717975943111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5.6843418860808015E-14</v>
      </c>
      <c r="BE139" s="13">
        <f>BD139*VLOOKUP('Données projet'!$B$11,Paramètres!$A$1:$I$89,3,0)*VLOOKUP('Données projet'!$B$11,Paramètres!$A$1:$I$89,5,0)</f>
        <v>3.813056537183002E-14</v>
      </c>
      <c r="BF139" s="13">
        <f t="shared" si="145"/>
        <v>6.4086286045526829E-13</v>
      </c>
      <c r="BG139" s="20">
        <f t="shared" si="115"/>
        <v>1.1825802166488628E-12</v>
      </c>
      <c r="BH139" s="59">
        <f t="shared" si="116"/>
        <v>293.33333333333451</v>
      </c>
      <c r="BI139" s="59">
        <f ca="1">AVERAGE(OFFSET($BH$3,0,0,'Données projet'!$E$11+1,1))-AVERAGE(OFFSET($H$3,0,0,'Données projet'!$E$11+1,1))</f>
        <v>181.32837315090507</v>
      </c>
      <c r="BJ139" s="59">
        <f t="shared" si="146"/>
        <v>175.03267817980338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0.67115377651599784</v>
      </c>
      <c r="BQ139" s="21">
        <f>EXP(-LN(2)/25)*BQ138+(1-EXP(-LN(2)/25))/(LN(2)/25)*Calculateur!BL139*Calculateur!BN139*VLOOKUP('Données projet'!$B$11,Paramètres!$A$1:$I$89,3,0)*0.475*44/12</f>
        <v>0.35999364308796111</v>
      </c>
      <c r="BR139" s="21">
        <f>EXP(-LN(2)/2)*BR138+(1-EXP(-LN(2)/2))/(LN(2)/2)*BL139*BO139*VLOOKUP('Données projet'!$B$11,Paramètres!$A$1:$I$89,3,0)*0.475*44/12</f>
        <v>1.1778391446537836E-16</v>
      </c>
      <c r="BS139" s="22">
        <f t="shared" si="117"/>
        <v>1.0311474196039592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574.49999999999989</v>
      </c>
      <c r="BZ139" s="13">
        <f>BY139*VLOOKUP('Données projet'!$B$12,Paramètres!$A$1:$I$89,3,0)*VLOOKUP('Données projet'!$B$12,Paramètres!$A$1:$I$89,5,0)</f>
        <v>268.86599999999999</v>
      </c>
      <c r="CA139" s="13">
        <f t="shared" si="147"/>
        <v>64.608546947682441</v>
      </c>
      <c r="CB139" s="20">
        <f t="shared" si="118"/>
        <v>580.80150260054677</v>
      </c>
      <c r="CC139" s="59">
        <f t="shared" si="119"/>
        <v>874.13483593388014</v>
      </c>
      <c r="CD139" s="59">
        <f ca="1">AVERAGE(OFFSET($CC$3,0,0,'Données projet'!$E$12+1,1))-AVERAGE(OFFSET($H$3,0,0,'Données projet'!$E$12+1,1))</f>
        <v>226.0452828290525</v>
      </c>
      <c r="CE139" s="59">
        <f t="shared" si="148"/>
        <v>179.89696397462069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1.1122736291745461</v>
      </c>
      <c r="CL139" s="21">
        <f>EXP(-LN(2)/25)*CL138+(1-EXP(-LN(2)/25))/(LN(2)/25)*Calculateur!CG139*Calculateur!CI139*VLOOKUP('Données projet'!$B$12,Paramètres!$A$1:$I$89,3,0)*0.475*44/12</f>
        <v>0.59014550750848038</v>
      </c>
      <c r="CM139" s="21">
        <f>EXP(-LN(2)/2)*CM138+(1-EXP(-LN(2)/2))/(LN(2)/2)*CG139*CJ139*VLOOKUP('Données projet'!$B$12,Paramètres!$A$1:$I$89,3,0)*0.475*44/12</f>
        <v>1.2260335684020566E-15</v>
      </c>
      <c r="CN139" s="22">
        <f t="shared" si="120"/>
        <v>1.7024191366830279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482.74318690313885</v>
      </c>
      <c r="CZ139" s="59">
        <f t="shared" si="150"/>
        <v>205.57161411620217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1.4066877075465232</v>
      </c>
      <c r="DG139" s="21">
        <f>EXP(-LN(2)/25)*DG138+(1-EXP(-LN(2)/25))/(LN(2)/25)*Calculateur!DB139*Calculateur!DD139*VLOOKUP('Données projet'!$B$13,Paramètres!$A$1:$I$89,3,0)*0.475*44/12</f>
        <v>0.4988965419324104</v>
      </c>
      <c r="DH139" s="21">
        <f>EXP(-LN(2)/2)*DH138+(1-EXP(-LN(2)/2))/(LN(2)/2)*DB139*DE139*VLOOKUP('Données projet'!$B$13,Paramètres!$A$1:$I$89,3,0)*0.475*44/12</f>
        <v>5.028196099930473E-16</v>
      </c>
      <c r="DI139" s="22">
        <f t="shared" si="123"/>
        <v>1.9055842494789341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2.2737367544323206E-13</v>
      </c>
      <c r="DP139" s="17">
        <f>DO139*VLOOKUP('Données projet'!$B$14,Paramètres!$A$1:$I$89,3,0)*VLOOKUP('Données projet'!$B$14,Paramètres!$A$1:$I$89,5,0)</f>
        <v>1.0936673788819462E-13</v>
      </c>
      <c r="DQ139" s="13">
        <f t="shared" si="151"/>
        <v>1.6259645746645945E-12</v>
      </c>
      <c r="DR139" s="20">
        <f t="shared" si="124"/>
        <v>3.0223687026961078E-12</v>
      </c>
      <c r="DS139" s="59">
        <f t="shared" si="125"/>
        <v>293.33333333333633</v>
      </c>
      <c r="DT139" s="59">
        <f ca="1">AVERAGE(OFFSET($DS$3,0,0,'Données projet'!$E$14+1,1))-AVERAGE(OFFSET($H$3,0,0,'Données projet'!$E$14+1,1))</f>
        <v>247.11965163963526</v>
      </c>
      <c r="DU139" s="59">
        <f t="shared" si="152"/>
        <v>61.686311966192704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0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-1.0286385077051818E-13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265.50419397354284</v>
      </c>
      <c r="T140" s="59">
        <f t="shared" si="142"/>
        <v>156.67965022779907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0.40043401818612595</v>
      </c>
      <c r="AA140" s="21">
        <f>EXP(-LN(2)/25)*AA139+(1-EXP(-LN(2)/25))/(LN(2)/25)*Calculateur!V140*Calculateur!X140*VLOOKUP('Données projet'!$B$9,Paramètres!$A$1:$I$89,3,0)*0.475*44/12</f>
        <v>0.21595183118959813</v>
      </c>
      <c r="AB140" s="21">
        <f>EXP(-LN(2)/2)*AB139+(1-EXP(-LN(2)/2))/(LN(2)/2)*V140*Y140*VLOOKUP('Données projet'!$B$9,Paramètres!$A$1:$I$89,3,0)*0.475*44/12</f>
        <v>4.7909181140727957E-16</v>
      </c>
      <c r="AC140" s="22">
        <f t="shared" si="111"/>
        <v>0.61638584937572449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-1.1527845344971866E-13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296.43642006376018</v>
      </c>
      <c r="AO140" s="59">
        <f t="shared" si="144"/>
        <v>179.56041631665812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0.44876226176031353</v>
      </c>
      <c r="AV140" s="21">
        <f>EXP(-LN(2)/25)*AV139+(1-EXP(-LN(2)/25))/(LN(2)/25)*Calculateur!AQ140*Calculateur!AS140*VLOOKUP('Données projet'!$B$10,Paramètres!$A$1:$I$89,3,0)*0.475*44/12</f>
        <v>0.24201498322972181</v>
      </c>
      <c r="AW140" s="21">
        <f>EXP(-LN(2)/2)*AW139+(1-EXP(-LN(2)/2))/(LN(2)/2)*AQ140*AT140*VLOOKUP('Données projet'!$B$10,Paramètres!$A$1:$I$89,3,0)*0.475*44/12</f>
        <v>5.3691323692195141E-16</v>
      </c>
      <c r="AX140" s="21">
        <f t="shared" si="114"/>
        <v>0.6907772449900359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5.6843418860808015E-14</v>
      </c>
      <c r="BE140" s="13">
        <f>BD140*VLOOKUP('Données projet'!$B$11,Paramètres!$A$1:$I$89,3,0)*VLOOKUP('Données projet'!$B$11,Paramètres!$A$1:$I$89,5,0)</f>
        <v>3.813056537183002E-14</v>
      </c>
      <c r="BF140" s="13">
        <f t="shared" si="145"/>
        <v>6.4086286045526829E-13</v>
      </c>
      <c r="BG140" s="20">
        <f t="shared" si="115"/>
        <v>1.1825802166488628E-12</v>
      </c>
      <c r="BH140" s="59">
        <f t="shared" si="116"/>
        <v>293.33333333333451</v>
      </c>
      <c r="BI140" s="59">
        <f ca="1">AVERAGE(OFFSET($BH$3,0,0,'Données projet'!$E$11+1,1))-AVERAGE(OFFSET($H$3,0,0,'Données projet'!$E$11+1,1))</f>
        <v>181.32837315090507</v>
      </c>
      <c r="BJ140" s="59">
        <f t="shared" si="146"/>
        <v>175.03267817980338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0.65799286032190152</v>
      </c>
      <c r="BQ140" s="21">
        <f>EXP(-LN(2)/25)*BQ139+(1-EXP(-LN(2)/25))/(LN(2)/25)*Calculateur!BL140*Calculateur!BN140*VLOOKUP('Données projet'!$B$11,Paramètres!$A$1:$I$89,3,0)*0.475*44/12</f>
        <v>0.35014959798647788</v>
      </c>
      <c r="BR140" s="21">
        <f>EXP(-LN(2)/2)*BR139+(1-EXP(-LN(2)/2))/(LN(2)/2)*BL140*BO140*VLOOKUP('Données projet'!$B$11,Paramètres!$A$1:$I$89,3,0)*0.475*44/12</f>
        <v>8.3285804633165329E-17</v>
      </c>
      <c r="BS140" s="22">
        <f t="shared" si="117"/>
        <v>1.0081424583083793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574.49999999999989</v>
      </c>
      <c r="BZ140" s="13">
        <f>BY140*VLOOKUP('Données projet'!$B$12,Paramètres!$A$1:$I$89,3,0)*VLOOKUP('Données projet'!$B$12,Paramètres!$A$1:$I$89,5,0)</f>
        <v>268.86599999999999</v>
      </c>
      <c r="CA140" s="13">
        <f t="shared" si="147"/>
        <v>64.608546947682441</v>
      </c>
      <c r="CB140" s="20">
        <f t="shared" si="118"/>
        <v>580.80150260054677</v>
      </c>
      <c r="CC140" s="59">
        <f t="shared" si="119"/>
        <v>874.13483593388014</v>
      </c>
      <c r="CD140" s="59">
        <f ca="1">AVERAGE(OFFSET($CC$3,0,0,'Données projet'!$E$12+1,1))-AVERAGE(OFFSET($H$3,0,0,'Données projet'!$E$12+1,1))</f>
        <v>226.0452828290525</v>
      </c>
      <c r="CE140" s="59">
        <f t="shared" si="148"/>
        <v>179.89696397462069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1.0904626217263587</v>
      </c>
      <c r="CL140" s="21">
        <f>EXP(-LN(2)/25)*CL139+(1-EXP(-LN(2)/25))/(LN(2)/25)*Calculateur!CG140*Calculateur!CI140*VLOOKUP('Données projet'!$B$12,Paramètres!$A$1:$I$89,3,0)*0.475*44/12</f>
        <v>0.5740079475712575</v>
      </c>
      <c r="CM140" s="21">
        <f>EXP(-LN(2)/2)*CM139+(1-EXP(-LN(2)/2))/(LN(2)/2)*CG140*CJ140*VLOOKUP('Données projet'!$B$12,Paramètres!$A$1:$I$89,3,0)*0.475*44/12</f>
        <v>8.6693665017943514E-16</v>
      </c>
      <c r="CN140" s="22">
        <f t="shared" si="120"/>
        <v>1.6644705692976172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482.74318690313885</v>
      </c>
      <c r="CZ140" s="59">
        <f t="shared" si="150"/>
        <v>205.57161411620217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1.3791034195963174</v>
      </c>
      <c r="DG140" s="21">
        <f>EXP(-LN(2)/25)*DG139+(1-EXP(-LN(2)/25))/(LN(2)/25)*Calculateur!DB140*Calculateur!DD140*VLOOKUP('Données projet'!$B$13,Paramètres!$A$1:$I$89,3,0)*0.475*44/12</f>
        <v>0.48525418975743972</v>
      </c>
      <c r="DH140" s="21">
        <f>EXP(-LN(2)/2)*DH139+(1-EXP(-LN(2)/2))/(LN(2)/2)*DB140*DE140*VLOOKUP('Données projet'!$B$13,Paramètres!$A$1:$I$89,3,0)*0.475*44/12</f>
        <v>3.5554715593965886E-16</v>
      </c>
      <c r="DI140" s="22">
        <f t="shared" si="123"/>
        <v>1.8643576093537577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2.2737367544323206E-13</v>
      </c>
      <c r="DP140" s="17">
        <f>DO140*VLOOKUP('Données projet'!$B$14,Paramètres!$A$1:$I$89,3,0)*VLOOKUP('Données projet'!$B$14,Paramètres!$A$1:$I$89,5,0)</f>
        <v>1.0936673788819462E-13</v>
      </c>
      <c r="DQ140" s="13">
        <f t="shared" si="151"/>
        <v>1.6259645746645945E-12</v>
      </c>
      <c r="DR140" s="20">
        <f t="shared" si="124"/>
        <v>3.0223687026961078E-12</v>
      </c>
      <c r="DS140" s="59">
        <f t="shared" si="125"/>
        <v>293.33333333333633</v>
      </c>
      <c r="DT140" s="59">
        <f ca="1">AVERAGE(OFFSET($DS$3,0,0,'Données projet'!$E$14+1,1))-AVERAGE(OFFSET($H$3,0,0,'Données projet'!$E$14+1,1))</f>
        <v>247.11965163963526</v>
      </c>
      <c r="DU140" s="59">
        <f t="shared" si="152"/>
        <v>61.686311966192704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0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-1.0286385077051818E-13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265.50419397354284</v>
      </c>
      <c r="T141" s="59">
        <f t="shared" si="142"/>
        <v>156.67965022779907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0.39258175133013035</v>
      </c>
      <c r="AA141" s="21">
        <f>EXP(-LN(2)/25)*AA140+(1-EXP(-LN(2)/25))/(LN(2)/25)*Calculateur!V141*Calculateur!X141*VLOOKUP('Données projet'!$B$9,Paramètres!$A$1:$I$89,3,0)*0.475*44/12</f>
        <v>0.21004661700930533</v>
      </c>
      <c r="AB141" s="21">
        <f>EXP(-LN(2)/2)*AB140+(1-EXP(-LN(2)/2))/(LN(2)/2)*V141*Y141*VLOOKUP('Données projet'!$B$9,Paramètres!$A$1:$I$89,3,0)*0.475*44/12</f>
        <v>3.3876906865703393E-16</v>
      </c>
      <c r="AC141" s="22">
        <f t="shared" si="111"/>
        <v>0.602628368339436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-1.1527845344971866E-13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296.43642006376018</v>
      </c>
      <c r="AO141" s="59">
        <f t="shared" si="144"/>
        <v>179.56041631665812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0.43996230752514603</v>
      </c>
      <c r="AV141" s="21">
        <f>EXP(-LN(2)/25)*AV140+(1-EXP(-LN(2)/25))/(LN(2)/25)*Calculateur!AQ141*Calculateur!AS141*VLOOKUP('Données projet'!$B$10,Paramètres!$A$1:$I$89,3,0)*0.475*44/12</f>
        <v>0.23539707078629024</v>
      </c>
      <c r="AW141" s="21">
        <f>EXP(-LN(2)/2)*AW140+(1-EXP(-LN(2)/2))/(LN(2)/2)*AQ141*AT141*VLOOKUP('Données projet'!$B$10,Paramètres!$A$1:$I$89,3,0)*0.475*44/12</f>
        <v>3.7965499073633125E-16</v>
      </c>
      <c r="AX141" s="21">
        <f t="shared" si="114"/>
        <v>0.67535937831143655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5.6843418860808015E-14</v>
      </c>
      <c r="BE141" s="13">
        <f>BD141*VLOOKUP('Données projet'!$B$11,Paramètres!$A$1:$I$89,3,0)*VLOOKUP('Données projet'!$B$11,Paramètres!$A$1:$I$89,5,0)</f>
        <v>3.813056537183002E-14</v>
      </c>
      <c r="BF141" s="13">
        <f t="shared" si="145"/>
        <v>6.4086286045526829E-13</v>
      </c>
      <c r="BG141" s="20">
        <f t="shared" si="115"/>
        <v>1.1825802166488628E-12</v>
      </c>
      <c r="BH141" s="59">
        <f t="shared" si="116"/>
        <v>293.33333333333451</v>
      </c>
      <c r="BI141" s="59">
        <f ca="1">AVERAGE(OFFSET($BH$3,0,0,'Données projet'!$E$11+1,1))-AVERAGE(OFFSET($H$3,0,0,'Données projet'!$E$11+1,1))</f>
        <v>181.32837315090507</v>
      </c>
      <c r="BJ141" s="59">
        <f t="shared" si="146"/>
        <v>175.03267817980338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0.64509002166700513</v>
      </c>
      <c r="BQ141" s="21">
        <f>EXP(-LN(2)/25)*BQ140+(1-EXP(-LN(2)/25))/(LN(2)/25)*Calculateur!BL141*Calculateur!BN141*VLOOKUP('Données projet'!$B$11,Paramètres!$A$1:$I$89,3,0)*0.475*44/12</f>
        <v>0.34057473881597056</v>
      </c>
      <c r="BR141" s="21">
        <f>EXP(-LN(2)/2)*BR140+(1-EXP(-LN(2)/2))/(LN(2)/2)*BL141*BO141*VLOOKUP('Données projet'!$B$11,Paramètres!$A$1:$I$89,3,0)*0.475*44/12</f>
        <v>5.8891957232689181E-17</v>
      </c>
      <c r="BS141" s="22">
        <f t="shared" si="117"/>
        <v>0.9856647604829758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574.49999999999989</v>
      </c>
      <c r="BZ141" s="13">
        <f>BY141*VLOOKUP('Données projet'!$B$12,Paramètres!$A$1:$I$89,3,0)*VLOOKUP('Données projet'!$B$12,Paramètres!$A$1:$I$89,5,0)</f>
        <v>268.86599999999999</v>
      </c>
      <c r="CA141" s="13">
        <f t="shared" si="147"/>
        <v>64.608546947682441</v>
      </c>
      <c r="CB141" s="20">
        <f t="shared" si="118"/>
        <v>580.80150260054677</v>
      </c>
      <c r="CC141" s="59">
        <f t="shared" si="119"/>
        <v>874.13483593388014</v>
      </c>
      <c r="CD141" s="59">
        <f ca="1">AVERAGE(OFFSET($CC$3,0,0,'Données projet'!$E$12+1,1))-AVERAGE(OFFSET($H$3,0,0,'Données projet'!$E$12+1,1))</f>
        <v>226.0452828290525</v>
      </c>
      <c r="CE141" s="59">
        <f t="shared" si="148"/>
        <v>179.89696397462069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1.0690793148308293</v>
      </c>
      <c r="CL141" s="21">
        <f>EXP(-LN(2)/25)*CL140+(1-EXP(-LN(2)/25))/(LN(2)/25)*Calculateur!CG141*Calculateur!CI141*VLOOKUP('Données projet'!$B$12,Paramètres!$A$1:$I$89,3,0)*0.475*44/12</f>
        <v>0.55831167005915538</v>
      </c>
      <c r="CM141" s="21">
        <f>EXP(-LN(2)/2)*CM140+(1-EXP(-LN(2)/2))/(LN(2)/2)*CG141*CJ141*VLOOKUP('Données projet'!$B$12,Paramètres!$A$1:$I$89,3,0)*0.475*44/12</f>
        <v>6.130167842010284E-16</v>
      </c>
      <c r="CN141" s="22">
        <f t="shared" si="120"/>
        <v>1.6273909848899855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482.74318690313885</v>
      </c>
      <c r="CZ141" s="59">
        <f t="shared" si="150"/>
        <v>205.57161411620217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1.3520600427080609</v>
      </c>
      <c r="DG141" s="21">
        <f>EXP(-LN(2)/25)*DG140+(1-EXP(-LN(2)/25))/(LN(2)/25)*Calculateur!DB141*Calculateur!DD141*VLOOKUP('Données projet'!$B$13,Paramètres!$A$1:$I$89,3,0)*0.475*44/12</f>
        <v>0.47198488842011377</v>
      </c>
      <c r="DH141" s="21">
        <f>EXP(-LN(2)/2)*DH140+(1-EXP(-LN(2)/2))/(LN(2)/2)*DB141*DE141*VLOOKUP('Données projet'!$B$13,Paramètres!$A$1:$I$89,3,0)*0.475*44/12</f>
        <v>2.5140980499652365E-16</v>
      </c>
      <c r="DI141" s="22">
        <f t="shared" si="123"/>
        <v>1.824044931128175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2.2737367544323206E-13</v>
      </c>
      <c r="DP141" s="17">
        <f>DO141*VLOOKUP('Données projet'!$B$14,Paramètres!$A$1:$I$89,3,0)*VLOOKUP('Données projet'!$B$14,Paramètres!$A$1:$I$89,5,0)</f>
        <v>1.0936673788819462E-13</v>
      </c>
      <c r="DQ141" s="13">
        <f t="shared" si="151"/>
        <v>1.6259645746645945E-12</v>
      </c>
      <c r="DR141" s="20">
        <f t="shared" si="124"/>
        <v>3.0223687026961078E-12</v>
      </c>
      <c r="DS141" s="59">
        <f t="shared" si="125"/>
        <v>293.33333333333633</v>
      </c>
      <c r="DT141" s="59">
        <f ca="1">AVERAGE(OFFSET($DS$3,0,0,'Données projet'!$E$14+1,1))-AVERAGE(OFFSET($H$3,0,0,'Données projet'!$E$14+1,1))</f>
        <v>247.11965163963526</v>
      </c>
      <c r="DU141" s="59">
        <f t="shared" si="152"/>
        <v>61.686311966192704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0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-1.0286385077051818E-13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265.50419397354284</v>
      </c>
      <c r="T142" s="59">
        <f t="shared" si="142"/>
        <v>156.67965022779907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0.38488346263777096</v>
      </c>
      <c r="AA142" s="21">
        <f>EXP(-LN(2)/25)*AA141+(1-EXP(-LN(2)/25))/(LN(2)/25)*Calculateur!V142*Calculateur!X142*VLOOKUP('Données projet'!$B$9,Paramètres!$A$1:$I$89,3,0)*0.475*44/12</f>
        <v>0.20430288122131435</v>
      </c>
      <c r="AB142" s="21">
        <f>EXP(-LN(2)/2)*AB141+(1-EXP(-LN(2)/2))/(LN(2)/2)*V142*Y142*VLOOKUP('Données projet'!$B$9,Paramètres!$A$1:$I$89,3,0)*0.475*44/12</f>
        <v>2.3954590570363978E-16</v>
      </c>
      <c r="AC142" s="22">
        <f t="shared" si="111"/>
        <v>0.58918634385908553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-1.1527845344971866E-13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296.43642006376018</v>
      </c>
      <c r="AO142" s="59">
        <f t="shared" si="144"/>
        <v>179.56041631665812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0.43133491502508808</v>
      </c>
      <c r="AV142" s="21">
        <f>EXP(-LN(2)/25)*AV141+(1-EXP(-LN(2)/25))/(LN(2)/25)*Calculateur!AQ142*Calculateur!AS142*VLOOKUP('Données projet'!$B$10,Paramètres!$A$1:$I$89,3,0)*0.475*44/12</f>
        <v>0.22896012550664518</v>
      </c>
      <c r="AW142" s="21">
        <f>EXP(-LN(2)/2)*AW141+(1-EXP(-LN(2)/2))/(LN(2)/2)*AQ142*AT142*VLOOKUP('Données projet'!$B$10,Paramètres!$A$1:$I$89,3,0)*0.475*44/12</f>
        <v>2.6845661846097571E-16</v>
      </c>
      <c r="AX142" s="21">
        <f t="shared" si="114"/>
        <v>0.66029504053173349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5.6843418860808015E-14</v>
      </c>
      <c r="BE142" s="13">
        <f>BD142*VLOOKUP('Données projet'!$B$11,Paramètres!$A$1:$I$89,3,0)*VLOOKUP('Données projet'!$B$11,Paramètres!$A$1:$I$89,5,0)</f>
        <v>3.813056537183002E-14</v>
      </c>
      <c r="BF142" s="13">
        <f t="shared" si="145"/>
        <v>6.4086286045526829E-13</v>
      </c>
      <c r="BG142" s="20">
        <f t="shared" si="115"/>
        <v>1.1825802166488628E-12</v>
      </c>
      <c r="BH142" s="59">
        <f t="shared" si="116"/>
        <v>293.33333333333451</v>
      </c>
      <c r="BI142" s="59">
        <f ca="1">AVERAGE(OFFSET($BH$3,0,0,'Données projet'!$E$11+1,1))-AVERAGE(OFFSET($H$3,0,0,'Données projet'!$E$11+1,1))</f>
        <v>181.32837315090507</v>
      </c>
      <c r="BJ142" s="59">
        <f t="shared" si="146"/>
        <v>175.03267817980338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0.63244019980817678</v>
      </c>
      <c r="BQ142" s="21">
        <f>EXP(-LN(2)/25)*BQ141+(1-EXP(-LN(2)/25))/(LN(2)/25)*Calculateur!BL142*Calculateur!BN142*VLOOKUP('Données projet'!$B$11,Paramètres!$A$1:$I$89,3,0)*0.475*44/12</f>
        <v>0.3312617046730007</v>
      </c>
      <c r="BR142" s="21">
        <f>EXP(-LN(2)/2)*BR141+(1-EXP(-LN(2)/2))/(LN(2)/2)*BL142*BO142*VLOOKUP('Données projet'!$B$11,Paramètres!$A$1:$I$89,3,0)*0.475*44/12</f>
        <v>4.1642902316582664E-17</v>
      </c>
      <c r="BS142" s="22">
        <f t="shared" si="117"/>
        <v>0.96370190448117743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574.49999999999989</v>
      </c>
      <c r="BZ142" s="13">
        <f>BY142*VLOOKUP('Données projet'!$B$12,Paramètres!$A$1:$I$89,3,0)*VLOOKUP('Données projet'!$B$12,Paramètres!$A$1:$I$89,5,0)</f>
        <v>268.86599999999999</v>
      </c>
      <c r="CA142" s="13">
        <f t="shared" si="147"/>
        <v>64.608546947682441</v>
      </c>
      <c r="CB142" s="20">
        <f t="shared" si="118"/>
        <v>580.80150260054677</v>
      </c>
      <c r="CC142" s="59">
        <f t="shared" si="119"/>
        <v>874.13483593388014</v>
      </c>
      <c r="CD142" s="59">
        <f ca="1">AVERAGE(OFFSET($CC$3,0,0,'Données projet'!$E$12+1,1))-AVERAGE(OFFSET($H$3,0,0,'Données projet'!$E$12+1,1))</f>
        <v>226.0452828290525</v>
      </c>
      <c r="CE142" s="59">
        <f t="shared" si="148"/>
        <v>179.89696397462069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1.0481153215409917</v>
      </c>
      <c r="CL142" s="21">
        <f>EXP(-LN(2)/25)*CL141+(1-EXP(-LN(2)/25))/(LN(2)/25)*Calculateur!CG142*Calculateur!CI142*VLOOKUP('Données projet'!$B$12,Paramètres!$A$1:$I$89,3,0)*0.475*44/12</f>
        <v>0.54304460808105304</v>
      </c>
      <c r="CM142" s="21">
        <f>EXP(-LN(2)/2)*CM141+(1-EXP(-LN(2)/2))/(LN(2)/2)*CG142*CJ142*VLOOKUP('Données projet'!$B$12,Paramètres!$A$1:$I$89,3,0)*0.475*44/12</f>
        <v>4.3346832508971762E-16</v>
      </c>
      <c r="CN142" s="22">
        <f t="shared" si="120"/>
        <v>1.5911599296220453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482.74318690313885</v>
      </c>
      <c r="CZ142" s="59">
        <f t="shared" si="150"/>
        <v>205.57161411620217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1.3255469699457521</v>
      </c>
      <c r="DG142" s="21">
        <f>EXP(-LN(2)/25)*DG141+(1-EXP(-LN(2)/25))/(LN(2)/25)*Calculateur!DB142*Calculateur!DD142*VLOOKUP('Données projet'!$B$13,Paramètres!$A$1:$I$89,3,0)*0.475*44/12</f>
        <v>0.45907843682565919</v>
      </c>
      <c r="DH142" s="21">
        <f>EXP(-LN(2)/2)*DH141+(1-EXP(-LN(2)/2))/(LN(2)/2)*DB142*DE142*VLOOKUP('Données projet'!$B$13,Paramètres!$A$1:$I$89,3,0)*0.475*44/12</f>
        <v>1.7777357796982943E-16</v>
      </c>
      <c r="DI142" s="22">
        <f t="shared" si="123"/>
        <v>1.7846254067714116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2.2737367544323206E-13</v>
      </c>
      <c r="DP142" s="17">
        <f>DO142*VLOOKUP('Données projet'!$B$14,Paramètres!$A$1:$I$89,3,0)*VLOOKUP('Données projet'!$B$14,Paramètres!$A$1:$I$89,5,0)</f>
        <v>1.0936673788819462E-13</v>
      </c>
      <c r="DQ142" s="13">
        <f t="shared" si="151"/>
        <v>1.6259645746645945E-12</v>
      </c>
      <c r="DR142" s="20">
        <f t="shared" si="124"/>
        <v>3.0223687026961078E-12</v>
      </c>
      <c r="DS142" s="59">
        <f t="shared" si="125"/>
        <v>293.33333333333633</v>
      </c>
      <c r="DT142" s="59">
        <f ca="1">AVERAGE(OFFSET($DS$3,0,0,'Données projet'!$E$14+1,1))-AVERAGE(OFFSET($H$3,0,0,'Données projet'!$E$14+1,1))</f>
        <v>247.11965163963526</v>
      </c>
      <c r="DU142" s="59">
        <f t="shared" si="152"/>
        <v>61.686311966192704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0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-1.0286385077051818E-13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265.50419397354284</v>
      </c>
      <c r="T143" s="59">
        <f t="shared" si="142"/>
        <v>156.67965022779907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0.37733613269117627</v>
      </c>
      <c r="AA143" s="21">
        <f>EXP(-LN(2)/25)*AA142+(1-EXP(-LN(2)/25))/(LN(2)/25)*Calculateur!V143*Calculateur!X143*VLOOKUP('Données projet'!$B$9,Paramètres!$A$1:$I$89,3,0)*0.475*44/12</f>
        <v>0.19871620819049593</v>
      </c>
      <c r="AB143" s="21">
        <f>EXP(-LN(2)/2)*AB142+(1-EXP(-LN(2)/2))/(LN(2)/2)*V143*Y143*VLOOKUP('Données projet'!$B$9,Paramètres!$A$1:$I$89,3,0)*0.475*44/12</f>
        <v>1.6938453432851696E-16</v>
      </c>
      <c r="AC143" s="22">
        <f t="shared" si="111"/>
        <v>0.57605234088167245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-1.1527845344971866E-13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296.43642006376018</v>
      </c>
      <c r="AO143" s="59">
        <f t="shared" si="144"/>
        <v>179.56041631665812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0.42287670042976644</v>
      </c>
      <c r="AV143" s="21">
        <f>EXP(-LN(2)/25)*AV142+(1-EXP(-LN(2)/25))/(LN(2)/25)*Calculateur!AQ143*Calculateur!AS143*VLOOKUP('Données projet'!$B$10,Paramètres!$A$1:$I$89,3,0)*0.475*44/12</f>
        <v>0.22269919883417627</v>
      </c>
      <c r="AW143" s="21">
        <f>EXP(-LN(2)/2)*AW142+(1-EXP(-LN(2)/2))/(LN(2)/2)*AQ143*AT143*VLOOKUP('Données projet'!$B$10,Paramètres!$A$1:$I$89,3,0)*0.475*44/12</f>
        <v>1.8982749536816563E-16</v>
      </c>
      <c r="AX143" s="21">
        <f t="shared" si="114"/>
        <v>0.64557589926394288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5.6843418860808015E-14</v>
      </c>
      <c r="BE143" s="13">
        <f>BD143*VLOOKUP('Données projet'!$B$11,Paramètres!$A$1:$I$89,3,0)*VLOOKUP('Données projet'!$B$11,Paramètres!$A$1:$I$89,5,0)</f>
        <v>3.813056537183002E-14</v>
      </c>
      <c r="BF143" s="13">
        <f t="shared" si="145"/>
        <v>6.4086286045526829E-13</v>
      </c>
      <c r="BG143" s="20">
        <f t="shared" si="115"/>
        <v>1.1825802166488628E-12</v>
      </c>
      <c r="BH143" s="59">
        <f t="shared" si="116"/>
        <v>293.33333333333451</v>
      </c>
      <c r="BI143" s="59">
        <f ca="1">AVERAGE(OFFSET($BH$3,0,0,'Données projet'!$E$11+1,1))-AVERAGE(OFFSET($H$3,0,0,'Données projet'!$E$11+1,1))</f>
        <v>181.32837315090507</v>
      </c>
      <c r="BJ143" s="59">
        <f t="shared" si="146"/>
        <v>175.03267817980338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0.62003843324037067</v>
      </c>
      <c r="BQ143" s="21">
        <f>EXP(-LN(2)/25)*BQ142+(1-EXP(-LN(2)/25))/(LN(2)/25)*Calculateur!BL143*Calculateur!BN143*VLOOKUP('Données projet'!$B$11,Paramètres!$A$1:$I$89,3,0)*0.475*44/12</f>
        <v>0.32220333593842154</v>
      </c>
      <c r="BR143" s="21">
        <f>EXP(-LN(2)/2)*BR142+(1-EXP(-LN(2)/2))/(LN(2)/2)*BL143*BO143*VLOOKUP('Données projet'!$B$11,Paramètres!$A$1:$I$89,3,0)*0.475*44/12</f>
        <v>2.9445978616344591E-17</v>
      </c>
      <c r="BS143" s="22">
        <f t="shared" si="117"/>
        <v>0.94224176917879221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574.49999999999989</v>
      </c>
      <c r="BZ143" s="13">
        <f>BY143*VLOOKUP('Données projet'!$B$12,Paramètres!$A$1:$I$89,3,0)*VLOOKUP('Données projet'!$B$12,Paramètres!$A$1:$I$89,5,0)</f>
        <v>268.86599999999999</v>
      </c>
      <c r="CA143" s="13">
        <f t="shared" si="147"/>
        <v>64.608546947682441</v>
      </c>
      <c r="CB143" s="20">
        <f t="shared" si="118"/>
        <v>580.80150260054677</v>
      </c>
      <c r="CC143" s="59">
        <f t="shared" si="119"/>
        <v>874.13483593388014</v>
      </c>
      <c r="CD143" s="59">
        <f ca="1">AVERAGE(OFFSET($CC$3,0,0,'Données projet'!$E$12+1,1))-AVERAGE(OFFSET($H$3,0,0,'Données projet'!$E$12+1,1))</f>
        <v>226.0452828290525</v>
      </c>
      <c r="CE143" s="59">
        <f t="shared" si="148"/>
        <v>179.89696397462069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1.0275624193727946</v>
      </c>
      <c r="CL143" s="21">
        <f>EXP(-LN(2)/25)*CL142+(1-EXP(-LN(2)/25))/(LN(2)/25)*Calculateur!CG143*Calculateur!CI143*VLOOKUP('Données projet'!$B$12,Paramètres!$A$1:$I$89,3,0)*0.475*44/12</f>
        <v>0.52819502471560187</v>
      </c>
      <c r="CM143" s="21">
        <f>EXP(-LN(2)/2)*CM142+(1-EXP(-LN(2)/2))/(LN(2)/2)*CG143*CJ143*VLOOKUP('Données projet'!$B$12,Paramètres!$A$1:$I$89,3,0)*0.475*44/12</f>
        <v>3.0650839210051425E-16</v>
      </c>
      <c r="CN143" s="22">
        <f t="shared" si="120"/>
        <v>1.5557574440883968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482.74318690313885</v>
      </c>
      <c r="CZ143" s="59">
        <f t="shared" si="150"/>
        <v>205.57161411620217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1.2995538023689344</v>
      </c>
      <c r="DG143" s="21">
        <f>EXP(-LN(2)/25)*DG142+(1-EXP(-LN(2)/25))/(LN(2)/25)*Calculateur!DB143*Calculateur!DD143*VLOOKUP('Données projet'!$B$13,Paramètres!$A$1:$I$89,3,0)*0.475*44/12</f>
        <v>0.44652491282877577</v>
      </c>
      <c r="DH143" s="21">
        <f>EXP(-LN(2)/2)*DH142+(1-EXP(-LN(2)/2))/(LN(2)/2)*DB143*DE143*VLOOKUP('Données projet'!$B$13,Paramètres!$A$1:$I$89,3,0)*0.475*44/12</f>
        <v>1.2570490249826183E-16</v>
      </c>
      <c r="DI143" s="22">
        <f t="shared" si="123"/>
        <v>1.7460787151977104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2.2737367544323206E-13</v>
      </c>
      <c r="DP143" s="17">
        <f>DO143*VLOOKUP('Données projet'!$B$14,Paramètres!$A$1:$I$89,3,0)*VLOOKUP('Données projet'!$B$14,Paramètres!$A$1:$I$89,5,0)</f>
        <v>1.0936673788819462E-13</v>
      </c>
      <c r="DQ143" s="13">
        <f t="shared" si="151"/>
        <v>1.6259645746645945E-12</v>
      </c>
      <c r="DR143" s="20">
        <f t="shared" si="124"/>
        <v>3.0223687026961078E-12</v>
      </c>
      <c r="DS143" s="59">
        <f t="shared" si="125"/>
        <v>293.33333333333633</v>
      </c>
      <c r="DT143" s="59">
        <f ca="1">AVERAGE(OFFSET($DS$3,0,0,'Données projet'!$E$14+1,1))-AVERAGE(OFFSET($H$3,0,0,'Données projet'!$E$14+1,1))</f>
        <v>247.11965163963526</v>
      </c>
      <c r="DU143" s="59">
        <f t="shared" si="152"/>
        <v>61.686311966192704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0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-1.0286385077051818E-13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265.50419397354284</v>
      </c>
      <c r="T144" s="59">
        <f t="shared" si="142"/>
        <v>156.67965022779907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0.36993680128141759</v>
      </c>
      <c r="AA144" s="21">
        <f>EXP(-LN(2)/25)*AA143+(1-EXP(-LN(2)/25))/(LN(2)/25)*Calculateur!V144*Calculateur!X144*VLOOKUP('Données projet'!$B$9,Paramètres!$A$1:$I$89,3,0)*0.475*44/12</f>
        <v>0.19328230302749561</v>
      </c>
      <c r="AB144" s="21">
        <f>EXP(-LN(2)/2)*AB143+(1-EXP(-LN(2)/2))/(LN(2)/2)*V144*Y144*VLOOKUP('Données projet'!$B$9,Paramètres!$A$1:$I$89,3,0)*0.475*44/12</f>
        <v>1.1977295285181989E-16</v>
      </c>
      <c r="AC144" s="22">
        <f t="shared" si="111"/>
        <v>0.56321910430891331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-1.1527845344971866E-13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296.43642006376018</v>
      </c>
      <c r="AO144" s="59">
        <f t="shared" si="144"/>
        <v>179.56041631665812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0.41458434626365759</v>
      </c>
      <c r="AV144" s="21">
        <f>EXP(-LN(2)/25)*AV143+(1-EXP(-LN(2)/25))/(LN(2)/25)*Calculateur!AQ144*Calculateur!AS144*VLOOKUP('Données projet'!$B$10,Paramètres!$A$1:$I$89,3,0)*0.475*44/12</f>
        <v>0.21660947753081383</v>
      </c>
      <c r="AW144" s="21">
        <f>EXP(-LN(2)/2)*AW143+(1-EXP(-LN(2)/2))/(LN(2)/2)*AQ144*AT144*VLOOKUP('Données projet'!$B$10,Paramètres!$A$1:$I$89,3,0)*0.475*44/12</f>
        <v>1.3422830923048785E-16</v>
      </c>
      <c r="AX144" s="21">
        <f t="shared" si="114"/>
        <v>0.63119382379447153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5.6843418860808015E-14</v>
      </c>
      <c r="BE144" s="13">
        <f>BD144*VLOOKUP('Données projet'!$B$11,Paramètres!$A$1:$I$89,3,0)*VLOOKUP('Données projet'!$B$11,Paramètres!$A$1:$I$89,5,0)</f>
        <v>3.813056537183002E-14</v>
      </c>
      <c r="BF144" s="13">
        <f t="shared" si="145"/>
        <v>6.4086286045526829E-13</v>
      </c>
      <c r="BG144" s="20">
        <f t="shared" si="115"/>
        <v>1.1825802166488628E-12</v>
      </c>
      <c r="BH144" s="59">
        <f t="shared" si="116"/>
        <v>293.33333333333451</v>
      </c>
      <c r="BI144" s="59">
        <f ca="1">AVERAGE(OFFSET($BH$3,0,0,'Données projet'!$E$11+1,1))-AVERAGE(OFFSET($H$3,0,0,'Données projet'!$E$11+1,1))</f>
        <v>181.32837315090507</v>
      </c>
      <c r="BJ144" s="59">
        <f t="shared" si="146"/>
        <v>175.03267817980338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0.60787985775062847</v>
      </c>
      <c r="BQ144" s="21">
        <f>EXP(-LN(2)/25)*BQ143+(1-EXP(-LN(2)/25))/(LN(2)/25)*Calculateur!BL144*Calculateur!BN144*VLOOKUP('Données projet'!$B$11,Paramètres!$A$1:$I$89,3,0)*0.475*44/12</f>
        <v>0.3133926687732484</v>
      </c>
      <c r="BR144" s="21">
        <f>EXP(-LN(2)/2)*BR143+(1-EXP(-LN(2)/2))/(LN(2)/2)*BL144*BO144*VLOOKUP('Données projet'!$B$11,Paramètres!$A$1:$I$89,3,0)*0.475*44/12</f>
        <v>2.0821451158291332E-17</v>
      </c>
      <c r="BS144" s="22">
        <f t="shared" si="117"/>
        <v>0.92127252652387681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574.49999999999989</v>
      </c>
      <c r="BZ144" s="13">
        <f>BY144*VLOOKUP('Données projet'!$B$12,Paramètres!$A$1:$I$89,3,0)*VLOOKUP('Données projet'!$B$12,Paramètres!$A$1:$I$89,5,0)</f>
        <v>268.86599999999999</v>
      </c>
      <c r="CA144" s="13">
        <f t="shared" si="147"/>
        <v>64.608546947682441</v>
      </c>
      <c r="CB144" s="20">
        <f t="shared" si="118"/>
        <v>580.80150260054677</v>
      </c>
      <c r="CC144" s="59">
        <f t="shared" si="119"/>
        <v>874.13483593388014</v>
      </c>
      <c r="CD144" s="59">
        <f ca="1">AVERAGE(OFFSET($CC$3,0,0,'Données projet'!$E$12+1,1))-AVERAGE(OFFSET($H$3,0,0,'Données projet'!$E$12+1,1))</f>
        <v>226.0452828290525</v>
      </c>
      <c r="CE144" s="59">
        <f t="shared" si="148"/>
        <v>179.89696397462069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1.0074125470800834</v>
      </c>
      <c r="CL144" s="21">
        <f>EXP(-LN(2)/25)*CL143+(1-EXP(-LN(2)/25))/(LN(2)/25)*Calculateur!CG144*Calculateur!CI144*VLOOKUP('Données projet'!$B$12,Paramètres!$A$1:$I$89,3,0)*0.475*44/12</f>
        <v>0.51375150398818459</v>
      </c>
      <c r="CM144" s="21">
        <f>EXP(-LN(2)/2)*CM143+(1-EXP(-LN(2)/2))/(LN(2)/2)*CG144*CJ144*VLOOKUP('Données projet'!$B$12,Paramètres!$A$1:$I$89,3,0)*0.475*44/12</f>
        <v>2.1673416254485886E-16</v>
      </c>
      <c r="CN144" s="22">
        <f t="shared" si="120"/>
        <v>1.5211640510682682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482.74318690313885</v>
      </c>
      <c r="CZ144" s="59">
        <f t="shared" si="150"/>
        <v>205.57161411620217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1.2740703449540314</v>
      </c>
      <c r="DG144" s="21">
        <f>EXP(-LN(2)/25)*DG143+(1-EXP(-LN(2)/25))/(LN(2)/25)*Calculateur!DB144*Calculateur!DD144*VLOOKUP('Données projet'!$B$13,Paramètres!$A$1:$I$89,3,0)*0.475*44/12</f>
        <v>0.43431466560574827</v>
      </c>
      <c r="DH144" s="21">
        <f>EXP(-LN(2)/2)*DH143+(1-EXP(-LN(2)/2))/(LN(2)/2)*DB144*DE144*VLOOKUP('Données projet'!$B$13,Paramètres!$A$1:$I$89,3,0)*0.475*44/12</f>
        <v>8.8886788984914716E-17</v>
      </c>
      <c r="DI144" s="22">
        <f t="shared" si="123"/>
        <v>1.7083850105597795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2.2737367544323206E-13</v>
      </c>
      <c r="DP144" s="17">
        <f>DO144*VLOOKUP('Données projet'!$B$14,Paramètres!$A$1:$I$89,3,0)*VLOOKUP('Données projet'!$B$14,Paramètres!$A$1:$I$89,5,0)</f>
        <v>1.0936673788819462E-13</v>
      </c>
      <c r="DQ144" s="13">
        <f t="shared" si="151"/>
        <v>1.6259645746645945E-12</v>
      </c>
      <c r="DR144" s="20">
        <f t="shared" si="124"/>
        <v>3.0223687026961078E-12</v>
      </c>
      <c r="DS144" s="59">
        <f t="shared" si="125"/>
        <v>293.33333333333633</v>
      </c>
      <c r="DT144" s="59">
        <f ca="1">AVERAGE(OFFSET($DS$3,0,0,'Données projet'!$E$14+1,1))-AVERAGE(OFFSET($H$3,0,0,'Données projet'!$E$14+1,1))</f>
        <v>247.11965163963526</v>
      </c>
      <c r="DU144" s="59">
        <f t="shared" si="152"/>
        <v>61.686311966192704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0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-1.0286385077051818E-13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265.50419397354284</v>
      </c>
      <c r="T145" s="59">
        <f t="shared" si="142"/>
        <v>156.67965022779907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0.36268256624745776</v>
      </c>
      <c r="AA145" s="21">
        <f>EXP(-LN(2)/25)*AA144+(1-EXP(-LN(2)/25))/(LN(2)/25)*Calculateur!V145*Calculateur!X145*VLOOKUP('Données projet'!$B$9,Paramètres!$A$1:$I$89,3,0)*0.475*44/12</f>
        <v>0.18799698828693417</v>
      </c>
      <c r="AB145" s="21">
        <f>EXP(-LN(2)/2)*AB144+(1-EXP(-LN(2)/2))/(LN(2)/2)*V145*Y145*VLOOKUP('Données projet'!$B$9,Paramètres!$A$1:$I$89,3,0)*0.475*44/12</f>
        <v>8.4692267164258482E-17</v>
      </c>
      <c r="AC145" s="22">
        <f t="shared" si="111"/>
        <v>0.55067955453439199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-1.1527845344971866E-13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296.43642006376018</v>
      </c>
      <c r="AO145" s="59">
        <f t="shared" si="144"/>
        <v>179.56041631665812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0.40645460010490952</v>
      </c>
      <c r="AV145" s="21">
        <f>EXP(-LN(2)/25)*AV144+(1-EXP(-LN(2)/25))/(LN(2)/25)*Calculateur!AQ145*Calculateur!AS145*VLOOKUP('Données projet'!$B$10,Paramètres!$A$1:$I$89,3,0)*0.475*44/12</f>
        <v>0.21068627997673636</v>
      </c>
      <c r="AW145" s="21">
        <f>EXP(-LN(2)/2)*AW144+(1-EXP(-LN(2)/2))/(LN(2)/2)*AQ145*AT145*VLOOKUP('Données projet'!$B$10,Paramètres!$A$1:$I$89,3,0)*0.475*44/12</f>
        <v>9.4913747684082814E-17</v>
      </c>
      <c r="AX145" s="21">
        <f t="shared" si="114"/>
        <v>0.61714088008164603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5.6843418860808015E-14</v>
      </c>
      <c r="BE145" s="13">
        <f>BD145*VLOOKUP('Données projet'!$B$11,Paramètres!$A$1:$I$89,3,0)*VLOOKUP('Données projet'!$B$11,Paramètres!$A$1:$I$89,5,0)</f>
        <v>3.813056537183002E-14</v>
      </c>
      <c r="BF145" s="13">
        <f t="shared" si="145"/>
        <v>6.4086286045526829E-13</v>
      </c>
      <c r="BG145" s="20">
        <f t="shared" si="115"/>
        <v>1.1825802166488628E-12</v>
      </c>
      <c r="BH145" s="59">
        <f t="shared" si="116"/>
        <v>293.33333333333451</v>
      </c>
      <c r="BI145" s="59">
        <f ca="1">AVERAGE(OFFSET($BH$3,0,0,'Données projet'!$E$11+1,1))-AVERAGE(OFFSET($H$3,0,0,'Données projet'!$E$11+1,1))</f>
        <v>181.32837315090507</v>
      </c>
      <c r="BJ145" s="59">
        <f t="shared" si="146"/>
        <v>175.03267817980338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0.59595970451024138</v>
      </c>
      <c r="BQ145" s="21">
        <f>EXP(-LN(2)/25)*BQ144+(1-EXP(-LN(2)/25))/(LN(2)/25)*Calculateur!BL145*Calculateur!BN145*VLOOKUP('Données projet'!$B$11,Paramètres!$A$1:$I$89,3,0)*0.475*44/12</f>
        <v>0.30482292976503972</v>
      </c>
      <c r="BR145" s="21">
        <f>EXP(-LN(2)/2)*BR144+(1-EXP(-LN(2)/2))/(LN(2)/2)*BL145*BO145*VLOOKUP('Données projet'!$B$11,Paramètres!$A$1:$I$89,3,0)*0.475*44/12</f>
        <v>1.4722989308172295E-17</v>
      </c>
      <c r="BS145" s="22">
        <f t="shared" si="117"/>
        <v>0.90078263427528116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574.49999999999989</v>
      </c>
      <c r="BZ145" s="13">
        <f>BY145*VLOOKUP('Données projet'!$B$12,Paramètres!$A$1:$I$89,3,0)*VLOOKUP('Données projet'!$B$12,Paramètres!$A$1:$I$89,5,0)</f>
        <v>268.86599999999999</v>
      </c>
      <c r="CA145" s="13">
        <f t="shared" si="147"/>
        <v>64.608546947682441</v>
      </c>
      <c r="CB145" s="20">
        <f t="shared" si="118"/>
        <v>580.80150260054677</v>
      </c>
      <c r="CC145" s="59">
        <f t="shared" si="119"/>
        <v>874.13483593388014</v>
      </c>
      <c r="CD145" s="59">
        <f ca="1">AVERAGE(OFFSET($CC$3,0,0,'Données projet'!$E$12+1,1))-AVERAGE(OFFSET($H$3,0,0,'Données projet'!$E$12+1,1))</f>
        <v>226.0452828290525</v>
      </c>
      <c r="CE145" s="59">
        <f t="shared" si="148"/>
        <v>179.89696397462069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0.98765780149282378</v>
      </c>
      <c r="CL145" s="21">
        <f>EXP(-LN(2)/25)*CL144+(1-EXP(-LN(2)/25))/(LN(2)/25)*Calculateur!CG145*Calculateur!CI145*VLOOKUP('Données projet'!$B$12,Paramètres!$A$1:$I$89,3,0)*0.475*44/12</f>
        <v>0.4997029420946103</v>
      </c>
      <c r="CM145" s="21">
        <f>EXP(-LN(2)/2)*CM144+(1-EXP(-LN(2)/2))/(LN(2)/2)*CG145*CJ145*VLOOKUP('Données projet'!$B$12,Paramètres!$A$1:$I$89,3,0)*0.475*44/12</f>
        <v>1.5325419605025715E-16</v>
      </c>
      <c r="CN145" s="22">
        <f t="shared" si="120"/>
        <v>1.4873607435874343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482.74318690313885</v>
      </c>
      <c r="CZ145" s="59">
        <f t="shared" si="150"/>
        <v>205.57161411620217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1.2490866025956604</v>
      </c>
      <c r="DG145" s="21">
        <f>EXP(-LN(2)/25)*DG144+(1-EXP(-LN(2)/25))/(LN(2)/25)*Calculateur!DB145*Calculateur!DD145*VLOOKUP('Données projet'!$B$13,Paramètres!$A$1:$I$89,3,0)*0.475*44/12</f>
        <v>0.42243830823514344</v>
      </c>
      <c r="DH145" s="21">
        <f>EXP(-LN(2)/2)*DH144+(1-EXP(-LN(2)/2))/(LN(2)/2)*DB145*DE145*VLOOKUP('Données projet'!$B$13,Paramètres!$A$1:$I$89,3,0)*0.475*44/12</f>
        <v>6.2852451249130913E-17</v>
      </c>
      <c r="DI145" s="22">
        <f t="shared" si="123"/>
        <v>1.6715249108308039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2.2737367544323206E-13</v>
      </c>
      <c r="DP145" s="17">
        <f>DO145*VLOOKUP('Données projet'!$B$14,Paramètres!$A$1:$I$89,3,0)*VLOOKUP('Données projet'!$B$14,Paramètres!$A$1:$I$89,5,0)</f>
        <v>1.0936673788819462E-13</v>
      </c>
      <c r="DQ145" s="13">
        <f t="shared" si="151"/>
        <v>1.6259645746645945E-12</v>
      </c>
      <c r="DR145" s="20">
        <f t="shared" si="124"/>
        <v>3.0223687026961078E-12</v>
      </c>
      <c r="DS145" s="59">
        <f t="shared" si="125"/>
        <v>293.33333333333633</v>
      </c>
      <c r="DT145" s="59">
        <f ca="1">AVERAGE(OFFSET($DS$3,0,0,'Données projet'!$E$14+1,1))-AVERAGE(OFFSET($H$3,0,0,'Données projet'!$E$14+1,1))</f>
        <v>247.11965163963526</v>
      </c>
      <c r="DU145" s="59">
        <f t="shared" si="152"/>
        <v>61.686311966192704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0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-1.0286385077051818E-13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265.50419397354284</v>
      </c>
      <c r="T146" s="59">
        <f t="shared" si="142"/>
        <v>156.67965022779907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0.35557058233786742</v>
      </c>
      <c r="AA146" s="21">
        <f>EXP(-LN(2)/25)*AA145+(1-EXP(-LN(2)/25))/(LN(2)/25)*Calculateur!V146*Calculateur!X146*VLOOKUP('Données projet'!$B$9,Paramètres!$A$1:$I$89,3,0)*0.475*44/12</f>
        <v>0.18285620075589601</v>
      </c>
      <c r="AB146" s="21">
        <f>EXP(-LN(2)/2)*AB145+(1-EXP(-LN(2)/2))/(LN(2)/2)*V146*Y146*VLOOKUP('Données projet'!$B$9,Paramètres!$A$1:$I$89,3,0)*0.475*44/12</f>
        <v>5.9886476425909946E-17</v>
      </c>
      <c r="AC146" s="22">
        <f t="shared" si="111"/>
        <v>0.53842678309376357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-1.1527845344971866E-13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296.43642006376018</v>
      </c>
      <c r="AO146" s="59">
        <f t="shared" si="144"/>
        <v>179.56041631665812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0.39848427330967895</v>
      </c>
      <c r="AV146" s="21">
        <f>EXP(-LN(2)/25)*AV145+(1-EXP(-LN(2)/25))/(LN(2)/25)*Calculateur!AQ146*Calculateur!AS146*VLOOKUP('Données projet'!$B$10,Paramètres!$A$1:$I$89,3,0)*0.475*44/12</f>
        <v>0.20492505257126256</v>
      </c>
      <c r="AW146" s="21">
        <f>EXP(-LN(2)/2)*AW145+(1-EXP(-LN(2)/2))/(LN(2)/2)*AQ146*AT146*VLOOKUP('Données projet'!$B$10,Paramètres!$A$1:$I$89,3,0)*0.475*44/12</f>
        <v>6.7114154615243927E-17</v>
      </c>
      <c r="AX146" s="21">
        <f t="shared" si="114"/>
        <v>0.60340932588094165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5.6843418860808015E-14</v>
      </c>
      <c r="BE146" s="13">
        <f>BD146*VLOOKUP('Données projet'!$B$11,Paramètres!$A$1:$I$89,3,0)*VLOOKUP('Données projet'!$B$11,Paramètres!$A$1:$I$89,5,0)</f>
        <v>3.813056537183002E-14</v>
      </c>
      <c r="BF146" s="13">
        <f t="shared" si="145"/>
        <v>6.4086286045526829E-13</v>
      </c>
      <c r="BG146" s="20">
        <f t="shared" si="115"/>
        <v>1.1825802166488628E-12</v>
      </c>
      <c r="BH146" s="59">
        <f t="shared" si="116"/>
        <v>293.33333333333451</v>
      </c>
      <c r="BI146" s="59">
        <f ca="1">AVERAGE(OFFSET($BH$3,0,0,'Données projet'!$E$11+1,1))-AVERAGE(OFFSET($H$3,0,0,'Données projet'!$E$11+1,1))</f>
        <v>181.32837315090507</v>
      </c>
      <c r="BJ146" s="59">
        <f t="shared" si="146"/>
        <v>175.03267817980338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0.58427329820432272</v>
      </c>
      <c r="BQ146" s="21">
        <f>EXP(-LN(2)/25)*BQ145+(1-EXP(-LN(2)/25))/(LN(2)/25)*Calculateur!BL146*Calculateur!BN146*VLOOKUP('Données projet'!$B$11,Paramètres!$A$1:$I$89,3,0)*0.475*44/12</f>
        <v>0.29648753072067352</v>
      </c>
      <c r="BR146" s="21">
        <f>EXP(-LN(2)/2)*BR145+(1-EXP(-LN(2)/2))/(LN(2)/2)*BL146*BO146*VLOOKUP('Données projet'!$B$11,Paramètres!$A$1:$I$89,3,0)*0.475*44/12</f>
        <v>1.0410725579145666E-17</v>
      </c>
      <c r="BS146" s="22">
        <f t="shared" si="117"/>
        <v>0.88076082892499619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574.49999999999989</v>
      </c>
      <c r="BZ146" s="13">
        <f>BY146*VLOOKUP('Données projet'!$B$12,Paramètres!$A$1:$I$89,3,0)*VLOOKUP('Données projet'!$B$12,Paramètres!$A$1:$I$89,5,0)</f>
        <v>268.86599999999999</v>
      </c>
      <c r="CA146" s="13">
        <f t="shared" si="147"/>
        <v>64.608546947682441</v>
      </c>
      <c r="CB146" s="20">
        <f t="shared" si="118"/>
        <v>580.80150260054677</v>
      </c>
      <c r="CC146" s="59">
        <f t="shared" si="119"/>
        <v>874.13483593388014</v>
      </c>
      <c r="CD146" s="59">
        <f ca="1">AVERAGE(OFFSET($CC$3,0,0,'Données projet'!$E$12+1,1))-AVERAGE(OFFSET($H$3,0,0,'Données projet'!$E$12+1,1))</f>
        <v>226.0452828290525</v>
      </c>
      <c r="CE146" s="59">
        <f t="shared" si="148"/>
        <v>179.89696397462069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0.96829043441732521</v>
      </c>
      <c r="CL146" s="21">
        <f>EXP(-LN(2)/25)*CL145+(1-EXP(-LN(2)/25))/(LN(2)/25)*Calculateur!CG146*Calculateur!CI146*VLOOKUP('Données projet'!$B$12,Paramètres!$A$1:$I$89,3,0)*0.475*44/12</f>
        <v>0.48603853886479753</v>
      </c>
      <c r="CM146" s="21">
        <f>EXP(-LN(2)/2)*CM145+(1-EXP(-LN(2)/2))/(LN(2)/2)*CG146*CJ146*VLOOKUP('Données projet'!$B$12,Paramètres!$A$1:$I$89,3,0)*0.475*44/12</f>
        <v>1.0836708127242944E-16</v>
      </c>
      <c r="CN146" s="22">
        <f t="shared" si="120"/>
        <v>1.4543289732821227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482.74318690313885</v>
      </c>
      <c r="CZ146" s="59">
        <f t="shared" si="150"/>
        <v>205.57161411620217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1.2245927761863589</v>
      </c>
      <c r="DG146" s="21">
        <f>EXP(-LN(2)/25)*DG145+(1-EXP(-LN(2)/25))/(LN(2)/25)*Calculateur!DB146*Calculateur!DD146*VLOOKUP('Données projet'!$B$13,Paramètres!$A$1:$I$89,3,0)*0.475*44/12</f>
        <v>0.41088671048138831</v>
      </c>
      <c r="DH146" s="21">
        <f>EXP(-LN(2)/2)*DH145+(1-EXP(-LN(2)/2))/(LN(2)/2)*DB146*DE146*VLOOKUP('Données projet'!$B$13,Paramètres!$A$1:$I$89,3,0)*0.475*44/12</f>
        <v>4.4443394492457358E-17</v>
      </c>
      <c r="DI146" s="22">
        <f t="shared" si="123"/>
        <v>1.6354794866677471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2.2737367544323206E-13</v>
      </c>
      <c r="DP146" s="17">
        <f>DO146*VLOOKUP('Données projet'!$B$14,Paramètres!$A$1:$I$89,3,0)*VLOOKUP('Données projet'!$B$14,Paramètres!$A$1:$I$89,5,0)</f>
        <v>1.0936673788819462E-13</v>
      </c>
      <c r="DQ146" s="13">
        <f t="shared" si="151"/>
        <v>1.6259645746645945E-12</v>
      </c>
      <c r="DR146" s="20">
        <f t="shared" si="124"/>
        <v>3.0223687026961078E-12</v>
      </c>
      <c r="DS146" s="59">
        <f t="shared" si="125"/>
        <v>293.33333333333633</v>
      </c>
      <c r="DT146" s="59">
        <f ca="1">AVERAGE(OFFSET($DS$3,0,0,'Données projet'!$E$14+1,1))-AVERAGE(OFFSET($H$3,0,0,'Données projet'!$E$14+1,1))</f>
        <v>247.11965163963526</v>
      </c>
      <c r="DU146" s="59">
        <f t="shared" si="152"/>
        <v>61.686311966192704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0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-1.0286385077051818E-13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265.50419397354284</v>
      </c>
      <c r="T147" s="59">
        <f t="shared" si="142"/>
        <v>156.67965022779907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0.34859806009486227</v>
      </c>
      <c r="AA147" s="21">
        <f>EXP(-LN(2)/25)*AA146+(1-EXP(-LN(2)/25))/(LN(2)/25)*Calculateur!V147*Calculateur!X147*VLOOKUP('Données projet'!$B$9,Paramètres!$A$1:$I$89,3,0)*0.475*44/12</f>
        <v>0.17785598833023636</v>
      </c>
      <c r="AB147" s="21">
        <f>EXP(-LN(2)/2)*AB146+(1-EXP(-LN(2)/2))/(LN(2)/2)*V147*Y147*VLOOKUP('Données projet'!$B$9,Paramètres!$A$1:$I$89,3,0)*0.475*44/12</f>
        <v>4.2346133582129241E-17</v>
      </c>
      <c r="AC147" s="22">
        <f t="shared" si="111"/>
        <v>0.52645404842509858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-1.1527845344971866E-13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296.43642006376018</v>
      </c>
      <c r="AO147" s="59">
        <f t="shared" si="144"/>
        <v>179.56041631665812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0.39067023976148352</v>
      </c>
      <c r="AV147" s="21">
        <f>EXP(-LN(2)/25)*AV146+(1-EXP(-LN(2)/25))/(LN(2)/25)*Calculateur!AQ147*Calculateur!AS147*VLOOKUP('Données projet'!$B$10,Paramètres!$A$1:$I$89,3,0)*0.475*44/12</f>
        <v>0.19932136623216123</v>
      </c>
      <c r="AW147" s="21">
        <f>EXP(-LN(2)/2)*AW146+(1-EXP(-LN(2)/2))/(LN(2)/2)*AQ147*AT147*VLOOKUP('Données projet'!$B$10,Paramètres!$A$1:$I$89,3,0)*0.475*44/12</f>
        <v>4.7456873842041407E-17</v>
      </c>
      <c r="AX147" s="21">
        <f t="shared" si="114"/>
        <v>0.58999160599364475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5.6843418860808015E-14</v>
      </c>
      <c r="BE147" s="13">
        <f>BD147*VLOOKUP('Données projet'!$B$11,Paramètres!$A$1:$I$89,3,0)*VLOOKUP('Données projet'!$B$11,Paramètres!$A$1:$I$89,5,0)</f>
        <v>3.813056537183002E-14</v>
      </c>
      <c r="BF147" s="13">
        <f t="shared" si="145"/>
        <v>6.4086286045526829E-13</v>
      </c>
      <c r="BG147" s="20">
        <f t="shared" si="115"/>
        <v>1.1825802166488628E-12</v>
      </c>
      <c r="BH147" s="59">
        <f t="shared" si="116"/>
        <v>293.33333333333451</v>
      </c>
      <c r="BI147" s="59">
        <f ca="1">AVERAGE(OFFSET($BH$3,0,0,'Données projet'!$E$11+1,1))-AVERAGE(OFFSET($H$3,0,0,'Données projet'!$E$11+1,1))</f>
        <v>181.32837315090507</v>
      </c>
      <c r="BJ147" s="59">
        <f t="shared" si="146"/>
        <v>175.03267817980338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0.57281605519805912</v>
      </c>
      <c r="BQ147" s="21">
        <f>EXP(-LN(2)/25)*BQ146+(1-EXP(-LN(2)/25))/(LN(2)/25)*Calculateur!BL147*Calculateur!BN147*VLOOKUP('Données projet'!$B$11,Paramètres!$A$1:$I$89,3,0)*0.475*44/12</f>
        <v>0.28838006360151508</v>
      </c>
      <c r="BR147" s="21">
        <f>EXP(-LN(2)/2)*BR146+(1-EXP(-LN(2)/2))/(LN(2)/2)*BL147*BO147*VLOOKUP('Données projet'!$B$11,Paramètres!$A$1:$I$89,3,0)*0.475*44/12</f>
        <v>7.3614946540861476E-18</v>
      </c>
      <c r="BS147" s="22">
        <f t="shared" si="117"/>
        <v>0.86119611879957425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574.49999999999989</v>
      </c>
      <c r="BZ147" s="13">
        <f>BY147*VLOOKUP('Données projet'!$B$12,Paramètres!$A$1:$I$89,3,0)*VLOOKUP('Données projet'!$B$12,Paramètres!$A$1:$I$89,5,0)</f>
        <v>268.86599999999999</v>
      </c>
      <c r="CA147" s="13">
        <f t="shared" si="147"/>
        <v>64.608546947682441</v>
      </c>
      <c r="CB147" s="20">
        <f t="shared" si="118"/>
        <v>580.80150260054677</v>
      </c>
      <c r="CC147" s="59">
        <f t="shared" si="119"/>
        <v>874.13483593388014</v>
      </c>
      <c r="CD147" s="59">
        <f ca="1">AVERAGE(OFFSET($CC$3,0,0,'Données projet'!$E$12+1,1))-AVERAGE(OFFSET($H$3,0,0,'Données projet'!$E$12+1,1))</f>
        <v>226.0452828290525</v>
      </c>
      <c r="CE147" s="59">
        <f t="shared" si="148"/>
        <v>179.89696397462069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0.94930284959724964</v>
      </c>
      <c r="CL147" s="21">
        <f>EXP(-LN(2)/25)*CL146+(1-EXP(-LN(2)/25))/(LN(2)/25)*Calculateur!CG147*Calculateur!CI147*VLOOKUP('Données projet'!$B$12,Paramètres!$A$1:$I$89,3,0)*0.475*44/12</f>
        <v>0.47274778945988372</v>
      </c>
      <c r="CM147" s="21">
        <f>EXP(-LN(2)/2)*CM146+(1-EXP(-LN(2)/2))/(LN(2)/2)*CG147*CJ147*VLOOKUP('Données projet'!$B$12,Paramètres!$A$1:$I$89,3,0)*0.475*44/12</f>
        <v>7.6627098025128587E-17</v>
      </c>
      <c r="CN147" s="22">
        <f t="shared" si="120"/>
        <v>1.4220506390571335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482.74318690313885</v>
      </c>
      <c r="CZ147" s="59">
        <f t="shared" si="150"/>
        <v>205.57161411620217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1.2005792587731849</v>
      </c>
      <c r="DG147" s="21">
        <f>EXP(-LN(2)/25)*DG146+(1-EXP(-LN(2)/25))/(LN(2)/25)*Calculateur!DB147*Calculateur!DD147*VLOOKUP('Données projet'!$B$13,Paramètres!$A$1:$I$89,3,0)*0.475*44/12</f>
        <v>0.39965099177568175</v>
      </c>
      <c r="DH147" s="21">
        <f>EXP(-LN(2)/2)*DH146+(1-EXP(-LN(2)/2))/(LN(2)/2)*DB147*DE147*VLOOKUP('Données projet'!$B$13,Paramètres!$A$1:$I$89,3,0)*0.475*44/12</f>
        <v>3.1426225624565456E-17</v>
      </c>
      <c r="DI147" s="22">
        <f t="shared" si="123"/>
        <v>1.6002302505488668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2.2737367544323206E-13</v>
      </c>
      <c r="DP147" s="17">
        <f>DO147*VLOOKUP('Données projet'!$B$14,Paramètres!$A$1:$I$89,3,0)*VLOOKUP('Données projet'!$B$14,Paramètres!$A$1:$I$89,5,0)</f>
        <v>1.0936673788819462E-13</v>
      </c>
      <c r="DQ147" s="13">
        <f t="shared" si="151"/>
        <v>1.6259645746645945E-12</v>
      </c>
      <c r="DR147" s="20">
        <f t="shared" si="124"/>
        <v>3.0223687026961078E-12</v>
      </c>
      <c r="DS147" s="59">
        <f t="shared" si="125"/>
        <v>293.33333333333633</v>
      </c>
      <c r="DT147" s="59">
        <f ca="1">AVERAGE(OFFSET($DS$3,0,0,'Données projet'!$E$14+1,1))-AVERAGE(OFFSET($H$3,0,0,'Données projet'!$E$14+1,1))</f>
        <v>247.11965163963526</v>
      </c>
      <c r="DU147" s="59">
        <f t="shared" si="152"/>
        <v>61.686311966192704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0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-1.0286385077051818E-13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265.50419397354284</v>
      </c>
      <c r="T148" s="59">
        <f t="shared" si="142"/>
        <v>156.67965022779907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0.34176226476022381</v>
      </c>
      <c r="AA148" s="21">
        <f>EXP(-LN(2)/25)*AA147+(1-EXP(-LN(2)/25))/(LN(2)/25)*Calculateur!V148*Calculateur!X148*VLOOKUP('Données projet'!$B$9,Paramètres!$A$1:$I$89,3,0)*0.475*44/12</f>
        <v>0.17299250697630611</v>
      </c>
      <c r="AB148" s="21">
        <f>EXP(-LN(2)/2)*AB147+(1-EXP(-LN(2)/2))/(LN(2)/2)*V148*Y148*VLOOKUP('Données projet'!$B$9,Paramètres!$A$1:$I$89,3,0)*0.475*44/12</f>
        <v>2.9943238212954973E-17</v>
      </c>
      <c r="AC148" s="22">
        <f t="shared" si="111"/>
        <v>0.51475477173652995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-1.1527845344971866E-13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296.43642006376018</v>
      </c>
      <c r="AO148" s="59">
        <f t="shared" si="144"/>
        <v>179.56041631665812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0.38300943464507836</v>
      </c>
      <c r="AV148" s="21">
        <f>EXP(-LN(2)/25)*AV147+(1-EXP(-LN(2)/25))/(LN(2)/25)*Calculateur!AQ148*Calculateur!AS148*VLOOKUP('Données projet'!$B$10,Paramètres!$A$1:$I$89,3,0)*0.475*44/12</f>
        <v>0.19387091299068768</v>
      </c>
      <c r="AW148" s="21">
        <f>EXP(-LN(2)/2)*AW147+(1-EXP(-LN(2)/2))/(LN(2)/2)*AQ148*AT148*VLOOKUP('Données projet'!$B$10,Paramètres!$A$1:$I$89,3,0)*0.475*44/12</f>
        <v>3.3557077307621963E-17</v>
      </c>
      <c r="AX148" s="21">
        <f t="shared" si="114"/>
        <v>0.57688034763576601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5.6843418860808015E-14</v>
      </c>
      <c r="BE148" s="13">
        <f>BD148*VLOOKUP('Données projet'!$B$11,Paramètres!$A$1:$I$89,3,0)*VLOOKUP('Données projet'!$B$11,Paramètres!$A$1:$I$89,5,0)</f>
        <v>3.813056537183002E-14</v>
      </c>
      <c r="BF148" s="13">
        <f t="shared" si="145"/>
        <v>6.4086286045526829E-13</v>
      </c>
      <c r="BG148" s="20">
        <f t="shared" si="115"/>
        <v>1.1825802166488628E-12</v>
      </c>
      <c r="BH148" s="59">
        <f t="shared" si="116"/>
        <v>293.33333333333451</v>
      </c>
      <c r="BI148" s="59">
        <f ca="1">AVERAGE(OFFSET($BH$3,0,0,'Données projet'!$E$11+1,1))-AVERAGE(OFFSET($H$3,0,0,'Données projet'!$E$11+1,1))</f>
        <v>181.32837315090507</v>
      </c>
      <c r="BJ148" s="59">
        <f t="shared" si="146"/>
        <v>175.03267817980338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0.56158348173892014</v>
      </c>
      <c r="BQ148" s="21">
        <f>EXP(-LN(2)/25)*BQ147+(1-EXP(-LN(2)/25))/(LN(2)/25)*Calculateur!BL148*Calculateur!BN148*VLOOKUP('Données projet'!$B$11,Paramètres!$A$1:$I$89,3,0)*0.475*44/12</f>
        <v>0.28049429559708322</v>
      </c>
      <c r="BR148" s="21">
        <f>EXP(-LN(2)/2)*BR147+(1-EXP(-LN(2)/2))/(LN(2)/2)*BL148*BO148*VLOOKUP('Données projet'!$B$11,Paramètres!$A$1:$I$89,3,0)*0.475*44/12</f>
        <v>5.205362789572833E-18</v>
      </c>
      <c r="BS148" s="22">
        <f t="shared" si="117"/>
        <v>0.84207777733600331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574.49999999999989</v>
      </c>
      <c r="BZ148" s="13">
        <f>BY148*VLOOKUP('Données projet'!$B$12,Paramètres!$A$1:$I$89,3,0)*VLOOKUP('Données projet'!$B$12,Paramètres!$A$1:$I$89,5,0)</f>
        <v>268.86599999999999</v>
      </c>
      <c r="CA148" s="13">
        <f t="shared" si="147"/>
        <v>64.608546947682441</v>
      </c>
      <c r="CB148" s="20">
        <f t="shared" si="118"/>
        <v>580.80150260054677</v>
      </c>
      <c r="CC148" s="59">
        <f t="shared" si="119"/>
        <v>874.13483593388014</v>
      </c>
      <c r="CD148" s="59">
        <f ca="1">AVERAGE(OFFSET($CC$3,0,0,'Données projet'!$E$12+1,1))-AVERAGE(OFFSET($H$3,0,0,'Données projet'!$E$12+1,1))</f>
        <v>226.0452828290525</v>
      </c>
      <c r="CE148" s="59">
        <f t="shared" si="148"/>
        <v>179.89696397462069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0.93068759973421256</v>
      </c>
      <c r="CL148" s="21">
        <f>EXP(-LN(2)/25)*CL147+(1-EXP(-LN(2)/25))/(LN(2)/25)*Calculateur!CG148*Calculateur!CI148*VLOOKUP('Données projet'!$B$12,Paramètres!$A$1:$I$89,3,0)*0.475*44/12</f>
        <v>0.4598204762963774</v>
      </c>
      <c r="CM148" s="21">
        <f>EXP(-LN(2)/2)*CM147+(1-EXP(-LN(2)/2))/(LN(2)/2)*CG148*CJ148*VLOOKUP('Données projet'!$B$12,Paramètres!$A$1:$I$89,3,0)*0.475*44/12</f>
        <v>5.4183540636214733E-17</v>
      </c>
      <c r="CN148" s="22">
        <f t="shared" si="120"/>
        <v>1.3905080760305899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482.74318690313885</v>
      </c>
      <c r="CZ148" s="59">
        <f t="shared" si="150"/>
        <v>205.57161411620217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1.1770366317896839</v>
      </c>
      <c r="DG148" s="21">
        <f>EXP(-LN(2)/25)*DG147+(1-EXP(-LN(2)/25))/(LN(2)/25)*Calculateur!DB148*Calculateur!DD148*VLOOKUP('Données projet'!$B$13,Paramètres!$A$1:$I$89,3,0)*0.475*44/12</f>
        <v>0.38872251438884348</v>
      </c>
      <c r="DH148" s="21">
        <f>EXP(-LN(2)/2)*DH147+(1-EXP(-LN(2)/2))/(LN(2)/2)*DB148*DE148*VLOOKUP('Données projet'!$B$13,Paramètres!$A$1:$I$89,3,0)*0.475*44/12</f>
        <v>2.2221697246228679E-17</v>
      </c>
      <c r="DI148" s="22">
        <f t="shared" si="123"/>
        <v>1.5657591461785274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2.2737367544323206E-13</v>
      </c>
      <c r="DP148" s="17">
        <f>DO148*VLOOKUP('Données projet'!$B$14,Paramètres!$A$1:$I$89,3,0)*VLOOKUP('Données projet'!$B$14,Paramètres!$A$1:$I$89,5,0)</f>
        <v>1.0936673788819462E-13</v>
      </c>
      <c r="DQ148" s="13">
        <f t="shared" si="151"/>
        <v>1.6259645746645945E-12</v>
      </c>
      <c r="DR148" s="20">
        <f t="shared" si="124"/>
        <v>3.0223687026961078E-12</v>
      </c>
      <c r="DS148" s="59">
        <f t="shared" si="125"/>
        <v>293.33333333333633</v>
      </c>
      <c r="DT148" s="59">
        <f ca="1">AVERAGE(OFFSET($DS$3,0,0,'Données projet'!$E$14+1,1))-AVERAGE(OFFSET($H$3,0,0,'Données projet'!$E$14+1,1))</f>
        <v>247.11965163963526</v>
      </c>
      <c r="DU148" s="59">
        <f t="shared" si="152"/>
        <v>61.686311966192704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0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-1.0286385077051818E-13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265.50419397354284</v>
      </c>
      <c r="T149" s="59">
        <f t="shared" si="142"/>
        <v>156.67965022779907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0.33506051520267416</v>
      </c>
      <c r="AA149" s="21">
        <f>EXP(-LN(2)/25)*AA148+(1-EXP(-LN(2)/25))/(LN(2)/25)*Calculateur!V149*Calculateur!X149*VLOOKUP('Données projet'!$B$9,Paramètres!$A$1:$I$89,3,0)*0.475*44/12</f>
        <v>0.16826201777575844</v>
      </c>
      <c r="AB149" s="21">
        <f>EXP(-LN(2)/2)*AB148+(1-EXP(-LN(2)/2))/(LN(2)/2)*V149*Y149*VLOOKUP('Données projet'!$B$9,Paramètres!$A$1:$I$89,3,0)*0.475*44/12</f>
        <v>2.117306679106462E-17</v>
      </c>
      <c r="AC149" s="22">
        <f t="shared" si="111"/>
        <v>0.50332253297843255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-1.1527845344971866E-13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296.43642006376018</v>
      </c>
      <c r="AO149" s="59">
        <f t="shared" si="144"/>
        <v>179.56041631665812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0.37549885324437615</v>
      </c>
      <c r="AV149" s="21">
        <f>EXP(-LN(2)/25)*AV148+(1-EXP(-LN(2)/25))/(LN(2)/25)*Calculateur!AQ149*Calculateur!AS149*VLOOKUP('Données projet'!$B$10,Paramètres!$A$1:$I$89,3,0)*0.475*44/12</f>
        <v>0.18856950267972911</v>
      </c>
      <c r="AW149" s="21">
        <f>EXP(-LN(2)/2)*AW148+(1-EXP(-LN(2)/2))/(LN(2)/2)*AQ149*AT149*VLOOKUP('Données projet'!$B$10,Paramètres!$A$1:$I$89,3,0)*0.475*44/12</f>
        <v>2.3728436921020703E-17</v>
      </c>
      <c r="AX149" s="21">
        <f t="shared" si="114"/>
        <v>0.56406835592410531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5.6843418860808015E-14</v>
      </c>
      <c r="BE149" s="13">
        <f>BD149*VLOOKUP('Données projet'!$B$11,Paramètres!$A$1:$I$89,3,0)*VLOOKUP('Données projet'!$B$11,Paramètres!$A$1:$I$89,5,0)</f>
        <v>3.813056537183002E-14</v>
      </c>
      <c r="BF149" s="13">
        <f t="shared" si="145"/>
        <v>6.4086286045526829E-13</v>
      </c>
      <c r="BG149" s="20">
        <f t="shared" si="115"/>
        <v>1.1825802166488628E-12</v>
      </c>
      <c r="BH149" s="59">
        <f t="shared" si="116"/>
        <v>293.33333333333451</v>
      </c>
      <c r="BI149" s="59">
        <f ca="1">AVERAGE(OFFSET($BH$3,0,0,'Données projet'!$E$11+1,1))-AVERAGE(OFFSET($H$3,0,0,'Données projet'!$E$11+1,1))</f>
        <v>181.32837315090507</v>
      </c>
      <c r="BJ149" s="59">
        <f t="shared" si="146"/>
        <v>175.03267817980338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0.55057117219412155</v>
      </c>
      <c r="BQ149" s="21">
        <f>EXP(-LN(2)/25)*BQ148+(1-EXP(-LN(2)/25))/(LN(2)/25)*Calculateur!BL149*Calculateur!BN149*VLOOKUP('Données projet'!$B$11,Paramètres!$A$1:$I$89,3,0)*0.475*44/12</f>
        <v>0.27282416433342704</v>
      </c>
      <c r="BR149" s="21">
        <f>EXP(-LN(2)/2)*BR148+(1-EXP(-LN(2)/2))/(LN(2)/2)*BL149*BO149*VLOOKUP('Données projet'!$B$11,Paramètres!$A$1:$I$89,3,0)*0.475*44/12</f>
        <v>3.6807473270430738E-18</v>
      </c>
      <c r="BS149" s="22">
        <f t="shared" si="117"/>
        <v>0.82339533652754859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574.49999999999989</v>
      </c>
      <c r="BZ149" s="13">
        <f>BY149*VLOOKUP('Données projet'!$B$12,Paramètres!$A$1:$I$89,3,0)*VLOOKUP('Données projet'!$B$12,Paramètres!$A$1:$I$89,5,0)</f>
        <v>268.86599999999999</v>
      </c>
      <c r="CA149" s="13">
        <f t="shared" si="147"/>
        <v>64.608546947682441</v>
      </c>
      <c r="CB149" s="20">
        <f t="shared" si="118"/>
        <v>580.80150260054677</v>
      </c>
      <c r="CC149" s="59">
        <f t="shared" si="119"/>
        <v>874.13483593388014</v>
      </c>
      <c r="CD149" s="59">
        <f ca="1">AVERAGE(OFFSET($CC$3,0,0,'Données projet'!$E$12+1,1))-AVERAGE(OFFSET($H$3,0,0,'Données projet'!$E$12+1,1))</f>
        <v>226.0452828290525</v>
      </c>
      <c r="CE149" s="59">
        <f t="shared" si="148"/>
        <v>179.89696397462069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0.91243738356680837</v>
      </c>
      <c r="CL149" s="21">
        <f>EXP(-LN(2)/25)*CL148+(1-EXP(-LN(2)/25))/(LN(2)/25)*Calculateur!CG149*Calculateur!CI149*VLOOKUP('Données projet'!$B$12,Paramètres!$A$1:$I$89,3,0)*0.475*44/12</f>
        <v>0.44724666119114503</v>
      </c>
      <c r="CM149" s="21">
        <f>EXP(-LN(2)/2)*CM148+(1-EXP(-LN(2)/2))/(LN(2)/2)*CG149*CJ149*VLOOKUP('Données projet'!$B$12,Paramètres!$A$1:$I$89,3,0)*0.475*44/12</f>
        <v>3.83135490125643E-17</v>
      </c>
      <c r="CN149" s="22">
        <f t="shared" si="120"/>
        <v>1.3596840447579535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482.74318690313885</v>
      </c>
      <c r="CZ149" s="59">
        <f t="shared" si="150"/>
        <v>205.57161411620217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1.1539556613617448</v>
      </c>
      <c r="DG149" s="21">
        <f>EXP(-LN(2)/25)*DG148+(1-EXP(-LN(2)/25))/(LN(2)/25)*Calculateur!DB149*Calculateur!DD149*VLOOKUP('Données projet'!$B$13,Paramètres!$A$1:$I$89,3,0)*0.475*44/12</f>
        <v>0.37809287679085196</v>
      </c>
      <c r="DH149" s="21">
        <f>EXP(-LN(2)/2)*DH148+(1-EXP(-LN(2)/2))/(LN(2)/2)*DB149*DE149*VLOOKUP('Données projet'!$B$13,Paramètres!$A$1:$I$89,3,0)*0.475*44/12</f>
        <v>1.5713112812282728E-17</v>
      </c>
      <c r="DI149" s="22">
        <f t="shared" si="123"/>
        <v>1.5320485381525968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2.2737367544323206E-13</v>
      </c>
      <c r="DP149" s="17">
        <f>DO149*VLOOKUP('Données projet'!$B$14,Paramètres!$A$1:$I$89,3,0)*VLOOKUP('Données projet'!$B$14,Paramètres!$A$1:$I$89,5,0)</f>
        <v>1.0936673788819462E-13</v>
      </c>
      <c r="DQ149" s="13">
        <f t="shared" si="151"/>
        <v>1.6259645746645945E-12</v>
      </c>
      <c r="DR149" s="20">
        <f t="shared" si="124"/>
        <v>3.0223687026961078E-12</v>
      </c>
      <c r="DS149" s="59">
        <f t="shared" si="125"/>
        <v>293.33333333333633</v>
      </c>
      <c r="DT149" s="59">
        <f ca="1">AVERAGE(OFFSET($DS$3,0,0,'Données projet'!$E$14+1,1))-AVERAGE(OFFSET($H$3,0,0,'Données projet'!$E$14+1,1))</f>
        <v>247.11965163963526</v>
      </c>
      <c r="DU149" s="59">
        <f t="shared" si="152"/>
        <v>61.686311966192704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0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-1.0286385077051818E-13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265.50419397354284</v>
      </c>
      <c r="T150" s="59">
        <f t="shared" si="142"/>
        <v>156.67965022779907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0.32849018286628445</v>
      </c>
      <c r="AA150" s="21">
        <f>EXP(-LN(2)/25)*AA149+(1-EXP(-LN(2)/25))/(LN(2)/25)*Calculateur!V150*Calculateur!X150*VLOOKUP('Données projet'!$B$9,Paramètres!$A$1:$I$89,3,0)*0.475*44/12</f>
        <v>0.16366088405116538</v>
      </c>
      <c r="AB150" s="21">
        <f>EXP(-LN(2)/2)*AB149+(1-EXP(-LN(2)/2))/(LN(2)/2)*V150*Y150*VLOOKUP('Données projet'!$B$9,Paramètres!$A$1:$I$89,3,0)*0.475*44/12</f>
        <v>1.4971619106477486E-17</v>
      </c>
      <c r="AC150" s="22">
        <f t="shared" si="111"/>
        <v>0.49215106691744981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-1.1527845344971866E-13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296.43642006376018</v>
      </c>
      <c r="AO150" s="59">
        <f t="shared" si="144"/>
        <v>179.56041631665812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0.36813554976393942</v>
      </c>
      <c r="AV150" s="21">
        <f>EXP(-LN(2)/25)*AV149+(1-EXP(-LN(2)/25))/(LN(2)/25)*Calculateur!AQ150*Calculateur!AS150*VLOOKUP('Données projet'!$B$10,Paramètres!$A$1:$I$89,3,0)*0.475*44/12</f>
        <v>0.18341305971251276</v>
      </c>
      <c r="AW150" s="21">
        <f>EXP(-LN(2)/2)*AW149+(1-EXP(-LN(2)/2))/(LN(2)/2)*AQ150*AT150*VLOOKUP('Données projet'!$B$10,Paramètres!$A$1:$I$89,3,0)*0.475*44/12</f>
        <v>1.6778538653810982E-17</v>
      </c>
      <c r="AX150" s="21">
        <f t="shared" si="114"/>
        <v>0.55154860947645212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5.6843418860808015E-14</v>
      </c>
      <c r="BE150" s="13">
        <f>BD150*VLOOKUP('Données projet'!$B$11,Paramètres!$A$1:$I$89,3,0)*VLOOKUP('Données projet'!$B$11,Paramètres!$A$1:$I$89,5,0)</f>
        <v>3.813056537183002E-14</v>
      </c>
      <c r="BF150" s="13">
        <f t="shared" si="145"/>
        <v>6.4086286045526829E-13</v>
      </c>
      <c r="BG150" s="20">
        <f t="shared" si="115"/>
        <v>1.1825802166488628E-12</v>
      </c>
      <c r="BH150" s="59">
        <f t="shared" si="116"/>
        <v>293.33333333333451</v>
      </c>
      <c r="BI150" s="59">
        <f ca="1">AVERAGE(OFFSET($BH$3,0,0,'Données projet'!$E$11+1,1))-AVERAGE(OFFSET($H$3,0,0,'Données projet'!$E$11+1,1))</f>
        <v>181.32837315090507</v>
      </c>
      <c r="BJ150" s="59">
        <f t="shared" si="146"/>
        <v>175.03267817980338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0.53977480732265082</v>
      </c>
      <c r="BQ150" s="21">
        <f>EXP(-LN(2)/25)*BQ149+(1-EXP(-LN(2)/25))/(LN(2)/25)*Calculateur!BL150*Calculateur!BN150*VLOOKUP('Données projet'!$B$11,Paramètres!$A$1:$I$89,3,0)*0.475*44/12</f>
        <v>0.26536377321253024</v>
      </c>
      <c r="BR150" s="21">
        <f>EXP(-LN(2)/2)*BR149+(1-EXP(-LN(2)/2))/(LN(2)/2)*BL150*BO150*VLOOKUP('Données projet'!$B$11,Paramètres!$A$1:$I$89,3,0)*0.475*44/12</f>
        <v>2.6026813947864165E-18</v>
      </c>
      <c r="BS150" s="22">
        <f t="shared" si="117"/>
        <v>0.80513858053518106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574.49999999999989</v>
      </c>
      <c r="BZ150" s="13">
        <f>BY150*VLOOKUP('Données projet'!$B$12,Paramètres!$A$1:$I$89,3,0)*VLOOKUP('Données projet'!$B$12,Paramètres!$A$1:$I$89,5,0)</f>
        <v>268.86599999999999</v>
      </c>
      <c r="CA150" s="13">
        <f t="shared" si="147"/>
        <v>64.608546947682441</v>
      </c>
      <c r="CB150" s="20">
        <f t="shared" si="118"/>
        <v>580.80150260054677</v>
      </c>
      <c r="CC150" s="59">
        <f t="shared" si="119"/>
        <v>874.13483593388014</v>
      </c>
      <c r="CD150" s="59">
        <f ca="1">AVERAGE(OFFSET($CC$3,0,0,'Données projet'!$E$12+1,1))-AVERAGE(OFFSET($H$3,0,0,'Données projet'!$E$12+1,1))</f>
        <v>226.0452828290525</v>
      </c>
      <c r="CE150" s="59">
        <f t="shared" si="148"/>
        <v>179.89696397462069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0.89454504300691429</v>
      </c>
      <c r="CL150" s="21">
        <f>EXP(-LN(2)/25)*CL149+(1-EXP(-LN(2)/25))/(LN(2)/25)*Calculateur!CG150*Calculateur!CI150*VLOOKUP('Données projet'!$B$12,Paramètres!$A$1:$I$89,3,0)*0.475*44/12</f>
        <v>0.43501667772119346</v>
      </c>
      <c r="CM150" s="21">
        <f>EXP(-LN(2)/2)*CM149+(1-EXP(-LN(2)/2))/(LN(2)/2)*CG150*CJ150*VLOOKUP('Données projet'!$B$12,Paramètres!$A$1:$I$89,3,0)*0.475*44/12</f>
        <v>2.709177031810737E-17</v>
      </c>
      <c r="CN150" s="22">
        <f t="shared" si="120"/>
        <v>1.3295617207281079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482.74318690313885</v>
      </c>
      <c r="CZ150" s="59">
        <f t="shared" si="150"/>
        <v>205.57161411620217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1.1313272946858957</v>
      </c>
      <c r="DG150" s="21">
        <f>EXP(-LN(2)/25)*DG149+(1-EXP(-LN(2)/25))/(LN(2)/25)*Calculateur!DB150*Calculateur!DD150*VLOOKUP('Données projet'!$B$13,Paramètres!$A$1:$I$89,3,0)*0.475*44/12</f>
        <v>0.36775390719196588</v>
      </c>
      <c r="DH150" s="21">
        <f>EXP(-LN(2)/2)*DH149+(1-EXP(-LN(2)/2))/(LN(2)/2)*DB150*DE150*VLOOKUP('Données projet'!$B$13,Paramètres!$A$1:$I$89,3,0)*0.475*44/12</f>
        <v>1.111084862311434E-17</v>
      </c>
      <c r="DI150" s="22">
        <f t="shared" si="123"/>
        <v>1.4990812018778614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2.2737367544323206E-13</v>
      </c>
      <c r="DP150" s="17">
        <f>DO150*VLOOKUP('Données projet'!$B$14,Paramètres!$A$1:$I$89,3,0)*VLOOKUP('Données projet'!$B$14,Paramètres!$A$1:$I$89,5,0)</f>
        <v>1.0936673788819462E-13</v>
      </c>
      <c r="DQ150" s="13">
        <f t="shared" si="151"/>
        <v>1.6259645746645945E-12</v>
      </c>
      <c r="DR150" s="20">
        <f t="shared" si="124"/>
        <v>3.0223687026961078E-12</v>
      </c>
      <c r="DS150" s="59">
        <f t="shared" si="125"/>
        <v>293.33333333333633</v>
      </c>
      <c r="DT150" s="59">
        <f ca="1">AVERAGE(OFFSET($DS$3,0,0,'Données projet'!$E$14+1,1))-AVERAGE(OFFSET($H$3,0,0,'Données projet'!$E$14+1,1))</f>
        <v>247.11965163963526</v>
      </c>
      <c r="DU150" s="59">
        <f t="shared" si="152"/>
        <v>61.686311966192704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0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-1.0286385077051818E-13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265.50419397354284</v>
      </c>
      <c r="T151" s="59">
        <f t="shared" si="142"/>
        <v>156.67965022779907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0.32204869073950432</v>
      </c>
      <c r="AA151" s="21">
        <f>EXP(-LN(2)/25)*AA150+(1-EXP(-LN(2)/25))/(LN(2)/25)*Calculateur!V151*Calculateur!X151*VLOOKUP('Données projet'!$B$9,Paramètres!$A$1:$I$89,3,0)*0.475*44/12</f>
        <v>0.15918556857023441</v>
      </c>
      <c r="AB151" s="21">
        <f>EXP(-LN(2)/2)*AB150+(1-EXP(-LN(2)/2))/(LN(2)/2)*V151*Y151*VLOOKUP('Données projet'!$B$9,Paramètres!$A$1:$I$89,3,0)*0.475*44/12</f>
        <v>1.058653339553231E-17</v>
      </c>
      <c r="AC151" s="22">
        <f t="shared" si="111"/>
        <v>0.48123425930973873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-1.1527845344971866E-13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296.43642006376018</v>
      </c>
      <c r="AO151" s="59">
        <f t="shared" si="144"/>
        <v>179.56041631665812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0.36091663617358238</v>
      </c>
      <c r="AV151" s="21">
        <f>EXP(-LN(2)/25)*AV150+(1-EXP(-LN(2)/25))/(LN(2)/25)*Calculateur!AQ151*Calculateur!AS151*VLOOKUP('Données projet'!$B$10,Paramètres!$A$1:$I$89,3,0)*0.475*44/12</f>
        <v>0.17839761994940048</v>
      </c>
      <c r="AW151" s="21">
        <f>EXP(-LN(2)/2)*AW150+(1-EXP(-LN(2)/2))/(LN(2)/2)*AQ151*AT151*VLOOKUP('Données projet'!$B$10,Paramètres!$A$1:$I$89,3,0)*0.475*44/12</f>
        <v>1.1864218460510352E-17</v>
      </c>
      <c r="AX151" s="21">
        <f t="shared" si="114"/>
        <v>0.53931425612298289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5.6843418860808015E-14</v>
      </c>
      <c r="BE151" s="13">
        <f>BD151*VLOOKUP('Données projet'!$B$11,Paramètres!$A$1:$I$89,3,0)*VLOOKUP('Données projet'!$B$11,Paramètres!$A$1:$I$89,5,0)</f>
        <v>3.813056537183002E-14</v>
      </c>
      <c r="BF151" s="13">
        <f t="shared" si="145"/>
        <v>6.4086286045526829E-13</v>
      </c>
      <c r="BG151" s="20">
        <f t="shared" si="115"/>
        <v>1.1825802166488628E-12</v>
      </c>
      <c r="BH151" s="59">
        <f t="shared" si="116"/>
        <v>293.33333333333451</v>
      </c>
      <c r="BI151" s="59">
        <f ca="1">AVERAGE(OFFSET($BH$3,0,0,'Données projet'!$E$11+1,1))-AVERAGE(OFFSET($H$3,0,0,'Données projet'!$E$11+1,1))</f>
        <v>181.32837315090507</v>
      </c>
      <c r="BJ151" s="59">
        <f t="shared" si="146"/>
        <v>175.03267817980338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0.5291901525811773</v>
      </c>
      <c r="BQ151" s="21">
        <f>EXP(-LN(2)/25)*BQ150+(1-EXP(-LN(2)/25))/(LN(2)/25)*Calculateur!BL151*Calculateur!BN151*VLOOKUP('Données projet'!$B$11,Paramètres!$A$1:$I$89,3,0)*0.475*44/12</f>
        <v>0.25810738687915924</v>
      </c>
      <c r="BR151" s="21">
        <f>EXP(-LN(2)/2)*BR150+(1-EXP(-LN(2)/2))/(LN(2)/2)*BL151*BO151*VLOOKUP('Données projet'!$B$11,Paramètres!$A$1:$I$89,3,0)*0.475*44/12</f>
        <v>1.8403736635215369E-18</v>
      </c>
      <c r="BS151" s="22">
        <f t="shared" si="117"/>
        <v>0.78729753946033654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574.49999999999989</v>
      </c>
      <c r="BZ151" s="13">
        <f>BY151*VLOOKUP('Données projet'!$B$12,Paramètres!$A$1:$I$89,3,0)*VLOOKUP('Données projet'!$B$12,Paramètres!$A$1:$I$89,5,0)</f>
        <v>268.86599999999999</v>
      </c>
      <c r="CA151" s="13">
        <f t="shared" si="147"/>
        <v>64.608546947682441</v>
      </c>
      <c r="CB151" s="20">
        <f t="shared" si="118"/>
        <v>580.80150260054677</v>
      </c>
      <c r="CC151" s="59">
        <f t="shared" si="119"/>
        <v>874.13483593388014</v>
      </c>
      <c r="CD151" s="59">
        <f ca="1">AVERAGE(OFFSET($CC$3,0,0,'Données projet'!$E$12+1,1))-AVERAGE(OFFSET($H$3,0,0,'Données projet'!$E$12+1,1))</f>
        <v>226.0452828290525</v>
      </c>
      <c r="CE151" s="59">
        <f t="shared" si="148"/>
        <v>179.89696397462069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0.87700356033214955</v>
      </c>
      <c r="CL151" s="21">
        <f>EXP(-LN(2)/25)*CL150+(1-EXP(-LN(2)/25))/(LN(2)/25)*Calculateur!CG151*Calculateur!CI151*VLOOKUP('Données projet'!$B$12,Paramètres!$A$1:$I$89,3,0)*0.475*44/12</f>
        <v>0.4231211237923746</v>
      </c>
      <c r="CM151" s="21">
        <f>EXP(-LN(2)/2)*CM150+(1-EXP(-LN(2)/2))/(LN(2)/2)*CG151*CJ151*VLOOKUP('Données projet'!$B$12,Paramètres!$A$1:$I$89,3,0)*0.475*44/12</f>
        <v>1.9156774506282153E-17</v>
      </c>
      <c r="CN151" s="22">
        <f t="shared" si="120"/>
        <v>1.3001246841245242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482.74318690313885</v>
      </c>
      <c r="CZ151" s="59">
        <f t="shared" si="150"/>
        <v>205.57161411620217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1.1091426564786191</v>
      </c>
      <c r="DG151" s="21">
        <f>EXP(-LN(2)/25)*DG150+(1-EXP(-LN(2)/25))/(LN(2)/25)*Calculateur!DB151*Calculateur!DD151*VLOOKUP('Données projet'!$B$13,Paramètres!$A$1:$I$89,3,0)*0.475*44/12</f>
        <v>0.3576976572604641</v>
      </c>
      <c r="DH151" s="21">
        <f>EXP(-LN(2)/2)*DH150+(1-EXP(-LN(2)/2))/(LN(2)/2)*DB151*DE151*VLOOKUP('Données projet'!$B$13,Paramètres!$A$1:$I$89,3,0)*0.475*44/12</f>
        <v>7.8565564061413641E-18</v>
      </c>
      <c r="DI151" s="22">
        <f t="shared" si="123"/>
        <v>1.4668403137390831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2.2737367544323206E-13</v>
      </c>
      <c r="DP151" s="17">
        <f>DO151*VLOOKUP('Données projet'!$B$14,Paramètres!$A$1:$I$89,3,0)*VLOOKUP('Données projet'!$B$14,Paramètres!$A$1:$I$89,5,0)</f>
        <v>1.0936673788819462E-13</v>
      </c>
      <c r="DQ151" s="13">
        <f t="shared" si="151"/>
        <v>1.6259645746645945E-12</v>
      </c>
      <c r="DR151" s="20">
        <f t="shared" si="124"/>
        <v>3.0223687026961078E-12</v>
      </c>
      <c r="DS151" s="59">
        <f t="shared" si="125"/>
        <v>293.33333333333633</v>
      </c>
      <c r="DT151" s="59">
        <f ca="1">AVERAGE(OFFSET($DS$3,0,0,'Données projet'!$E$14+1,1))-AVERAGE(OFFSET($H$3,0,0,'Données projet'!$E$14+1,1))</f>
        <v>247.11965163963526</v>
      </c>
      <c r="DU151" s="59">
        <f t="shared" si="152"/>
        <v>61.686311966192704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0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-1.0286385077051818E-13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265.50419397354284</v>
      </c>
      <c r="T152" s="59">
        <f t="shared" si="142"/>
        <v>156.67965022779907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0.31573351234440811</v>
      </c>
      <c r="AA152" s="21">
        <f>EXP(-LN(2)/25)*AA151+(1-EXP(-LN(2)/25))/(LN(2)/25)*Calculateur!V152*Calculateur!X152*VLOOKUP('Données projet'!$B$9,Paramètres!$A$1:$I$89,3,0)*0.475*44/12</f>
        <v>0.15483263082647614</v>
      </c>
      <c r="AB152" s="21">
        <f>EXP(-LN(2)/2)*AB151+(1-EXP(-LN(2)/2))/(LN(2)/2)*V152*Y152*VLOOKUP('Données projet'!$B$9,Paramètres!$A$1:$I$89,3,0)*0.475*44/12</f>
        <v>7.4858095532387432E-18</v>
      </c>
      <c r="AC152" s="22">
        <f t="shared" si="111"/>
        <v>0.47056614317088424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-1.1527845344971866E-13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296.43642006376018</v>
      </c>
      <c r="AO152" s="59">
        <f t="shared" si="144"/>
        <v>179.56041631665812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0.35383928107562973</v>
      </c>
      <c r="AV152" s="21">
        <f>EXP(-LN(2)/25)*AV151+(1-EXP(-LN(2)/25))/(LN(2)/25)*Calculateur!AQ152*Calculateur!AS152*VLOOKUP('Données projet'!$B$10,Paramètres!$A$1:$I$89,3,0)*0.475*44/12</f>
        <v>0.17351932765036102</v>
      </c>
      <c r="AW152" s="21">
        <f>EXP(-LN(2)/2)*AW151+(1-EXP(-LN(2)/2))/(LN(2)/2)*AQ152*AT152*VLOOKUP('Données projet'!$B$10,Paramètres!$A$1:$I$89,3,0)*0.475*44/12</f>
        <v>8.3892693269054908E-18</v>
      </c>
      <c r="AX152" s="21">
        <f t="shared" si="114"/>
        <v>0.52735860872599072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5.6843418860808015E-14</v>
      </c>
      <c r="BE152" s="13">
        <f>BD152*VLOOKUP('Données projet'!$B$11,Paramètres!$A$1:$I$89,3,0)*VLOOKUP('Données projet'!$B$11,Paramètres!$A$1:$I$89,5,0)</f>
        <v>3.813056537183002E-14</v>
      </c>
      <c r="BF152" s="13">
        <f t="shared" si="145"/>
        <v>6.4086286045526829E-13</v>
      </c>
      <c r="BG152" s="20">
        <f t="shared" si="115"/>
        <v>1.1825802166488628E-12</v>
      </c>
      <c r="BH152" s="59">
        <f t="shared" si="116"/>
        <v>293.33333333333451</v>
      </c>
      <c r="BI152" s="59">
        <f ca="1">AVERAGE(OFFSET($BH$3,0,0,'Données projet'!$E$11+1,1))-AVERAGE(OFFSET($H$3,0,0,'Données projet'!$E$11+1,1))</f>
        <v>181.32837315090507</v>
      </c>
      <c r="BJ152" s="59">
        <f t="shared" si="146"/>
        <v>175.03267817980338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0.51881305646318221</v>
      </c>
      <c r="BQ152" s="21">
        <f>EXP(-LN(2)/25)*BQ151+(1-EXP(-LN(2)/25))/(LN(2)/25)*Calculateur!BL152*Calculateur!BN152*VLOOKUP('Données projet'!$B$11,Paramètres!$A$1:$I$89,3,0)*0.475*44/12</f>
        <v>0.25104942681167108</v>
      </c>
      <c r="BR152" s="21">
        <f>EXP(-LN(2)/2)*BR151+(1-EXP(-LN(2)/2))/(LN(2)/2)*BL152*BO152*VLOOKUP('Données projet'!$B$11,Paramètres!$A$1:$I$89,3,0)*0.475*44/12</f>
        <v>1.3013406973932083E-18</v>
      </c>
      <c r="BS152" s="22">
        <f t="shared" si="117"/>
        <v>0.76986248327485329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574.49999999999989</v>
      </c>
      <c r="BZ152" s="13">
        <f>BY152*VLOOKUP('Données projet'!$B$12,Paramètres!$A$1:$I$89,3,0)*VLOOKUP('Données projet'!$B$12,Paramètres!$A$1:$I$89,5,0)</f>
        <v>268.86599999999999</v>
      </c>
      <c r="CA152" s="13">
        <f t="shared" si="147"/>
        <v>64.608546947682441</v>
      </c>
      <c r="CB152" s="20">
        <f t="shared" si="118"/>
        <v>580.80150260054677</v>
      </c>
      <c r="CC152" s="59">
        <f t="shared" si="119"/>
        <v>874.13483593388014</v>
      </c>
      <c r="CD152" s="59">
        <f ca="1">AVERAGE(OFFSET($CC$3,0,0,'Données projet'!$E$12+1,1))-AVERAGE(OFFSET($H$3,0,0,'Données projet'!$E$12+1,1))</f>
        <v>226.0452828290525</v>
      </c>
      <c r="CE152" s="59">
        <f t="shared" si="148"/>
        <v>179.89696397462069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0.85980605543338895</v>
      </c>
      <c r="CL152" s="21">
        <f>EXP(-LN(2)/25)*CL151+(1-EXP(-LN(2)/25))/(LN(2)/25)*Calculateur!CG152*Calculateur!CI152*VLOOKUP('Données projet'!$B$12,Paramètres!$A$1:$I$89,3,0)*0.475*44/12</f>
        <v>0.41155085441129929</v>
      </c>
      <c r="CM152" s="21">
        <f>EXP(-LN(2)/2)*CM151+(1-EXP(-LN(2)/2))/(LN(2)/2)*CG152*CJ152*VLOOKUP('Données projet'!$B$12,Paramètres!$A$1:$I$89,3,0)*0.475*44/12</f>
        <v>1.3545885159053686E-17</v>
      </c>
      <c r="CN152" s="22">
        <f t="shared" si="120"/>
        <v>1.2713569098446882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482.74318690313885</v>
      </c>
      <c r="CZ152" s="59">
        <f t="shared" si="150"/>
        <v>205.57161411620217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1.087393045495294</v>
      </c>
      <c r="DG152" s="21">
        <f>EXP(-LN(2)/25)*DG151+(1-EXP(-LN(2)/25))/(LN(2)/25)*Calculateur!DB152*Calculateur!DD152*VLOOKUP('Données projet'!$B$13,Paramètres!$A$1:$I$89,3,0)*0.475*44/12</f>
        <v>0.34791639601217444</v>
      </c>
      <c r="DH152" s="21">
        <f>EXP(-LN(2)/2)*DH151+(1-EXP(-LN(2)/2))/(LN(2)/2)*DB152*DE152*VLOOKUP('Données projet'!$B$13,Paramètres!$A$1:$I$89,3,0)*0.475*44/12</f>
        <v>5.5554243115571698E-18</v>
      </c>
      <c r="DI152" s="22">
        <f t="shared" si="123"/>
        <v>1.4353094415074685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2.2737367544323206E-13</v>
      </c>
      <c r="DP152" s="17">
        <f>DO152*VLOOKUP('Données projet'!$B$14,Paramètres!$A$1:$I$89,3,0)*VLOOKUP('Données projet'!$B$14,Paramètres!$A$1:$I$89,5,0)</f>
        <v>1.0936673788819462E-13</v>
      </c>
      <c r="DQ152" s="13">
        <f t="shared" si="151"/>
        <v>1.6259645746645945E-12</v>
      </c>
      <c r="DR152" s="20">
        <f t="shared" si="124"/>
        <v>3.0223687026961078E-12</v>
      </c>
      <c r="DS152" s="59">
        <f t="shared" si="125"/>
        <v>293.33333333333633</v>
      </c>
      <c r="DT152" s="59">
        <f ca="1">AVERAGE(OFFSET($DS$3,0,0,'Données projet'!$E$14+1,1))-AVERAGE(OFFSET($H$3,0,0,'Données projet'!$E$14+1,1))</f>
        <v>247.11965163963526</v>
      </c>
      <c r="DU152" s="59">
        <f t="shared" si="152"/>
        <v>61.686311966192704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0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-1.0286385077051818E-13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265.50419397354284</v>
      </c>
      <c r="T153" s="59">
        <f t="shared" si="142"/>
        <v>156.67965022779907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0.30954217074576124</v>
      </c>
      <c r="AA153" s="21">
        <f>EXP(-LN(2)/25)*AA152+(1-EXP(-LN(2)/25))/(LN(2)/25)*Calculateur!V153*Calculateur!X153*VLOOKUP('Données projet'!$B$9,Paramètres!$A$1:$I$89,3,0)*0.475*44/12</f>
        <v>0.15059872439423197</v>
      </c>
      <c r="AB153" s="21">
        <f>EXP(-LN(2)/2)*AB152+(1-EXP(-LN(2)/2))/(LN(2)/2)*V153*Y153*VLOOKUP('Données projet'!$B$9,Paramètres!$A$1:$I$89,3,0)*0.475*44/12</f>
        <v>5.2932666977661551E-18</v>
      </c>
      <c r="AC153" s="22">
        <f t="shared" si="111"/>
        <v>0.46014089513999323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-1.1527845344971866E-13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296.43642006376018</v>
      </c>
      <c r="AO153" s="59">
        <f t="shared" si="144"/>
        <v>179.56041631665812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0.34690070859438754</v>
      </c>
      <c r="AV153" s="21">
        <f>EXP(-LN(2)/25)*AV152+(1-EXP(-LN(2)/25))/(LN(2)/25)*Calculateur!AQ153*Calculateur!AS153*VLOOKUP('Données projet'!$B$10,Paramètres!$A$1:$I$89,3,0)*0.475*44/12</f>
        <v>0.16877443251077703</v>
      </c>
      <c r="AW153" s="21">
        <f>EXP(-LN(2)/2)*AW152+(1-EXP(-LN(2)/2))/(LN(2)/2)*AQ153*AT153*VLOOKUP('Données projet'!$B$10,Paramètres!$A$1:$I$89,3,0)*0.475*44/12</f>
        <v>5.9321092302551758E-18</v>
      </c>
      <c r="AX153" s="21">
        <f t="shared" si="114"/>
        <v>0.51567514110516455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5.6843418860808015E-14</v>
      </c>
      <c r="BE153" s="13">
        <f>BD153*VLOOKUP('Données projet'!$B$11,Paramètres!$A$1:$I$89,3,0)*VLOOKUP('Données projet'!$B$11,Paramètres!$A$1:$I$89,5,0)</f>
        <v>3.813056537183002E-14</v>
      </c>
      <c r="BF153" s="13">
        <f t="shared" si="145"/>
        <v>6.4086286045526829E-13</v>
      </c>
      <c r="BG153" s="20">
        <f t="shared" si="115"/>
        <v>1.1825802166488628E-12</v>
      </c>
      <c r="BH153" s="59">
        <f t="shared" si="116"/>
        <v>293.33333333333451</v>
      </c>
      <c r="BI153" s="59">
        <f ca="1">AVERAGE(OFFSET($BH$3,0,0,'Données projet'!$E$11+1,1))-AVERAGE(OFFSET($H$3,0,0,'Données projet'!$E$11+1,1))</f>
        <v>181.32837315090507</v>
      </c>
      <c r="BJ153" s="59">
        <f t="shared" si="146"/>
        <v>175.03267817980338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0.50863944887065737</v>
      </c>
      <c r="BQ153" s="21">
        <f>EXP(-LN(2)/25)*BQ152+(1-EXP(-LN(2)/25))/(LN(2)/25)*Calculateur!BL153*Calculateur!BN153*VLOOKUP('Données projet'!$B$11,Paramètres!$A$1:$I$89,3,0)*0.475*44/12</f>
        <v>0.24418446703339036</v>
      </c>
      <c r="BR153" s="21">
        <f>EXP(-LN(2)/2)*BR152+(1-EXP(-LN(2)/2))/(LN(2)/2)*BL153*BO153*VLOOKUP('Données projet'!$B$11,Paramètres!$A$1:$I$89,3,0)*0.475*44/12</f>
        <v>9.2018683176076846E-19</v>
      </c>
      <c r="BS153" s="22">
        <f t="shared" si="117"/>
        <v>0.75282391590404774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574.49999999999989</v>
      </c>
      <c r="BZ153" s="13">
        <f>BY153*VLOOKUP('Données projet'!$B$12,Paramètres!$A$1:$I$89,3,0)*VLOOKUP('Données projet'!$B$12,Paramètres!$A$1:$I$89,5,0)</f>
        <v>268.86599999999999</v>
      </c>
      <c r="CA153" s="13">
        <f t="shared" si="147"/>
        <v>64.608546947682441</v>
      </c>
      <c r="CB153" s="20">
        <f t="shared" si="118"/>
        <v>580.80150260054677</v>
      </c>
      <c r="CC153" s="59">
        <f t="shared" si="119"/>
        <v>874.13483593388014</v>
      </c>
      <c r="CD153" s="59">
        <f ca="1">AVERAGE(OFFSET($CC$3,0,0,'Données projet'!$E$12+1,1))-AVERAGE(OFFSET($H$3,0,0,'Données projet'!$E$12+1,1))</f>
        <v>226.0452828290525</v>
      </c>
      <c r="CE153" s="59">
        <f t="shared" si="148"/>
        <v>179.89696397462069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0.8429457831162509</v>
      </c>
      <c r="CL153" s="21">
        <f>EXP(-LN(2)/25)*CL152+(1-EXP(-LN(2)/25))/(LN(2)/25)*Calculateur!CG153*Calculateur!CI153*VLOOKUP('Données projet'!$B$12,Paramètres!$A$1:$I$89,3,0)*0.475*44/12</f>
        <v>0.40029697465490349</v>
      </c>
      <c r="CM153" s="21">
        <f>EXP(-LN(2)/2)*CM152+(1-EXP(-LN(2)/2))/(LN(2)/2)*CG153*CJ153*VLOOKUP('Données projet'!$B$12,Paramètres!$A$1:$I$89,3,0)*0.475*44/12</f>
        <v>9.578387253141078E-18</v>
      </c>
      <c r="CN153" s="22">
        <f t="shared" si="120"/>
        <v>1.2432427577711544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482.74318690313885</v>
      </c>
      <c r="CZ153" s="59">
        <f t="shared" si="150"/>
        <v>205.57161411620217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1.0660699311173991</v>
      </c>
      <c r="DG153" s="21">
        <f>EXP(-LN(2)/25)*DG152+(1-EXP(-LN(2)/25))/(LN(2)/25)*Calculateur!DB153*Calculateur!DD153*VLOOKUP('Données projet'!$B$13,Paramètres!$A$1:$I$89,3,0)*0.475*44/12</f>
        <v>0.33840260386709342</v>
      </c>
      <c r="DH153" s="21">
        <f>EXP(-LN(2)/2)*DH152+(1-EXP(-LN(2)/2))/(LN(2)/2)*DB153*DE153*VLOOKUP('Données projet'!$B$13,Paramètres!$A$1:$I$89,3,0)*0.475*44/12</f>
        <v>3.928278203070682E-18</v>
      </c>
      <c r="DI153" s="22">
        <f t="shared" si="123"/>
        <v>1.4044725349844924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2.2737367544323206E-13</v>
      </c>
      <c r="DP153" s="17">
        <f>DO153*VLOOKUP('Données projet'!$B$14,Paramètres!$A$1:$I$89,3,0)*VLOOKUP('Données projet'!$B$14,Paramètres!$A$1:$I$89,5,0)</f>
        <v>1.0936673788819462E-13</v>
      </c>
      <c r="DQ153" s="13">
        <f t="shared" si="151"/>
        <v>1.6259645746645945E-12</v>
      </c>
      <c r="DR153" s="20">
        <f t="shared" si="124"/>
        <v>3.0223687026961078E-12</v>
      </c>
      <c r="DS153" s="59">
        <f t="shared" si="125"/>
        <v>293.33333333333633</v>
      </c>
      <c r="DT153" s="59">
        <f ca="1">AVERAGE(OFFSET($DS$3,0,0,'Données projet'!$E$14+1,1))-AVERAGE(OFFSET($H$3,0,0,'Données projet'!$E$14+1,1))</f>
        <v>247.11965163963526</v>
      </c>
      <c r="DU153" s="59">
        <f t="shared" si="152"/>
        <v>61.686311966192704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0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-1.0286385077051818E-13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265.50419397354284</v>
      </c>
      <c r="T154" s="59">
        <f t="shared" si="142"/>
        <v>156.67965022779907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0.30347223757951836</v>
      </c>
      <c r="AA154" s="21">
        <f>EXP(-LN(2)/25)*AA153+(1-EXP(-LN(2)/25))/(LN(2)/25)*Calculateur!V154*Calculateur!X154*VLOOKUP('Données projet'!$B$9,Paramètres!$A$1:$I$89,3,0)*0.475*44/12</f>
        <v>0.14648059435602898</v>
      </c>
      <c r="AB154" s="21">
        <f>EXP(-LN(2)/2)*AB153+(1-EXP(-LN(2)/2))/(LN(2)/2)*V154*Y154*VLOOKUP('Données projet'!$B$9,Paramètres!$A$1:$I$89,3,0)*0.475*44/12</f>
        <v>3.7429047766193716E-18</v>
      </c>
      <c r="AC154" s="22">
        <f t="shared" ref="AC154:AC203" si="163">SUM(Z154:AB154)</f>
        <v>0.44995283193554736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-1.1527845344971866E-13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296.43642006376018</v>
      </c>
      <c r="AO154" s="59">
        <f t="shared" si="144"/>
        <v>179.56041631665812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0.34009819728739121</v>
      </c>
      <c r="AV154" s="21">
        <f>EXP(-LN(2)/25)*AV153+(1-EXP(-LN(2)/25))/(LN(2)/25)*Calculateur!AQ154*Calculateur!AS154*VLOOKUP('Données projet'!$B$10,Paramètres!$A$1:$I$89,3,0)*0.475*44/12</f>
        <v>0.16415928677830816</v>
      </c>
      <c r="AW154" s="21">
        <f>EXP(-LN(2)/2)*AW153+(1-EXP(-LN(2)/2))/(LN(2)/2)*AQ154*AT154*VLOOKUP('Données projet'!$B$10,Paramètres!$A$1:$I$89,3,0)*0.475*44/12</f>
        <v>4.1946346634527454E-18</v>
      </c>
      <c r="AX154" s="21">
        <f t="shared" ref="AX154:AX203" si="166">SUM(AU154:AW154)</f>
        <v>0.50425748406569937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5.6843418860808015E-14</v>
      </c>
      <c r="BE154" s="13">
        <f>BD154*VLOOKUP('Données projet'!$B$11,Paramètres!$A$1:$I$89,3,0)*VLOOKUP('Données projet'!$B$11,Paramètres!$A$1:$I$89,5,0)</f>
        <v>3.813056537183002E-14</v>
      </c>
      <c r="BF154" s="13">
        <f t="shared" ref="BF154:BF203" si="167">EXP(-1.0587+0.8836*LN(BE154)+0.284)</f>
        <v>6.4086286045526829E-13</v>
      </c>
      <c r="BG154" s="20">
        <f t="shared" ref="BG154:BG203" si="168">(BE154+BF154)*0.475*44/12</f>
        <v>1.1825802166488628E-12</v>
      </c>
      <c r="BH154" s="59">
        <f t="shared" si="116"/>
        <v>293.33333333333451</v>
      </c>
      <c r="BI154" s="59">
        <f ca="1">AVERAGE(OFFSET($BH$3,0,0,'Données projet'!$E$11+1,1))-AVERAGE(OFFSET($H$3,0,0,'Données projet'!$E$11+1,1))</f>
        <v>181.32837315090507</v>
      </c>
      <c r="BJ154" s="59">
        <f t="shared" si="146"/>
        <v>175.03267817980338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0.49866533951773401</v>
      </c>
      <c r="BQ154" s="21">
        <f>EXP(-LN(2)/25)*BQ153+(1-EXP(-LN(2)/25))/(LN(2)/25)*Calculateur!BL154*Calculateur!BN154*VLOOKUP('Données projet'!$B$11,Paramètres!$A$1:$I$89,3,0)*0.475*44/12</f>
        <v>0.23750722994125928</v>
      </c>
      <c r="BR154" s="21">
        <f>EXP(-LN(2)/2)*BR153+(1-EXP(-LN(2)/2))/(LN(2)/2)*BL154*BO154*VLOOKUP('Données projet'!$B$11,Paramètres!$A$1:$I$89,3,0)*0.475*44/12</f>
        <v>6.5067034869660413E-19</v>
      </c>
      <c r="BS154" s="22">
        <f t="shared" ref="BS154:BS203" si="169">SUM(BP154:BR154)</f>
        <v>0.73617256945899334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574.49999999999989</v>
      </c>
      <c r="BZ154" s="13">
        <f>BY154*VLOOKUP('Données projet'!$B$12,Paramètres!$A$1:$I$89,3,0)*VLOOKUP('Données projet'!$B$12,Paramètres!$A$1:$I$89,5,0)</f>
        <v>268.86599999999999</v>
      </c>
      <c r="CA154" s="13">
        <f t="shared" ref="CA154:CA203" si="170">EXP(-1.0587+0.8836*LN(BZ154)+0.284)</f>
        <v>64.608546947682441</v>
      </c>
      <c r="CB154" s="20">
        <f t="shared" ref="CB154:CB203" si="171">(BZ154+CA154)*0.475*44/12</f>
        <v>580.80150260054677</v>
      </c>
      <c r="CC154" s="59">
        <f t="shared" si="119"/>
        <v>874.13483593388014</v>
      </c>
      <c r="CD154" s="59">
        <f ca="1">AVERAGE(OFFSET($CC$3,0,0,'Données projet'!$E$12+1,1))-AVERAGE(OFFSET($H$3,0,0,'Données projet'!$E$12+1,1))</f>
        <v>226.0452828290525</v>
      </c>
      <c r="CE154" s="59">
        <f t="shared" si="148"/>
        <v>179.89696397462069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0.82641613045550122</v>
      </c>
      <c r="CL154" s="21">
        <f>EXP(-LN(2)/25)*CL153+(1-EXP(-LN(2)/25))/(LN(2)/25)*Calculateur!CG154*Calculateur!CI154*VLOOKUP('Données projet'!$B$12,Paramètres!$A$1:$I$89,3,0)*0.475*44/12</f>
        <v>0.38935083283226213</v>
      </c>
      <c r="CM154" s="21">
        <f>EXP(-LN(2)/2)*CM153+(1-EXP(-LN(2)/2))/(LN(2)/2)*CG154*CJ154*VLOOKUP('Données projet'!$B$12,Paramètres!$A$1:$I$89,3,0)*0.475*44/12</f>
        <v>6.7729425795268448E-18</v>
      </c>
      <c r="CN154" s="22">
        <f t="shared" ref="CN154:CN203" si="172">SUM(CK154:CM154)</f>
        <v>1.2157669632877632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482.74318690313885</v>
      </c>
      <c r="CZ154" s="59">
        <f t="shared" si="150"/>
        <v>205.57161411620217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1.0451649500066391</v>
      </c>
      <c r="DG154" s="21">
        <f>EXP(-LN(2)/25)*DG153+(1-EXP(-LN(2)/25))/(LN(2)/25)*Calculateur!DB154*Calculateur!DD154*VLOOKUP('Données projet'!$B$13,Paramètres!$A$1:$I$89,3,0)*0.475*44/12</f>
        <v>0.32914896686852824</v>
      </c>
      <c r="DH154" s="21">
        <f>EXP(-LN(2)/2)*DH153+(1-EXP(-LN(2)/2))/(LN(2)/2)*DB154*DE154*VLOOKUP('Données projet'!$B$13,Paramètres!$A$1:$I$89,3,0)*0.475*44/12</f>
        <v>2.7777121557785849E-18</v>
      </c>
      <c r="DI154" s="22">
        <f t="shared" ref="DI154:DI203" si="175">SUM(DF154:DH154)</f>
        <v>1.3743139168751672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2.2737367544323206E-13</v>
      </c>
      <c r="DP154" s="17">
        <f>DO154*VLOOKUP('Données projet'!$B$14,Paramètres!$A$1:$I$89,3,0)*VLOOKUP('Données projet'!$B$14,Paramètres!$A$1:$I$89,5,0)</f>
        <v>1.0936673788819462E-13</v>
      </c>
      <c r="DQ154" s="13">
        <f t="shared" ref="DQ154:DQ203" si="176">EXP(-1.0587+0.8836*LN(DP154)+0.284)</f>
        <v>1.6259645746645945E-12</v>
      </c>
      <c r="DR154" s="20">
        <f t="shared" ref="DR154:DR203" si="177">(DP154+DQ154)*0.475*44/12</f>
        <v>3.0223687026961078E-12</v>
      </c>
      <c r="DS154" s="59">
        <f t="shared" si="125"/>
        <v>293.33333333333633</v>
      </c>
      <c r="DT154" s="59">
        <f ca="1">AVERAGE(OFFSET($DS$3,0,0,'Données projet'!$E$14+1,1))-AVERAGE(OFFSET($H$3,0,0,'Données projet'!$E$14+1,1))</f>
        <v>247.11965163963526</v>
      </c>
      <c r="DU154" s="59">
        <f t="shared" si="152"/>
        <v>61.686311966192704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0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-1.0286385077051818E-13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265.50419397354284</v>
      </c>
      <c r="T155" s="59">
        <f t="shared" si="142"/>
        <v>156.67965022779907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0.29752133210037185</v>
      </c>
      <c r="AA155" s="21">
        <f>EXP(-LN(2)/25)*AA154+(1-EXP(-LN(2)/25))/(LN(2)/25)*Calculateur!V155*Calculateur!X155*VLOOKUP('Données projet'!$B$9,Paramètres!$A$1:$I$89,3,0)*0.475*44/12</f>
        <v>0.14247507480028368</v>
      </c>
      <c r="AB155" s="21">
        <f>EXP(-LN(2)/2)*AB154+(1-EXP(-LN(2)/2))/(LN(2)/2)*V155*Y155*VLOOKUP('Données projet'!$B$9,Paramètres!$A$1:$I$89,3,0)*0.475*44/12</f>
        <v>2.6466333488830775E-18</v>
      </c>
      <c r="AC155" s="22">
        <f t="shared" si="163"/>
        <v>0.43999640690065556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-1.1527845344971866E-13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296.43642006376018</v>
      </c>
      <c r="AO155" s="59">
        <f t="shared" si="144"/>
        <v>179.56041631665812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0.3334290790780029</v>
      </c>
      <c r="AV155" s="21">
        <f>EXP(-LN(2)/25)*AV154+(1-EXP(-LN(2)/25))/(LN(2)/25)*Calculateur!AQ155*Calculateur!AS155*VLOOKUP('Données projet'!$B$10,Paramètres!$A$1:$I$89,3,0)*0.475*44/12</f>
        <v>0.15967034244859363</v>
      </c>
      <c r="AW155" s="21">
        <f>EXP(-LN(2)/2)*AW154+(1-EXP(-LN(2)/2))/(LN(2)/2)*AQ155*AT155*VLOOKUP('Données projet'!$B$10,Paramètres!$A$1:$I$89,3,0)*0.475*44/12</f>
        <v>2.9660546151275879E-18</v>
      </c>
      <c r="AX155" s="21">
        <f t="shared" si="166"/>
        <v>0.49309942152659653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5.6843418860808015E-14</v>
      </c>
      <c r="BE155" s="13">
        <f>BD155*VLOOKUP('Données projet'!$B$11,Paramètres!$A$1:$I$89,3,0)*VLOOKUP('Données projet'!$B$11,Paramètres!$A$1:$I$89,5,0)</f>
        <v>3.813056537183002E-14</v>
      </c>
      <c r="BF155" s="13">
        <f t="shared" si="167"/>
        <v>6.4086286045526829E-13</v>
      </c>
      <c r="BG155" s="20">
        <f t="shared" si="168"/>
        <v>1.1825802166488628E-12</v>
      </c>
      <c r="BH155" s="59">
        <f t="shared" si="116"/>
        <v>293.33333333333451</v>
      </c>
      <c r="BI155" s="59">
        <f ca="1">AVERAGE(OFFSET($BH$3,0,0,'Données projet'!$E$11+1,1))-AVERAGE(OFFSET($H$3,0,0,'Données projet'!$E$11+1,1))</f>
        <v>181.32837315090507</v>
      </c>
      <c r="BJ155" s="59">
        <f t="shared" si="146"/>
        <v>175.03267817980338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0.48888681636561543</v>
      </c>
      <c r="BQ155" s="21">
        <f>EXP(-LN(2)/25)*BQ154+(1-EXP(-LN(2)/25))/(LN(2)/25)*Calculateur!BL155*Calculateur!BN155*VLOOKUP('Données projet'!$B$11,Paramètres!$A$1:$I$89,3,0)*0.475*44/12</f>
        <v>0.23101258224855314</v>
      </c>
      <c r="BR155" s="21">
        <f>EXP(-LN(2)/2)*BR154+(1-EXP(-LN(2)/2))/(LN(2)/2)*BL155*BO155*VLOOKUP('Données projet'!$B$11,Paramètres!$A$1:$I$89,3,0)*0.475*44/12</f>
        <v>4.6009341588038423E-19</v>
      </c>
      <c r="BS155" s="22">
        <f t="shared" si="169"/>
        <v>0.71989939861416863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574.49999999999989</v>
      </c>
      <c r="BZ155" s="13">
        <f>BY155*VLOOKUP('Données projet'!$B$12,Paramètres!$A$1:$I$89,3,0)*VLOOKUP('Données projet'!$B$12,Paramètres!$A$1:$I$89,5,0)</f>
        <v>268.86599999999999</v>
      </c>
      <c r="CA155" s="13">
        <f t="shared" si="170"/>
        <v>64.608546947682441</v>
      </c>
      <c r="CB155" s="20">
        <f t="shared" si="171"/>
        <v>580.80150260054677</v>
      </c>
      <c r="CC155" s="59">
        <f t="shared" si="119"/>
        <v>874.13483593388014</v>
      </c>
      <c r="CD155" s="59">
        <f ca="1">AVERAGE(OFFSET($CC$3,0,0,'Données projet'!$E$12+1,1))-AVERAGE(OFFSET($H$3,0,0,'Données projet'!$E$12+1,1))</f>
        <v>226.0452828290525</v>
      </c>
      <c r="CE155" s="59">
        <f t="shared" si="148"/>
        <v>179.89696397462069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0.81021061420133622</v>
      </c>
      <c r="CL155" s="21">
        <f>EXP(-LN(2)/25)*CL154+(1-EXP(-LN(2)/25))/(LN(2)/25)*Calculateur!CG155*Calculateur!CI155*VLOOKUP('Données projet'!$B$12,Paramètres!$A$1:$I$89,3,0)*0.475*44/12</f>
        <v>0.37870401383339347</v>
      </c>
      <c r="CM155" s="21">
        <f>EXP(-LN(2)/2)*CM154+(1-EXP(-LN(2)/2))/(LN(2)/2)*CG155*CJ155*VLOOKUP('Données projet'!$B$12,Paramètres!$A$1:$I$89,3,0)*0.475*44/12</f>
        <v>4.7891936265705398E-18</v>
      </c>
      <c r="CN155" s="22">
        <f t="shared" si="172"/>
        <v>1.1889146280347296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482.74318690313885</v>
      </c>
      <c r="CZ155" s="59">
        <f t="shared" si="150"/>
        <v>205.57161411620217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1.0246699028246817</v>
      </c>
      <c r="DG155" s="21">
        <f>EXP(-LN(2)/25)*DG154+(1-EXP(-LN(2)/25))/(LN(2)/25)*Calculateur!DB155*Calculateur!DD155*VLOOKUP('Données projet'!$B$13,Paramètres!$A$1:$I$89,3,0)*0.475*44/12</f>
        <v>0.32014837106031646</v>
      </c>
      <c r="DH155" s="21">
        <f>EXP(-LN(2)/2)*DH154+(1-EXP(-LN(2)/2))/(LN(2)/2)*DB155*DE155*VLOOKUP('Données projet'!$B$13,Paramètres!$A$1:$I$89,3,0)*0.475*44/12</f>
        <v>1.964139101535341E-18</v>
      </c>
      <c r="DI155" s="22">
        <f t="shared" si="175"/>
        <v>1.3448182738849983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2.2737367544323206E-13</v>
      </c>
      <c r="DP155" s="17">
        <f>DO155*VLOOKUP('Données projet'!$B$14,Paramètres!$A$1:$I$89,3,0)*VLOOKUP('Données projet'!$B$14,Paramètres!$A$1:$I$89,5,0)</f>
        <v>1.0936673788819462E-13</v>
      </c>
      <c r="DQ155" s="13">
        <f t="shared" si="176"/>
        <v>1.6259645746645945E-12</v>
      </c>
      <c r="DR155" s="20">
        <f t="shared" si="177"/>
        <v>3.0223687026961078E-12</v>
      </c>
      <c r="DS155" s="59">
        <f t="shared" si="125"/>
        <v>293.33333333333633</v>
      </c>
      <c r="DT155" s="59">
        <f ca="1">AVERAGE(OFFSET($DS$3,0,0,'Données projet'!$E$14+1,1))-AVERAGE(OFFSET($H$3,0,0,'Données projet'!$E$14+1,1))</f>
        <v>247.11965163963526</v>
      </c>
      <c r="DU155" s="59">
        <f t="shared" si="152"/>
        <v>61.686311966192704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0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-1.0286385077051818E-13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265.50419397354284</v>
      </c>
      <c r="T156" s="59">
        <f t="shared" si="142"/>
        <v>156.67965022779907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0.29168712024797744</v>
      </c>
      <c r="AA156" s="21">
        <f>EXP(-LN(2)/25)*AA155+(1-EXP(-LN(2)/25))/(LN(2)/25)*Calculateur!V156*Calculateur!X156*VLOOKUP('Données projet'!$B$9,Paramètres!$A$1:$I$89,3,0)*0.475*44/12</f>
        <v>0.13857908638743138</v>
      </c>
      <c r="AB156" s="21">
        <f>EXP(-LN(2)/2)*AB155+(1-EXP(-LN(2)/2))/(LN(2)/2)*V156*Y156*VLOOKUP('Données projet'!$B$9,Paramètres!$A$1:$I$89,3,0)*0.475*44/12</f>
        <v>1.8714523883096858E-18</v>
      </c>
      <c r="AC156" s="22">
        <f t="shared" si="163"/>
        <v>0.43026620663540882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-1.1527845344971866E-13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296.43642006376018</v>
      </c>
      <c r="AO156" s="59">
        <f t="shared" si="144"/>
        <v>179.56041631665812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0.32689073820894021</v>
      </c>
      <c r="AV156" s="21">
        <f>EXP(-LN(2)/25)*AV155+(1-EXP(-LN(2)/25))/(LN(2)/25)*Calculateur!AQ156*Calculateur!AS156*VLOOKUP('Données projet'!$B$10,Paramètres!$A$1:$I$89,3,0)*0.475*44/12</f>
        <v>0.15530414853763846</v>
      </c>
      <c r="AW156" s="21">
        <f>EXP(-LN(2)/2)*AW155+(1-EXP(-LN(2)/2))/(LN(2)/2)*AQ156*AT156*VLOOKUP('Données projet'!$B$10,Paramètres!$A$1:$I$89,3,0)*0.475*44/12</f>
        <v>2.0973173317263727E-18</v>
      </c>
      <c r="AX156" s="21">
        <f t="shared" si="166"/>
        <v>0.48219488674657868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5.6843418860808015E-14</v>
      </c>
      <c r="BE156" s="13">
        <f>BD156*VLOOKUP('Données projet'!$B$11,Paramètres!$A$1:$I$89,3,0)*VLOOKUP('Données projet'!$B$11,Paramètres!$A$1:$I$89,5,0)</f>
        <v>3.813056537183002E-14</v>
      </c>
      <c r="BF156" s="13">
        <f t="shared" si="167"/>
        <v>6.4086286045526829E-13</v>
      </c>
      <c r="BG156" s="20">
        <f t="shared" si="168"/>
        <v>1.1825802166488628E-12</v>
      </c>
      <c r="BH156" s="59">
        <f t="shared" si="116"/>
        <v>293.33333333333451</v>
      </c>
      <c r="BI156" s="59">
        <f ca="1">AVERAGE(OFFSET($BH$3,0,0,'Données projet'!$E$11+1,1))-AVERAGE(OFFSET($H$3,0,0,'Données projet'!$E$11+1,1))</f>
        <v>181.32837315090507</v>
      </c>
      <c r="BJ156" s="59">
        <f t="shared" si="146"/>
        <v>175.03267817980338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0.47930004408819971</v>
      </c>
      <c r="BQ156" s="21">
        <f>EXP(-LN(2)/25)*BQ155+(1-EXP(-LN(2)/25))/(LN(2)/25)*Calculateur!BL156*Calculateur!BN156*VLOOKUP('Données projet'!$B$11,Paramètres!$A$1:$I$89,3,0)*0.475*44/12</f>
        <v>0.22469553103854276</v>
      </c>
      <c r="BR156" s="21">
        <f>EXP(-LN(2)/2)*BR155+(1-EXP(-LN(2)/2))/(LN(2)/2)*BL156*BO156*VLOOKUP('Données projet'!$B$11,Paramètres!$A$1:$I$89,3,0)*0.475*44/12</f>
        <v>3.2533517434830207E-19</v>
      </c>
      <c r="BS156" s="22">
        <f t="shared" si="169"/>
        <v>0.70399557512674249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574.49999999999989</v>
      </c>
      <c r="BZ156" s="13">
        <f>BY156*VLOOKUP('Données projet'!$B$12,Paramètres!$A$1:$I$89,3,0)*VLOOKUP('Données projet'!$B$12,Paramètres!$A$1:$I$89,5,0)</f>
        <v>268.86599999999999</v>
      </c>
      <c r="CA156" s="13">
        <f t="shared" si="170"/>
        <v>64.608546947682441</v>
      </c>
      <c r="CB156" s="20">
        <f t="shared" si="171"/>
        <v>580.80150260054677</v>
      </c>
      <c r="CC156" s="59">
        <f t="shared" si="119"/>
        <v>874.13483593388014</v>
      </c>
      <c r="CD156" s="59">
        <f ca="1">AVERAGE(OFFSET($CC$3,0,0,'Données projet'!$E$12+1,1))-AVERAGE(OFFSET($H$3,0,0,'Données projet'!$E$12+1,1))</f>
        <v>226.0452828290525</v>
      </c>
      <c r="CE156" s="59">
        <f t="shared" si="148"/>
        <v>179.89696397462069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0.79432287823652648</v>
      </c>
      <c r="CL156" s="21">
        <f>EXP(-LN(2)/25)*CL155+(1-EXP(-LN(2)/25))/(LN(2)/25)*Calculateur!CG156*Calculateur!CI156*VLOOKUP('Données projet'!$B$12,Paramètres!$A$1:$I$89,3,0)*0.475*44/12</f>
        <v>0.36834833265994077</v>
      </c>
      <c r="CM156" s="21">
        <f>EXP(-LN(2)/2)*CM155+(1-EXP(-LN(2)/2))/(LN(2)/2)*CG156*CJ156*VLOOKUP('Données projet'!$B$12,Paramètres!$A$1:$I$89,3,0)*0.475*44/12</f>
        <v>3.3864712897634228E-18</v>
      </c>
      <c r="CN156" s="22">
        <f t="shared" si="172"/>
        <v>1.1626712108964672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482.74318690313885</v>
      </c>
      <c r="CZ156" s="59">
        <f t="shared" si="150"/>
        <v>205.57161411620217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1.0045767510172181</v>
      </c>
      <c r="DG156" s="21">
        <f>EXP(-LN(2)/25)*DG155+(1-EXP(-LN(2)/25))/(LN(2)/25)*Calculateur!DB156*Calculateur!DD156*VLOOKUP('Données projet'!$B$13,Paramètres!$A$1:$I$89,3,0)*0.475*44/12</f>
        <v>0.31139389701780096</v>
      </c>
      <c r="DH156" s="21">
        <f>EXP(-LN(2)/2)*DH155+(1-EXP(-LN(2)/2))/(LN(2)/2)*DB156*DE156*VLOOKUP('Données projet'!$B$13,Paramètres!$A$1:$I$89,3,0)*0.475*44/12</f>
        <v>1.3888560778892924E-18</v>
      </c>
      <c r="DI156" s="22">
        <f t="shared" si="175"/>
        <v>1.3159706480350191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2.2737367544323206E-13</v>
      </c>
      <c r="DP156" s="17">
        <f>DO156*VLOOKUP('Données projet'!$B$14,Paramètres!$A$1:$I$89,3,0)*VLOOKUP('Données projet'!$B$14,Paramètres!$A$1:$I$89,5,0)</f>
        <v>1.0936673788819462E-13</v>
      </c>
      <c r="DQ156" s="13">
        <f t="shared" si="176"/>
        <v>1.6259645746645945E-12</v>
      </c>
      <c r="DR156" s="20">
        <f t="shared" si="177"/>
        <v>3.0223687026961078E-12</v>
      </c>
      <c r="DS156" s="59">
        <f t="shared" si="125"/>
        <v>293.33333333333633</v>
      </c>
      <c r="DT156" s="59">
        <f ca="1">AVERAGE(OFFSET($DS$3,0,0,'Données projet'!$E$14+1,1))-AVERAGE(OFFSET($H$3,0,0,'Données projet'!$E$14+1,1))</f>
        <v>247.11965163963526</v>
      </c>
      <c r="DU156" s="59">
        <f t="shared" si="152"/>
        <v>61.686311966192704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0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-1.0286385077051818E-13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265.50419397354284</v>
      </c>
      <c r="T157" s="59">
        <f t="shared" si="142"/>
        <v>156.67965022779907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0.28596731373149065</v>
      </c>
      <c r="AA157" s="21">
        <f>EXP(-LN(2)/25)*AA156+(1-EXP(-LN(2)/25))/(LN(2)/25)*Calculateur!V157*Calculateur!X157*VLOOKUP('Données projet'!$B$9,Paramètres!$A$1:$I$89,3,0)*0.475*44/12</f>
        <v>0.13478963398260965</v>
      </c>
      <c r="AB157" s="21">
        <f>EXP(-LN(2)/2)*AB156+(1-EXP(-LN(2)/2))/(LN(2)/2)*V157*Y157*VLOOKUP('Données projet'!$B$9,Paramètres!$A$1:$I$89,3,0)*0.475*44/12</f>
        <v>1.3233166744415388E-18</v>
      </c>
      <c r="AC157" s="22">
        <f t="shared" si="163"/>
        <v>0.42075694771410033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-1.1527845344971866E-13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296.43642006376018</v>
      </c>
      <c r="AO157" s="59">
        <f t="shared" si="144"/>
        <v>179.56041631665812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0.32048061021632568</v>
      </c>
      <c r="AV157" s="21">
        <f>EXP(-LN(2)/25)*AV156+(1-EXP(-LN(2)/25))/(LN(2)/25)*Calculateur!AQ157*Calculateur!AS157*VLOOKUP('Données projet'!$B$10,Paramètres!$A$1:$I$89,3,0)*0.475*44/12</f>
        <v>0.15105734842878651</v>
      </c>
      <c r="AW157" s="21">
        <f>EXP(-LN(2)/2)*AW156+(1-EXP(-LN(2)/2))/(LN(2)/2)*AQ157*AT157*VLOOKUP('Données projet'!$B$10,Paramètres!$A$1:$I$89,3,0)*0.475*44/12</f>
        <v>1.483027307563794E-18</v>
      </c>
      <c r="AX157" s="21">
        <f t="shared" si="166"/>
        <v>0.47153795864511217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5.6843418860808015E-14</v>
      </c>
      <c r="BE157" s="13">
        <f>BD157*VLOOKUP('Données projet'!$B$11,Paramètres!$A$1:$I$89,3,0)*VLOOKUP('Données projet'!$B$11,Paramètres!$A$1:$I$89,5,0)</f>
        <v>3.813056537183002E-14</v>
      </c>
      <c r="BF157" s="13">
        <f t="shared" si="167"/>
        <v>6.4086286045526829E-13</v>
      </c>
      <c r="BG157" s="20">
        <f t="shared" si="168"/>
        <v>1.1825802166488628E-12</v>
      </c>
      <c r="BH157" s="59">
        <f t="shared" si="116"/>
        <v>293.33333333333451</v>
      </c>
      <c r="BI157" s="59">
        <f ca="1">AVERAGE(OFFSET($BH$3,0,0,'Données projet'!$E$11+1,1))-AVERAGE(OFFSET($H$3,0,0,'Données projet'!$E$11+1,1))</f>
        <v>181.32837315090507</v>
      </c>
      <c r="BJ157" s="59">
        <f t="shared" si="146"/>
        <v>175.03267817980338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0.46990126256779041</v>
      </c>
      <c r="BQ157" s="21">
        <f>EXP(-LN(2)/25)*BQ156+(1-EXP(-LN(2)/25))/(LN(2)/25)*Calculateur!BL157*Calculateur!BN157*VLOOKUP('Données projet'!$B$11,Paramètres!$A$1:$I$89,3,0)*0.475*44/12</f>
        <v>0.21855121992606938</v>
      </c>
      <c r="BR157" s="21">
        <f>EXP(-LN(2)/2)*BR156+(1-EXP(-LN(2)/2))/(LN(2)/2)*BL157*BO157*VLOOKUP('Données projet'!$B$11,Paramètres!$A$1:$I$89,3,0)*0.475*44/12</f>
        <v>2.3004670794019211E-19</v>
      </c>
      <c r="BS157" s="22">
        <f t="shared" si="169"/>
        <v>0.68845248249385982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574.49999999999989</v>
      </c>
      <c r="BZ157" s="13">
        <f>BY157*VLOOKUP('Données projet'!$B$12,Paramètres!$A$1:$I$89,3,0)*VLOOKUP('Données projet'!$B$12,Paramètres!$A$1:$I$89,5,0)</f>
        <v>268.86599999999999</v>
      </c>
      <c r="CA157" s="13">
        <f t="shared" si="170"/>
        <v>64.608546947682441</v>
      </c>
      <c r="CB157" s="20">
        <f t="shared" si="171"/>
        <v>580.80150260054677</v>
      </c>
      <c r="CC157" s="59">
        <f t="shared" si="119"/>
        <v>874.13483593388014</v>
      </c>
      <c r="CD157" s="59">
        <f ca="1">AVERAGE(OFFSET($CC$3,0,0,'Données projet'!$E$12+1,1))-AVERAGE(OFFSET($H$3,0,0,'Données projet'!$E$12+1,1))</f>
        <v>226.0452828290525</v>
      </c>
      <c r="CE157" s="59">
        <f t="shared" si="148"/>
        <v>179.89696397462069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0.77874669108342454</v>
      </c>
      <c r="CL157" s="21">
        <f>EXP(-LN(2)/25)*CL156+(1-EXP(-LN(2)/25))/(LN(2)/25)*Calculateur!CG157*Calculateur!CI157*VLOOKUP('Données projet'!$B$12,Paramètres!$A$1:$I$89,3,0)*0.475*44/12</f>
        <v>0.35827582813275777</v>
      </c>
      <c r="CM157" s="21">
        <f>EXP(-LN(2)/2)*CM156+(1-EXP(-LN(2)/2))/(LN(2)/2)*CG157*CJ157*VLOOKUP('Données projet'!$B$12,Paramètres!$A$1:$I$89,3,0)*0.475*44/12</f>
        <v>2.3945968132852703E-18</v>
      </c>
      <c r="CN157" s="22">
        <f t="shared" si="172"/>
        <v>1.1370225192161822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482.74318690313885</v>
      </c>
      <c r="CZ157" s="59">
        <f t="shared" si="150"/>
        <v>205.57161411620217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0.98487761366108639</v>
      </c>
      <c r="DG157" s="21">
        <f>EXP(-LN(2)/25)*DG156+(1-EXP(-LN(2)/25))/(LN(2)/25)*Calculateur!DB157*Calculateur!DD157*VLOOKUP('Données projet'!$B$13,Paramètres!$A$1:$I$89,3,0)*0.475*44/12</f>
        <v>0.30287881452835586</v>
      </c>
      <c r="DH157" s="21">
        <f>EXP(-LN(2)/2)*DH156+(1-EXP(-LN(2)/2))/(LN(2)/2)*DB157*DE157*VLOOKUP('Données projet'!$B$13,Paramètres!$A$1:$I$89,3,0)*0.475*44/12</f>
        <v>9.8206955076767051E-19</v>
      </c>
      <c r="DI157" s="22">
        <f t="shared" si="175"/>
        <v>1.2877564281894422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2.2737367544323206E-13</v>
      </c>
      <c r="DP157" s="17">
        <f>DO157*VLOOKUP('Données projet'!$B$14,Paramètres!$A$1:$I$89,3,0)*VLOOKUP('Données projet'!$B$14,Paramètres!$A$1:$I$89,5,0)</f>
        <v>1.0936673788819462E-13</v>
      </c>
      <c r="DQ157" s="13">
        <f t="shared" si="176"/>
        <v>1.6259645746645945E-12</v>
      </c>
      <c r="DR157" s="20">
        <f t="shared" si="177"/>
        <v>3.0223687026961078E-12</v>
      </c>
      <c r="DS157" s="59">
        <f t="shared" si="125"/>
        <v>293.33333333333633</v>
      </c>
      <c r="DT157" s="59">
        <f ca="1">AVERAGE(OFFSET($DS$3,0,0,'Données projet'!$E$14+1,1))-AVERAGE(OFFSET($H$3,0,0,'Données projet'!$E$14+1,1))</f>
        <v>247.11965163963526</v>
      </c>
      <c r="DU157" s="59">
        <f t="shared" si="152"/>
        <v>61.686311966192704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0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-1.0286385077051818E-13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265.50419397354284</v>
      </c>
      <c r="T158" s="59">
        <f t="shared" si="142"/>
        <v>156.67965022779907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0.28035966913205468</v>
      </c>
      <c r="AA158" s="21">
        <f>EXP(-LN(2)/25)*AA157+(1-EXP(-LN(2)/25))/(LN(2)/25)*Calculateur!V158*Calculateur!X158*VLOOKUP('Données projet'!$B$9,Paramètres!$A$1:$I$89,3,0)*0.475*44/12</f>
        <v>0.13110380435307642</v>
      </c>
      <c r="AB158" s="21">
        <f>EXP(-LN(2)/2)*AB157+(1-EXP(-LN(2)/2))/(LN(2)/2)*V158*Y158*VLOOKUP('Données projet'!$B$9,Paramètres!$A$1:$I$89,3,0)*0.475*44/12</f>
        <v>9.357261941548429E-19</v>
      </c>
      <c r="AC158" s="22">
        <f t="shared" si="163"/>
        <v>0.41146347348513113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-1.1527845344971866E-13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296.43642006376018</v>
      </c>
      <c r="AO158" s="59">
        <f t="shared" si="144"/>
        <v>179.56041631665812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0.31419618092385432</v>
      </c>
      <c r="AV158" s="21">
        <f>EXP(-LN(2)/25)*AV157+(1-EXP(-LN(2)/25))/(LN(2)/25)*Calculateur!AQ158*Calculateur!AS158*VLOOKUP('Données projet'!$B$10,Paramètres!$A$1:$I$89,3,0)*0.475*44/12</f>
        <v>0.14692667729224063</v>
      </c>
      <c r="AW158" s="21">
        <f>EXP(-LN(2)/2)*AW157+(1-EXP(-LN(2)/2))/(LN(2)/2)*AQ158*AT158*VLOOKUP('Données projet'!$B$10,Paramètres!$A$1:$I$89,3,0)*0.475*44/12</f>
        <v>1.0486586658631864E-18</v>
      </c>
      <c r="AX158" s="21">
        <f t="shared" si="166"/>
        <v>0.46112285821609494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5.6843418860808015E-14</v>
      </c>
      <c r="BE158" s="13">
        <f>BD158*VLOOKUP('Données projet'!$B$11,Paramètres!$A$1:$I$89,3,0)*VLOOKUP('Données projet'!$B$11,Paramètres!$A$1:$I$89,5,0)</f>
        <v>3.813056537183002E-14</v>
      </c>
      <c r="BF158" s="13">
        <f t="shared" si="167"/>
        <v>6.4086286045526829E-13</v>
      </c>
      <c r="BG158" s="20">
        <f t="shared" si="168"/>
        <v>1.1825802166488628E-12</v>
      </c>
      <c r="BH158" s="59">
        <f t="shared" si="116"/>
        <v>293.33333333333451</v>
      </c>
      <c r="BI158" s="59">
        <f ca="1">AVERAGE(OFFSET($BH$3,0,0,'Données projet'!$E$11+1,1))-AVERAGE(OFFSET($H$3,0,0,'Données projet'!$E$11+1,1))</f>
        <v>181.32837315090507</v>
      </c>
      <c r="BJ158" s="59">
        <f t="shared" si="146"/>
        <v>175.03267817980338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0.46068678542030567</v>
      </c>
      <c r="BQ158" s="21">
        <f>EXP(-LN(2)/25)*BQ157+(1-EXP(-LN(2)/25))/(LN(2)/25)*Calculateur!BL158*Calculateur!BN158*VLOOKUP('Données projet'!$B$11,Paramètres!$A$1:$I$89,3,0)*0.475*44/12</f>
        <v>0.21257492532408187</v>
      </c>
      <c r="BR158" s="21">
        <f>EXP(-LN(2)/2)*BR157+(1-EXP(-LN(2)/2))/(LN(2)/2)*BL158*BO158*VLOOKUP('Données projet'!$B$11,Paramètres!$A$1:$I$89,3,0)*0.475*44/12</f>
        <v>1.6266758717415103E-19</v>
      </c>
      <c r="BS158" s="22">
        <f t="shared" si="169"/>
        <v>0.67326171074438756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574.49999999999989</v>
      </c>
      <c r="BZ158" s="13">
        <f>BY158*VLOOKUP('Données projet'!$B$12,Paramètres!$A$1:$I$89,3,0)*VLOOKUP('Données projet'!$B$12,Paramètres!$A$1:$I$89,5,0)</f>
        <v>268.86599999999999</v>
      </c>
      <c r="CA158" s="13">
        <f t="shared" si="170"/>
        <v>64.608546947682441</v>
      </c>
      <c r="CB158" s="20">
        <f t="shared" si="171"/>
        <v>580.80150260054677</v>
      </c>
      <c r="CC158" s="59">
        <f t="shared" si="119"/>
        <v>874.13483593388014</v>
      </c>
      <c r="CD158" s="59">
        <f ca="1">AVERAGE(OFFSET($CC$3,0,0,'Données projet'!$E$12+1,1))-AVERAGE(OFFSET($H$3,0,0,'Données projet'!$E$12+1,1))</f>
        <v>226.0452828290525</v>
      </c>
      <c r="CE158" s="59">
        <f t="shared" si="148"/>
        <v>179.89696397462069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0.76347594345985892</v>
      </c>
      <c r="CL158" s="21">
        <f>EXP(-LN(2)/25)*CL157+(1-EXP(-LN(2)/25))/(LN(2)/25)*Calculateur!CG158*Calculateur!CI158*VLOOKUP('Données projet'!$B$12,Paramètres!$A$1:$I$89,3,0)*0.475*44/12</f>
        <v>0.34847875677156054</v>
      </c>
      <c r="CM158" s="21">
        <f>EXP(-LN(2)/2)*CM157+(1-EXP(-LN(2)/2))/(LN(2)/2)*CG158*CJ158*VLOOKUP('Données projet'!$B$12,Paramètres!$A$1:$I$89,3,0)*0.475*44/12</f>
        <v>1.6932356448817118E-18</v>
      </c>
      <c r="CN158" s="22">
        <f t="shared" si="172"/>
        <v>1.1119547002314194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482.74318690313885</v>
      </c>
      <c r="CZ158" s="59">
        <f t="shared" si="150"/>
        <v>205.57161411620217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0.96556476437322103</v>
      </c>
      <c r="DG158" s="21">
        <f>EXP(-LN(2)/25)*DG157+(1-EXP(-LN(2)/25))/(LN(2)/25)*Calculateur!DB158*Calculateur!DD158*VLOOKUP('Données projet'!$B$13,Paramètres!$A$1:$I$89,3,0)*0.475*44/12</f>
        <v>0.29459657741737333</v>
      </c>
      <c r="DH158" s="21">
        <f>EXP(-LN(2)/2)*DH157+(1-EXP(-LN(2)/2))/(LN(2)/2)*DB158*DE158*VLOOKUP('Données projet'!$B$13,Paramètres!$A$1:$I$89,3,0)*0.475*44/12</f>
        <v>6.9442803894464622E-19</v>
      </c>
      <c r="DI158" s="22">
        <f t="shared" si="175"/>
        <v>1.2601613417905944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2.2737367544323206E-13</v>
      </c>
      <c r="DP158" s="17">
        <f>DO158*VLOOKUP('Données projet'!$B$14,Paramètres!$A$1:$I$89,3,0)*VLOOKUP('Données projet'!$B$14,Paramètres!$A$1:$I$89,5,0)</f>
        <v>1.0936673788819462E-13</v>
      </c>
      <c r="DQ158" s="13">
        <f t="shared" si="176"/>
        <v>1.6259645746645945E-12</v>
      </c>
      <c r="DR158" s="20">
        <f t="shared" si="177"/>
        <v>3.0223687026961078E-12</v>
      </c>
      <c r="DS158" s="59">
        <f t="shared" si="125"/>
        <v>293.33333333333633</v>
      </c>
      <c r="DT158" s="59">
        <f ca="1">AVERAGE(OFFSET($DS$3,0,0,'Données projet'!$E$14+1,1))-AVERAGE(OFFSET($H$3,0,0,'Données projet'!$E$14+1,1))</f>
        <v>247.11965163963526</v>
      </c>
      <c r="DU158" s="59">
        <f t="shared" si="152"/>
        <v>61.686311966192704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0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-1.0286385077051818E-13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265.50419397354284</v>
      </c>
      <c r="T159" s="59">
        <f t="shared" si="142"/>
        <v>156.67965022779907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0.27486198702288817</v>
      </c>
      <c r="AA159" s="21">
        <f>EXP(-LN(2)/25)*AA158+(1-EXP(-LN(2)/25))/(LN(2)/25)*Calculateur!V159*Calculateur!X159*VLOOKUP('Données projet'!$B$9,Paramètres!$A$1:$I$89,3,0)*0.475*44/12</f>
        <v>0.12751876392859213</v>
      </c>
      <c r="AB159" s="21">
        <f>EXP(-LN(2)/2)*AB158+(1-EXP(-LN(2)/2))/(LN(2)/2)*V159*Y159*VLOOKUP('Données projet'!$B$9,Paramètres!$A$1:$I$89,3,0)*0.475*44/12</f>
        <v>6.6165833722076939E-19</v>
      </c>
      <c r="AC159" s="22">
        <f t="shared" si="163"/>
        <v>0.40238075095148029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-1.1527845344971866E-13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296.43642006376018</v>
      </c>
      <c r="AO159" s="59">
        <f t="shared" si="144"/>
        <v>179.56041631665812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0.30803498545668495</v>
      </c>
      <c r="AV159" s="21">
        <f>EXP(-LN(2)/25)*AV158+(1-EXP(-LN(2)/25))/(LN(2)/25)*Calculateur!AQ159*Calculateur!AS159*VLOOKUP('Données projet'!$B$10,Paramètres!$A$1:$I$89,3,0)*0.475*44/12</f>
        <v>0.14290895957514615</v>
      </c>
      <c r="AW159" s="21">
        <f>EXP(-LN(2)/2)*AW158+(1-EXP(-LN(2)/2))/(LN(2)/2)*AQ159*AT159*VLOOKUP('Données projet'!$B$10,Paramètres!$A$1:$I$89,3,0)*0.475*44/12</f>
        <v>7.4151365378189698E-19</v>
      </c>
      <c r="AX159" s="21">
        <f t="shared" si="166"/>
        <v>0.45094394503183111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5.6843418860808015E-14</v>
      </c>
      <c r="BE159" s="13">
        <f>BD159*VLOOKUP('Données projet'!$B$11,Paramètres!$A$1:$I$89,3,0)*VLOOKUP('Données projet'!$B$11,Paramètres!$A$1:$I$89,5,0)</f>
        <v>3.813056537183002E-14</v>
      </c>
      <c r="BF159" s="13">
        <f t="shared" si="167"/>
        <v>6.4086286045526829E-13</v>
      </c>
      <c r="BG159" s="20">
        <f t="shared" si="168"/>
        <v>1.1825802166488628E-12</v>
      </c>
      <c r="BH159" s="59">
        <f t="shared" si="116"/>
        <v>293.33333333333451</v>
      </c>
      <c r="BI159" s="59">
        <f ca="1">AVERAGE(OFFSET($BH$3,0,0,'Données projet'!$E$11+1,1))-AVERAGE(OFFSET($H$3,0,0,'Données projet'!$E$11+1,1))</f>
        <v>181.32837315090507</v>
      </c>
      <c r="BJ159" s="59">
        <f t="shared" si="146"/>
        <v>175.03267817980338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0.45165299854940699</v>
      </c>
      <c r="BQ159" s="21">
        <f>EXP(-LN(2)/25)*BQ158+(1-EXP(-LN(2)/25))/(LN(2)/25)*Calculateur!BL159*Calculateur!BN159*VLOOKUP('Données projet'!$B$11,Paramètres!$A$1:$I$89,3,0)*0.475*44/12</f>
        <v>0.20676205281226537</v>
      </c>
      <c r="BR159" s="21">
        <f>EXP(-LN(2)/2)*BR158+(1-EXP(-LN(2)/2))/(LN(2)/2)*BL159*BO159*VLOOKUP('Données projet'!$B$11,Paramètres!$A$1:$I$89,3,0)*0.475*44/12</f>
        <v>1.1502335397009606E-19</v>
      </c>
      <c r="BS159" s="22">
        <f t="shared" si="169"/>
        <v>0.65841505136167233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574.49999999999989</v>
      </c>
      <c r="BZ159" s="13">
        <f>BY159*VLOOKUP('Données projet'!$B$12,Paramètres!$A$1:$I$89,3,0)*VLOOKUP('Données projet'!$B$12,Paramètres!$A$1:$I$89,5,0)</f>
        <v>268.86599999999999</v>
      </c>
      <c r="CA159" s="13">
        <f t="shared" si="170"/>
        <v>64.608546947682441</v>
      </c>
      <c r="CB159" s="20">
        <f t="shared" si="171"/>
        <v>580.80150260054677</v>
      </c>
      <c r="CC159" s="59">
        <f t="shared" si="119"/>
        <v>874.13483593388014</v>
      </c>
      <c r="CD159" s="59">
        <f ca="1">AVERAGE(OFFSET($CC$3,0,0,'Données projet'!$E$12+1,1))-AVERAGE(OFFSET($H$3,0,0,'Données projet'!$E$12+1,1))</f>
        <v>226.0452828290525</v>
      </c>
      <c r="CE159" s="59">
        <f t="shared" si="148"/>
        <v>179.89696397462069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0.74850464588295507</v>
      </c>
      <c r="CL159" s="21">
        <f>EXP(-LN(2)/25)*CL158+(1-EXP(-LN(2)/25))/(LN(2)/25)*Calculateur!CG159*Calculateur!CI159*VLOOKUP('Données projet'!$B$12,Paramètres!$A$1:$I$89,3,0)*0.475*44/12</f>
        <v>0.33894958684194088</v>
      </c>
      <c r="CM159" s="21">
        <f>EXP(-LN(2)/2)*CM158+(1-EXP(-LN(2)/2))/(LN(2)/2)*CG159*CJ159*VLOOKUP('Données projet'!$B$12,Paramètres!$A$1:$I$89,3,0)*0.475*44/12</f>
        <v>1.1972984066426353E-18</v>
      </c>
      <c r="CN159" s="22">
        <f t="shared" si="172"/>
        <v>1.0874542327248959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482.74318690313885</v>
      </c>
      <c r="CZ159" s="59">
        <f t="shared" si="150"/>
        <v>205.57161411620217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0.94663062828021582</v>
      </c>
      <c r="DG159" s="21">
        <f>EXP(-LN(2)/25)*DG158+(1-EXP(-LN(2)/25))/(LN(2)/25)*Calculateur!DB159*Calculateur!DD159*VLOOKUP('Données projet'!$B$13,Paramètres!$A$1:$I$89,3,0)*0.475*44/12</f>
        <v>0.28654081851573454</v>
      </c>
      <c r="DH159" s="21">
        <f>EXP(-LN(2)/2)*DH158+(1-EXP(-LN(2)/2))/(LN(2)/2)*DB159*DE159*VLOOKUP('Données projet'!$B$13,Paramètres!$A$1:$I$89,3,0)*0.475*44/12</f>
        <v>4.9103477538383525E-19</v>
      </c>
      <c r="DI159" s="22">
        <f t="shared" si="175"/>
        <v>1.2331714467959505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2.2737367544323206E-13</v>
      </c>
      <c r="DP159" s="17">
        <f>DO159*VLOOKUP('Données projet'!$B$14,Paramètres!$A$1:$I$89,3,0)*VLOOKUP('Données projet'!$B$14,Paramètres!$A$1:$I$89,5,0)</f>
        <v>1.0936673788819462E-13</v>
      </c>
      <c r="DQ159" s="13">
        <f t="shared" si="176"/>
        <v>1.6259645746645945E-12</v>
      </c>
      <c r="DR159" s="20">
        <f t="shared" si="177"/>
        <v>3.0223687026961078E-12</v>
      </c>
      <c r="DS159" s="59">
        <f t="shared" si="125"/>
        <v>293.33333333333633</v>
      </c>
      <c r="DT159" s="59">
        <f ca="1">AVERAGE(OFFSET($DS$3,0,0,'Données projet'!$E$14+1,1))-AVERAGE(OFFSET($H$3,0,0,'Données projet'!$E$14+1,1))</f>
        <v>247.11965163963526</v>
      </c>
      <c r="DU159" s="59">
        <f t="shared" si="152"/>
        <v>61.686311966192704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0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-1.0286385077051818E-13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265.50419397354284</v>
      </c>
      <c r="T160" s="59">
        <f t="shared" si="142"/>
        <v>156.67965022779907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0.26947211110662744</v>
      </c>
      <c r="AA160" s="21">
        <f>EXP(-LN(2)/25)*AA159+(1-EXP(-LN(2)/25))/(LN(2)/25)*Calculateur!V160*Calculateur!X160*VLOOKUP('Données projet'!$B$9,Paramètres!$A$1:$I$89,3,0)*0.475*44/12</f>
        <v>0.12403175662304443</v>
      </c>
      <c r="AB160" s="21">
        <f>EXP(-LN(2)/2)*AB159+(1-EXP(-LN(2)/2))/(LN(2)/2)*V160*Y160*VLOOKUP('Données projet'!$B$9,Paramètres!$A$1:$I$89,3,0)*0.475*44/12</f>
        <v>4.6786309707742145E-19</v>
      </c>
      <c r="AC160" s="22">
        <f t="shared" si="163"/>
        <v>0.39350386772967189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-1.1527845344971866E-13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296.43642006376018</v>
      </c>
      <c r="AO160" s="59">
        <f t="shared" si="144"/>
        <v>179.56041631665812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0.30199460727466859</v>
      </c>
      <c r="AV160" s="21">
        <f>EXP(-LN(2)/25)*AV159+(1-EXP(-LN(2)/25))/(LN(2)/25)*Calculateur!AQ160*Calculateur!AS160*VLOOKUP('Données projet'!$B$10,Paramètres!$A$1:$I$89,3,0)*0.475*44/12</f>
        <v>0.13900110656030823</v>
      </c>
      <c r="AW160" s="21">
        <f>EXP(-LN(2)/2)*AW159+(1-EXP(-LN(2)/2))/(LN(2)/2)*AQ160*AT160*VLOOKUP('Données projet'!$B$10,Paramètres!$A$1:$I$89,3,0)*0.475*44/12</f>
        <v>5.2432933293159318E-19</v>
      </c>
      <c r="AX160" s="21">
        <f t="shared" si="166"/>
        <v>0.44099571383497682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5.6843418860808015E-14</v>
      </c>
      <c r="BE160" s="13">
        <f>BD160*VLOOKUP('Données projet'!$B$11,Paramètres!$A$1:$I$89,3,0)*VLOOKUP('Données projet'!$B$11,Paramètres!$A$1:$I$89,5,0)</f>
        <v>3.813056537183002E-14</v>
      </c>
      <c r="BF160" s="13">
        <f t="shared" si="167"/>
        <v>6.4086286045526829E-13</v>
      </c>
      <c r="BG160" s="20">
        <f t="shared" si="168"/>
        <v>1.1825802166488628E-12</v>
      </c>
      <c r="BH160" s="59">
        <f t="shared" si="116"/>
        <v>293.33333333333451</v>
      </c>
      <c r="BI160" s="59">
        <f ca="1">AVERAGE(OFFSET($BH$3,0,0,'Données projet'!$E$11+1,1))-AVERAGE(OFFSET($H$3,0,0,'Données projet'!$E$11+1,1))</f>
        <v>181.32837315090507</v>
      </c>
      <c r="BJ160" s="59">
        <f t="shared" si="146"/>
        <v>175.03267817980338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0.44279635872898071</v>
      </c>
      <c r="BQ160" s="21">
        <f>EXP(-LN(2)/25)*BQ159+(1-EXP(-LN(2)/25))/(LN(2)/25)*Calculateur!BL160*Calculateur!BN160*VLOOKUP('Données projet'!$B$11,Paramètres!$A$1:$I$89,3,0)*0.475*44/12</f>
        <v>0.20110813360497018</v>
      </c>
      <c r="BR160" s="21">
        <f>EXP(-LN(2)/2)*BR159+(1-EXP(-LN(2)/2))/(LN(2)/2)*BL160*BO160*VLOOKUP('Données projet'!$B$11,Paramètres!$A$1:$I$89,3,0)*0.475*44/12</f>
        <v>8.1333793587075516E-20</v>
      </c>
      <c r="BS160" s="22">
        <f t="shared" si="169"/>
        <v>0.64390449233395086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574.49999999999989</v>
      </c>
      <c r="BZ160" s="13">
        <f>BY160*VLOOKUP('Données projet'!$B$12,Paramètres!$A$1:$I$89,3,0)*VLOOKUP('Données projet'!$B$12,Paramètres!$A$1:$I$89,5,0)</f>
        <v>268.86599999999999</v>
      </c>
      <c r="CA160" s="13">
        <f t="shared" si="170"/>
        <v>64.608546947682441</v>
      </c>
      <c r="CB160" s="20">
        <f t="shared" si="171"/>
        <v>580.80150260054677</v>
      </c>
      <c r="CC160" s="59">
        <f t="shared" si="119"/>
        <v>874.13483593388014</v>
      </c>
      <c r="CD160" s="59">
        <f ca="1">AVERAGE(OFFSET($CC$3,0,0,'Données projet'!$E$12+1,1))-AVERAGE(OFFSET($H$3,0,0,'Données projet'!$E$12+1,1))</f>
        <v>226.0452828290525</v>
      </c>
      <c r="CE160" s="59">
        <f t="shared" si="148"/>
        <v>179.89696397462069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0.73382692631994451</v>
      </c>
      <c r="CL160" s="21">
        <f>EXP(-LN(2)/25)*CL159+(1-EXP(-LN(2)/25))/(LN(2)/25)*Calculateur!CG160*Calculateur!CI160*VLOOKUP('Données projet'!$B$12,Paramètres!$A$1:$I$89,3,0)*0.475*44/12</f>
        <v>0.32968099256516392</v>
      </c>
      <c r="CM160" s="21">
        <f>EXP(-LN(2)/2)*CM159+(1-EXP(-LN(2)/2))/(LN(2)/2)*CG160*CJ160*VLOOKUP('Données projet'!$B$12,Paramètres!$A$1:$I$89,3,0)*0.475*44/12</f>
        <v>8.4661782244085598E-19</v>
      </c>
      <c r="CN160" s="22">
        <f t="shared" si="172"/>
        <v>1.0635079188851084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482.74318690313885</v>
      </c>
      <c r="CZ160" s="59">
        <f t="shared" si="150"/>
        <v>205.57161411620217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0.92806777904731175</v>
      </c>
      <c r="DG160" s="21">
        <f>EXP(-LN(2)/25)*DG159+(1-EXP(-LN(2)/25))/(LN(2)/25)*Calculateur!DB160*Calculateur!DD160*VLOOKUP('Données projet'!$B$13,Paramètres!$A$1:$I$89,3,0)*0.475*44/12</f>
        <v>0.27870534476489506</v>
      </c>
      <c r="DH160" s="21">
        <f>EXP(-LN(2)/2)*DH159+(1-EXP(-LN(2)/2))/(LN(2)/2)*DB160*DE160*VLOOKUP('Données projet'!$B$13,Paramètres!$A$1:$I$89,3,0)*0.475*44/12</f>
        <v>3.4721401947232311E-19</v>
      </c>
      <c r="DI160" s="22">
        <f t="shared" si="175"/>
        <v>1.2067731238122068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2.2737367544323206E-13</v>
      </c>
      <c r="DP160" s="17">
        <f>DO160*VLOOKUP('Données projet'!$B$14,Paramètres!$A$1:$I$89,3,0)*VLOOKUP('Données projet'!$B$14,Paramètres!$A$1:$I$89,5,0)</f>
        <v>1.0936673788819462E-13</v>
      </c>
      <c r="DQ160" s="13">
        <f t="shared" si="176"/>
        <v>1.6259645746645945E-12</v>
      </c>
      <c r="DR160" s="20">
        <f t="shared" si="177"/>
        <v>3.0223687026961078E-12</v>
      </c>
      <c r="DS160" s="59">
        <f t="shared" si="125"/>
        <v>293.33333333333633</v>
      </c>
      <c r="DT160" s="59">
        <f ca="1">AVERAGE(OFFSET($DS$3,0,0,'Données projet'!$E$14+1,1))-AVERAGE(OFFSET($H$3,0,0,'Données projet'!$E$14+1,1))</f>
        <v>247.11965163963526</v>
      </c>
      <c r="DU160" s="59">
        <f t="shared" si="152"/>
        <v>61.686311966192704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0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-1.0286385077051818E-13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265.50419397354284</v>
      </c>
      <c r="T161" s="59">
        <f t="shared" si="142"/>
        <v>156.67965022779907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0.26418792736958485</v>
      </c>
      <c r="AA161" s="21">
        <f>EXP(-LN(2)/25)*AA160+(1-EXP(-LN(2)/25))/(LN(2)/25)*Calculateur!V161*Calculateur!X161*VLOOKUP('Données projet'!$B$9,Paramètres!$A$1:$I$89,3,0)*0.475*44/12</f>
        <v>0.12064010171564067</v>
      </c>
      <c r="AB161" s="21">
        <f>EXP(-LN(2)/2)*AB160+(1-EXP(-LN(2)/2))/(LN(2)/2)*V161*Y161*VLOOKUP('Données projet'!$B$9,Paramètres!$A$1:$I$89,3,0)*0.475*44/12</f>
        <v>3.3082916861038469E-19</v>
      </c>
      <c r="AC161" s="22">
        <f t="shared" si="163"/>
        <v>0.38482802908522551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-1.1527845344971866E-13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296.43642006376018</v>
      </c>
      <c r="AO161" s="59">
        <f t="shared" si="144"/>
        <v>179.56041631665812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0.29607267722453467</v>
      </c>
      <c r="AV161" s="21">
        <f>EXP(-LN(2)/25)*AV160+(1-EXP(-LN(2)/25))/(LN(2)/25)*Calculateur!AQ161*Calculateur!AS161*VLOOKUP('Données projet'!$B$10,Paramètres!$A$1:$I$89,3,0)*0.475*44/12</f>
        <v>0.13520011399166609</v>
      </c>
      <c r="AW161" s="21">
        <f>EXP(-LN(2)/2)*AW160+(1-EXP(-LN(2)/2))/(LN(2)/2)*AQ161*AT161*VLOOKUP('Données projet'!$B$10,Paramètres!$A$1:$I$89,3,0)*0.475*44/12</f>
        <v>3.7075682689094849E-19</v>
      </c>
      <c r="AX161" s="21">
        <f t="shared" si="166"/>
        <v>0.43127279121620077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5.6843418860808015E-14</v>
      </c>
      <c r="BE161" s="13">
        <f>BD161*VLOOKUP('Données projet'!$B$11,Paramètres!$A$1:$I$89,3,0)*VLOOKUP('Données projet'!$B$11,Paramètres!$A$1:$I$89,5,0)</f>
        <v>3.813056537183002E-14</v>
      </c>
      <c r="BF161" s="13">
        <f t="shared" si="167"/>
        <v>6.4086286045526829E-13</v>
      </c>
      <c r="BG161" s="20">
        <f t="shared" si="168"/>
        <v>1.1825802166488628E-12</v>
      </c>
      <c r="BH161" s="59">
        <f t="shared" si="116"/>
        <v>293.33333333333451</v>
      </c>
      <c r="BI161" s="59">
        <f ca="1">AVERAGE(OFFSET($BH$3,0,0,'Données projet'!$E$11+1,1))-AVERAGE(OFFSET($H$3,0,0,'Données projet'!$E$11+1,1))</f>
        <v>181.32837315090507</v>
      </c>
      <c r="BJ161" s="59">
        <f t="shared" si="146"/>
        <v>175.03267817980338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0.4341133922134161</v>
      </c>
      <c r="BQ161" s="21">
        <f>EXP(-LN(2)/25)*BQ160+(1-EXP(-LN(2)/25))/(LN(2)/25)*Calculateur!BL161*Calculateur!BN161*VLOOKUP('Données projet'!$B$11,Paramètres!$A$1:$I$89,3,0)*0.475*44/12</f>
        <v>0.19560882111572517</v>
      </c>
      <c r="BR161" s="21">
        <f>EXP(-LN(2)/2)*BR160+(1-EXP(-LN(2)/2))/(LN(2)/2)*BL161*BO161*VLOOKUP('Données projet'!$B$11,Paramètres!$A$1:$I$89,3,0)*0.475*44/12</f>
        <v>5.7511676985048028E-20</v>
      </c>
      <c r="BS161" s="22">
        <f t="shared" si="169"/>
        <v>0.62972221332914124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574.49999999999989</v>
      </c>
      <c r="BZ161" s="13">
        <f>BY161*VLOOKUP('Données projet'!$B$12,Paramètres!$A$1:$I$89,3,0)*VLOOKUP('Données projet'!$B$12,Paramètres!$A$1:$I$89,5,0)</f>
        <v>268.86599999999999</v>
      </c>
      <c r="CA161" s="13">
        <f t="shared" si="170"/>
        <v>64.608546947682441</v>
      </c>
      <c r="CB161" s="20">
        <f t="shared" si="171"/>
        <v>580.80150260054677</v>
      </c>
      <c r="CC161" s="59">
        <f t="shared" si="119"/>
        <v>874.13483593388014</v>
      </c>
      <c r="CD161" s="59">
        <f ca="1">AVERAGE(OFFSET($CC$3,0,0,'Données projet'!$E$12+1,1))-AVERAGE(OFFSET($H$3,0,0,'Données projet'!$E$12+1,1))</f>
        <v>226.0452828290525</v>
      </c>
      <c r="CE161" s="59">
        <f t="shared" si="148"/>
        <v>179.89696397462069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0.7194370278850396</v>
      </c>
      <c r="CL161" s="21">
        <f>EXP(-LN(2)/25)*CL160+(1-EXP(-LN(2)/25))/(LN(2)/25)*Calculateur!CG161*Calculateur!CI161*VLOOKUP('Données projet'!$B$12,Paramètres!$A$1:$I$89,3,0)*0.475*44/12</f>
        <v>0.32066584848629959</v>
      </c>
      <c r="CM161" s="21">
        <f>EXP(-LN(2)/2)*CM160+(1-EXP(-LN(2)/2))/(LN(2)/2)*CG161*CJ161*VLOOKUP('Données projet'!$B$12,Paramètres!$A$1:$I$89,3,0)*0.475*44/12</f>
        <v>5.9864920332131776E-19</v>
      </c>
      <c r="CN161" s="22">
        <f t="shared" si="172"/>
        <v>1.0401028763713391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482.74318690313885</v>
      </c>
      <c r="CZ161" s="59">
        <f t="shared" si="150"/>
        <v>205.57161411620217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0.90986893596564489</v>
      </c>
      <c r="DG161" s="21">
        <f>EXP(-LN(2)/25)*DG160+(1-EXP(-LN(2)/25))/(LN(2)/25)*Calculateur!DB161*Calculateur!DD161*VLOOKUP('Données projet'!$B$13,Paramètres!$A$1:$I$89,3,0)*0.475*44/12</f>
        <v>0.27108413245582191</v>
      </c>
      <c r="DH161" s="21">
        <f>EXP(-LN(2)/2)*DH160+(1-EXP(-LN(2)/2))/(LN(2)/2)*DB161*DE161*VLOOKUP('Données projet'!$B$13,Paramètres!$A$1:$I$89,3,0)*0.475*44/12</f>
        <v>2.4551738769191763E-19</v>
      </c>
      <c r="DI161" s="22">
        <f t="shared" si="175"/>
        <v>1.1809530684214669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2.2737367544323206E-13</v>
      </c>
      <c r="DP161" s="17">
        <f>DO161*VLOOKUP('Données projet'!$B$14,Paramètres!$A$1:$I$89,3,0)*VLOOKUP('Données projet'!$B$14,Paramètres!$A$1:$I$89,5,0)</f>
        <v>1.0936673788819462E-13</v>
      </c>
      <c r="DQ161" s="13">
        <f t="shared" si="176"/>
        <v>1.6259645746645945E-12</v>
      </c>
      <c r="DR161" s="20">
        <f t="shared" si="177"/>
        <v>3.0223687026961078E-12</v>
      </c>
      <c r="DS161" s="59">
        <f t="shared" si="125"/>
        <v>293.33333333333633</v>
      </c>
      <c r="DT161" s="59">
        <f ca="1">AVERAGE(OFFSET($DS$3,0,0,'Données projet'!$E$14+1,1))-AVERAGE(OFFSET($H$3,0,0,'Données projet'!$E$14+1,1))</f>
        <v>247.11965163963526</v>
      </c>
      <c r="DU161" s="59">
        <f t="shared" si="152"/>
        <v>61.686311966192704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0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-1.0286385077051818E-13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265.50419397354284</v>
      </c>
      <c r="T162" s="59">
        <f t="shared" si="142"/>
        <v>156.67965022779907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0.25900736325259188</v>
      </c>
      <c r="AA162" s="21">
        <f>EXP(-LN(2)/25)*AA161+(1-EXP(-LN(2)/25))/(LN(2)/25)*Calculateur!V162*Calculateur!X162*VLOOKUP('Données projet'!$B$9,Paramètres!$A$1:$I$89,3,0)*0.475*44/12</f>
        <v>0.11734119179003925</v>
      </c>
      <c r="AB162" s="21">
        <f>EXP(-LN(2)/2)*AB161+(1-EXP(-LN(2)/2))/(LN(2)/2)*V162*Y162*VLOOKUP('Données projet'!$B$9,Paramètres!$A$1:$I$89,3,0)*0.475*44/12</f>
        <v>2.3393154853871073E-19</v>
      </c>
      <c r="AC162" s="22">
        <f t="shared" si="163"/>
        <v>0.37634855504263115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-1.1527845344971866E-13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296.43642006376018</v>
      </c>
      <c r="AO162" s="59">
        <f t="shared" si="144"/>
        <v>179.56041631665812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0.2902668726106632</v>
      </c>
      <c r="AV162" s="21">
        <f>EXP(-LN(2)/25)*AV161+(1-EXP(-LN(2)/25))/(LN(2)/25)*Calculateur!AQ162*Calculateur!AS162*VLOOKUP('Données projet'!$B$10,Paramètres!$A$1:$I$89,3,0)*0.475*44/12</f>
        <v>0.131503059764699</v>
      </c>
      <c r="AW162" s="21">
        <f>EXP(-LN(2)/2)*AW161+(1-EXP(-LN(2)/2))/(LN(2)/2)*AQ162*AT162*VLOOKUP('Données projet'!$B$10,Paramètres!$A$1:$I$89,3,0)*0.475*44/12</f>
        <v>2.6216466646579659E-19</v>
      </c>
      <c r="AX162" s="21">
        <f t="shared" si="166"/>
        <v>0.4217699323753622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5.6843418860808015E-14</v>
      </c>
      <c r="BE162" s="13">
        <f>BD162*VLOOKUP('Données projet'!$B$11,Paramètres!$A$1:$I$89,3,0)*VLOOKUP('Données projet'!$B$11,Paramètres!$A$1:$I$89,5,0)</f>
        <v>3.813056537183002E-14</v>
      </c>
      <c r="BF162" s="13">
        <f t="shared" si="167"/>
        <v>6.4086286045526829E-13</v>
      </c>
      <c r="BG162" s="20">
        <f t="shared" si="168"/>
        <v>1.1825802166488628E-12</v>
      </c>
      <c r="BH162" s="59">
        <f t="shared" si="116"/>
        <v>293.33333333333451</v>
      </c>
      <c r="BI162" s="59">
        <f ca="1">AVERAGE(OFFSET($BH$3,0,0,'Données projet'!$E$11+1,1))-AVERAGE(OFFSET($H$3,0,0,'Données projet'!$E$11+1,1))</f>
        <v>181.32837315090507</v>
      </c>
      <c r="BJ162" s="59">
        <f t="shared" si="146"/>
        <v>175.03267817980338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0.42560069337513512</v>
      </c>
      <c r="BQ162" s="21">
        <f>EXP(-LN(2)/25)*BQ161+(1-EXP(-LN(2)/25))/(LN(2)/25)*Calculateur!BL162*Calculateur!BN162*VLOOKUP('Données projet'!$B$11,Paramètres!$A$1:$I$89,3,0)*0.475*44/12</f>
        <v>0.19025988761569482</v>
      </c>
      <c r="BR162" s="21">
        <f>EXP(-LN(2)/2)*BR161+(1-EXP(-LN(2)/2))/(LN(2)/2)*BL162*BO162*VLOOKUP('Données projet'!$B$11,Paramètres!$A$1:$I$89,3,0)*0.475*44/12</f>
        <v>4.0666896793537758E-20</v>
      </c>
      <c r="BS162" s="22">
        <f t="shared" si="169"/>
        <v>0.61586058099082996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574.49999999999989</v>
      </c>
      <c r="BZ162" s="13">
        <f>BY162*VLOOKUP('Données projet'!$B$12,Paramètres!$A$1:$I$89,3,0)*VLOOKUP('Données projet'!$B$12,Paramètres!$A$1:$I$89,5,0)</f>
        <v>268.86599999999999</v>
      </c>
      <c r="CA162" s="13">
        <f t="shared" si="170"/>
        <v>64.608546947682441</v>
      </c>
      <c r="CB162" s="20">
        <f t="shared" si="171"/>
        <v>580.80150260054677</v>
      </c>
      <c r="CC162" s="59">
        <f t="shared" si="119"/>
        <v>874.13483593388014</v>
      </c>
      <c r="CD162" s="59">
        <f ca="1">AVERAGE(OFFSET($CC$3,0,0,'Données projet'!$E$12+1,1))-AVERAGE(OFFSET($H$3,0,0,'Données projet'!$E$12+1,1))</f>
        <v>226.0452828290525</v>
      </c>
      <c r="CE162" s="59">
        <f t="shared" si="148"/>
        <v>179.89696397462069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0.70532930658147175</v>
      </c>
      <c r="CL162" s="21">
        <f>EXP(-LN(2)/25)*CL161+(1-EXP(-LN(2)/25))/(LN(2)/25)*Calculateur!CG162*Calculateur!CI162*VLOOKUP('Données projet'!$B$12,Paramètres!$A$1:$I$89,3,0)*0.475*44/12</f>
        <v>0.31189722399635766</v>
      </c>
      <c r="CM162" s="21">
        <f>EXP(-LN(2)/2)*CM161+(1-EXP(-LN(2)/2))/(LN(2)/2)*CG162*CJ162*VLOOKUP('Données projet'!$B$12,Paramètres!$A$1:$I$89,3,0)*0.475*44/12</f>
        <v>4.2330891122042809E-19</v>
      </c>
      <c r="CN162" s="22">
        <f t="shared" si="172"/>
        <v>1.0172265305778294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482.74318690313885</v>
      </c>
      <c r="CZ162" s="59">
        <f t="shared" si="150"/>
        <v>205.57161411620217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0.89202696109661128</v>
      </c>
      <c r="DG162" s="21">
        <f>EXP(-LN(2)/25)*DG161+(1-EXP(-LN(2)/25))/(LN(2)/25)*Calculateur!DB162*Calculateur!DD162*VLOOKUP('Données projet'!$B$13,Paramètres!$A$1:$I$89,3,0)*0.475*44/12</f>
        <v>0.26367132259812248</v>
      </c>
      <c r="DH162" s="21">
        <f>EXP(-LN(2)/2)*DH161+(1-EXP(-LN(2)/2))/(LN(2)/2)*DB162*DE162*VLOOKUP('Données projet'!$B$13,Paramètres!$A$1:$I$89,3,0)*0.475*44/12</f>
        <v>1.7360700973616155E-19</v>
      </c>
      <c r="DI162" s="22">
        <f t="shared" si="175"/>
        <v>1.1556982836947338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2.2737367544323206E-13</v>
      </c>
      <c r="DP162" s="17">
        <f>DO162*VLOOKUP('Données projet'!$B$14,Paramètres!$A$1:$I$89,3,0)*VLOOKUP('Données projet'!$B$14,Paramètres!$A$1:$I$89,5,0)</f>
        <v>1.0936673788819462E-13</v>
      </c>
      <c r="DQ162" s="13">
        <f t="shared" si="176"/>
        <v>1.6259645746645945E-12</v>
      </c>
      <c r="DR162" s="20">
        <f t="shared" si="177"/>
        <v>3.0223687026961078E-12</v>
      </c>
      <c r="DS162" s="59">
        <f t="shared" si="125"/>
        <v>293.33333333333633</v>
      </c>
      <c r="DT162" s="59">
        <f ca="1">AVERAGE(OFFSET($DS$3,0,0,'Données projet'!$E$14+1,1))-AVERAGE(OFFSET($H$3,0,0,'Données projet'!$E$14+1,1))</f>
        <v>247.11965163963526</v>
      </c>
      <c r="DU162" s="59">
        <f t="shared" si="152"/>
        <v>61.686311966192704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0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-1.0286385077051818E-13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265.50419397354284</v>
      </c>
      <c r="T163" s="59">
        <f t="shared" si="142"/>
        <v>156.67965022779907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0.25392838683810104</v>
      </c>
      <c r="AA163" s="21">
        <f>EXP(-LN(2)/25)*AA162+(1-EXP(-LN(2)/25))/(LN(2)/25)*Calculateur!V163*Calculateur!X163*VLOOKUP('Données projet'!$B$9,Paramètres!$A$1:$I$89,3,0)*0.475*44/12</f>
        <v>0.11413249072983554</v>
      </c>
      <c r="AB163" s="21">
        <f>EXP(-LN(2)/2)*AB162+(1-EXP(-LN(2)/2))/(LN(2)/2)*V163*Y163*VLOOKUP('Données projet'!$B$9,Paramètres!$A$1:$I$89,3,0)*0.475*44/12</f>
        <v>1.6541458430519235E-19</v>
      </c>
      <c r="AC163" s="22">
        <f t="shared" si="163"/>
        <v>0.3680608775679366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-1.1527845344971866E-13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296.43642006376018</v>
      </c>
      <c r="AO163" s="59">
        <f t="shared" si="144"/>
        <v>179.56041631665812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0.28457491628407861</v>
      </c>
      <c r="AV163" s="21">
        <f>EXP(-LN(2)/25)*AV162+(1-EXP(-LN(2)/25))/(LN(2)/25)*Calculateur!AQ163*Calculateur!AS163*VLOOKUP('Données projet'!$B$10,Paramètres!$A$1:$I$89,3,0)*0.475*44/12</f>
        <v>0.12790710167998795</v>
      </c>
      <c r="AW163" s="21">
        <f>EXP(-LN(2)/2)*AW162+(1-EXP(-LN(2)/2))/(LN(2)/2)*AQ163*AT163*VLOOKUP('Données projet'!$B$10,Paramètres!$A$1:$I$89,3,0)*0.475*44/12</f>
        <v>1.8537841344547425E-19</v>
      </c>
      <c r="AX163" s="21">
        <f t="shared" si="166"/>
        <v>0.41248201796406658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5.6843418860808015E-14</v>
      </c>
      <c r="BE163" s="13">
        <f>BD163*VLOOKUP('Données projet'!$B$11,Paramètres!$A$1:$I$89,3,0)*VLOOKUP('Données projet'!$B$11,Paramètres!$A$1:$I$89,5,0)</f>
        <v>3.813056537183002E-14</v>
      </c>
      <c r="BF163" s="13">
        <f t="shared" si="167"/>
        <v>6.4086286045526829E-13</v>
      </c>
      <c r="BG163" s="20">
        <f t="shared" si="168"/>
        <v>1.1825802166488628E-12</v>
      </c>
      <c r="BH163" s="59">
        <f t="shared" si="116"/>
        <v>293.33333333333451</v>
      </c>
      <c r="BI163" s="59">
        <f ca="1">AVERAGE(OFFSET($BH$3,0,0,'Données projet'!$E$11+1,1))-AVERAGE(OFFSET($H$3,0,0,'Données projet'!$E$11+1,1))</f>
        <v>181.32837315090507</v>
      </c>
      <c r="BJ163" s="59">
        <f t="shared" si="146"/>
        <v>175.03267817980338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0.41725492336883924</v>
      </c>
      <c r="BQ163" s="21">
        <f>EXP(-LN(2)/25)*BQ162+(1-EXP(-LN(2)/25))/(LN(2)/25)*Calculateur!BL163*Calculateur!BN163*VLOOKUP('Données projet'!$B$11,Paramètres!$A$1:$I$89,3,0)*0.475*44/12</f>
        <v>0.18505722098351099</v>
      </c>
      <c r="BR163" s="21">
        <f>EXP(-LN(2)/2)*BR162+(1-EXP(-LN(2)/2))/(LN(2)/2)*BL163*BO163*VLOOKUP('Données projet'!$B$11,Paramètres!$A$1:$I$89,3,0)*0.475*44/12</f>
        <v>2.8755838492524014E-20</v>
      </c>
      <c r="BS163" s="22">
        <f t="shared" si="169"/>
        <v>0.60231214435235025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574.49999999999989</v>
      </c>
      <c r="BZ163" s="13">
        <f>BY163*VLOOKUP('Données projet'!$B$12,Paramètres!$A$1:$I$89,3,0)*VLOOKUP('Données projet'!$B$12,Paramètres!$A$1:$I$89,5,0)</f>
        <v>268.86599999999999</v>
      </c>
      <c r="CA163" s="13">
        <f t="shared" si="170"/>
        <v>64.608546947682441</v>
      </c>
      <c r="CB163" s="20">
        <f t="shared" si="171"/>
        <v>580.80150260054677</v>
      </c>
      <c r="CC163" s="59">
        <f t="shared" si="119"/>
        <v>874.13483593388014</v>
      </c>
      <c r="CD163" s="59">
        <f ca="1">AVERAGE(OFFSET($CC$3,0,0,'Données projet'!$E$12+1,1))-AVERAGE(OFFSET($H$3,0,0,'Données projet'!$E$12+1,1))</f>
        <v>226.0452828290525</v>
      </c>
      <c r="CE163" s="59">
        <f t="shared" si="148"/>
        <v>179.89696397462069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0.69149822908780656</v>
      </c>
      <c r="CL163" s="21">
        <f>EXP(-LN(2)/25)*CL162+(1-EXP(-LN(2)/25))/(LN(2)/25)*Calculateur!CG163*Calculateur!CI163*VLOOKUP('Données projet'!$B$12,Paramètres!$A$1:$I$89,3,0)*0.475*44/12</f>
        <v>0.30336837800421512</v>
      </c>
      <c r="CM163" s="21">
        <f>EXP(-LN(2)/2)*CM162+(1-EXP(-LN(2)/2))/(LN(2)/2)*CG163*CJ163*VLOOKUP('Données projet'!$B$12,Paramètres!$A$1:$I$89,3,0)*0.475*44/12</f>
        <v>2.9932460166065893E-19</v>
      </c>
      <c r="CN163" s="22">
        <f t="shared" si="172"/>
        <v>0.99486660709202168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482.74318690313885</v>
      </c>
      <c r="CZ163" s="59">
        <f t="shared" si="150"/>
        <v>205.57161411620217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0.87453485647222928</v>
      </c>
      <c r="DG163" s="21">
        <f>EXP(-LN(2)/25)*DG162+(1-EXP(-LN(2)/25))/(LN(2)/25)*Calculateur!DB163*Calculateur!DD163*VLOOKUP('Données projet'!$B$13,Paramètres!$A$1:$I$89,3,0)*0.475*44/12</f>
        <v>0.2564612164158046</v>
      </c>
      <c r="DH163" s="21">
        <f>EXP(-LN(2)/2)*DH162+(1-EXP(-LN(2)/2))/(LN(2)/2)*DB163*DE163*VLOOKUP('Données projet'!$B$13,Paramètres!$A$1:$I$89,3,0)*0.475*44/12</f>
        <v>1.2275869384595881E-19</v>
      </c>
      <c r="DI163" s="22">
        <f t="shared" si="175"/>
        <v>1.1309960728880339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2.2737367544323206E-13</v>
      </c>
      <c r="DP163" s="17">
        <f>DO163*VLOOKUP('Données projet'!$B$14,Paramètres!$A$1:$I$89,3,0)*VLOOKUP('Données projet'!$B$14,Paramètres!$A$1:$I$89,5,0)</f>
        <v>1.0936673788819462E-13</v>
      </c>
      <c r="DQ163" s="13">
        <f t="shared" si="176"/>
        <v>1.6259645746645945E-12</v>
      </c>
      <c r="DR163" s="20">
        <f t="shared" si="177"/>
        <v>3.0223687026961078E-12</v>
      </c>
      <c r="DS163" s="59">
        <f t="shared" si="125"/>
        <v>293.33333333333633</v>
      </c>
      <c r="DT163" s="59">
        <f ca="1">AVERAGE(OFFSET($DS$3,0,0,'Données projet'!$E$14+1,1))-AVERAGE(OFFSET($H$3,0,0,'Données projet'!$E$14+1,1))</f>
        <v>247.11965163963526</v>
      </c>
      <c r="DU163" s="59">
        <f t="shared" si="152"/>
        <v>61.686311966192704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0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-1.0286385077051818E-13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265.50419397354284</v>
      </c>
      <c r="T164" s="59">
        <f t="shared" si="142"/>
        <v>156.67965022779907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0.24894900605322862</v>
      </c>
      <c r="AA164" s="21">
        <f>EXP(-LN(2)/25)*AA163+(1-EXP(-LN(2)/25))/(LN(2)/25)*Calculateur!V164*Calculateur!X164*VLOOKUP('Données projet'!$B$9,Paramètres!$A$1:$I$89,3,0)*0.475*44/12</f>
        <v>0.11101153176886136</v>
      </c>
      <c r="AB164" s="21">
        <f>EXP(-LN(2)/2)*AB163+(1-EXP(-LN(2)/2))/(LN(2)/2)*V164*Y164*VLOOKUP('Données projet'!$B$9,Paramètres!$A$1:$I$89,3,0)*0.475*44/12</f>
        <v>1.1696577426935536E-19</v>
      </c>
      <c r="AC164" s="22">
        <f t="shared" si="163"/>
        <v>0.35996053782208998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-1.1527845344971866E-13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296.43642006376018</v>
      </c>
      <c r="AO164" s="59">
        <f t="shared" si="144"/>
        <v>179.56041631665812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0.2789945757493078</v>
      </c>
      <c r="AV164" s="21">
        <f>EXP(-LN(2)/25)*AV163+(1-EXP(-LN(2)/25))/(LN(2)/25)*Calculateur!AQ164*Calculateur!AS164*VLOOKUP('Données projet'!$B$10,Paramètres!$A$1:$I$89,3,0)*0.475*44/12</f>
        <v>0.12440947525820653</v>
      </c>
      <c r="AW164" s="21">
        <f>EXP(-LN(2)/2)*AW163+(1-EXP(-LN(2)/2))/(LN(2)/2)*AQ164*AT164*VLOOKUP('Données projet'!$B$10,Paramètres!$A$1:$I$89,3,0)*0.475*44/12</f>
        <v>1.3108233323289829E-19</v>
      </c>
      <c r="AX164" s="21">
        <f t="shared" si="166"/>
        <v>0.40340405100751431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5.6843418860808015E-14</v>
      </c>
      <c r="BE164" s="13">
        <f>BD164*VLOOKUP('Données projet'!$B$11,Paramètres!$A$1:$I$89,3,0)*VLOOKUP('Données projet'!$B$11,Paramètres!$A$1:$I$89,5,0)</f>
        <v>3.813056537183002E-14</v>
      </c>
      <c r="BF164" s="13">
        <f t="shared" si="167"/>
        <v>6.4086286045526829E-13</v>
      </c>
      <c r="BG164" s="20">
        <f t="shared" si="168"/>
        <v>1.1825802166488628E-12</v>
      </c>
      <c r="BH164" s="59">
        <f t="shared" si="116"/>
        <v>293.33333333333451</v>
      </c>
      <c r="BI164" s="59">
        <f ca="1">AVERAGE(OFFSET($BH$3,0,0,'Données projet'!$E$11+1,1))-AVERAGE(OFFSET($H$3,0,0,'Données projet'!$E$11+1,1))</f>
        <v>181.32837315090507</v>
      </c>
      <c r="BJ164" s="59">
        <f t="shared" si="146"/>
        <v>175.03267817980338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0.40907280882194974</v>
      </c>
      <c r="BQ164" s="21">
        <f>EXP(-LN(2)/25)*BQ163+(1-EXP(-LN(2)/25))/(LN(2)/25)*Calculateur!BL164*Calculateur!BN164*VLOOKUP('Données projet'!$B$11,Paramètres!$A$1:$I$89,3,0)*0.475*44/12</f>
        <v>0.17999682154398058</v>
      </c>
      <c r="BR164" s="21">
        <f>EXP(-LN(2)/2)*BR163+(1-EXP(-LN(2)/2))/(LN(2)/2)*BL164*BO164*VLOOKUP('Données projet'!$B$11,Paramètres!$A$1:$I$89,3,0)*0.475*44/12</f>
        <v>2.0333448396768879E-20</v>
      </c>
      <c r="BS164" s="22">
        <f t="shared" si="169"/>
        <v>0.5890696303659303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574.49999999999989</v>
      </c>
      <c r="BZ164" s="13">
        <f>BY164*VLOOKUP('Données projet'!$B$12,Paramètres!$A$1:$I$89,3,0)*VLOOKUP('Données projet'!$B$12,Paramètres!$A$1:$I$89,5,0)</f>
        <v>268.86599999999999</v>
      </c>
      <c r="CA164" s="13">
        <f t="shared" si="170"/>
        <v>64.608546947682441</v>
      </c>
      <c r="CB164" s="20">
        <f t="shared" si="171"/>
        <v>580.80150260054677</v>
      </c>
      <c r="CC164" s="59">
        <f t="shared" si="119"/>
        <v>874.13483593388014</v>
      </c>
      <c r="CD164" s="59">
        <f ca="1">AVERAGE(OFFSET($CC$3,0,0,'Données projet'!$E$12+1,1))-AVERAGE(OFFSET($H$3,0,0,'Données projet'!$E$12+1,1))</f>
        <v>226.0452828290525</v>
      </c>
      <c r="CE164" s="59">
        <f t="shared" si="148"/>
        <v>179.89696397462069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0.67793837058766782</v>
      </c>
      <c r="CL164" s="21">
        <f>EXP(-LN(2)/25)*CL163+(1-EXP(-LN(2)/25))/(LN(2)/25)*Calculateur!CG164*Calculateur!CI164*VLOOKUP('Données projet'!$B$12,Paramètres!$A$1:$I$89,3,0)*0.475*44/12</f>
        <v>0.29507275375424019</v>
      </c>
      <c r="CM164" s="21">
        <f>EXP(-LN(2)/2)*CM163+(1-EXP(-LN(2)/2))/(LN(2)/2)*CG164*CJ164*VLOOKUP('Données projet'!$B$12,Paramètres!$A$1:$I$89,3,0)*0.475*44/12</f>
        <v>2.1165445561021407E-19</v>
      </c>
      <c r="CN164" s="22">
        <f t="shared" si="172"/>
        <v>0.97301112434190795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482.74318690313885</v>
      </c>
      <c r="CZ164" s="59">
        <f t="shared" si="150"/>
        <v>205.57161411620217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0.85738576135040112</v>
      </c>
      <c r="DG164" s="21">
        <f>EXP(-LN(2)/25)*DG163+(1-EXP(-LN(2)/25))/(LN(2)/25)*Calculateur!DB164*Calculateur!DD164*VLOOKUP('Données projet'!$B$13,Paramètres!$A$1:$I$89,3,0)*0.475*44/12</f>
        <v>0.2494482709662052</v>
      </c>
      <c r="DH164" s="21">
        <f>EXP(-LN(2)/2)*DH163+(1-EXP(-LN(2)/2))/(LN(2)/2)*DB164*DE164*VLOOKUP('Données projet'!$B$13,Paramètres!$A$1:$I$89,3,0)*0.475*44/12</f>
        <v>8.6803504868080777E-20</v>
      </c>
      <c r="DI164" s="22">
        <f t="shared" si="175"/>
        <v>1.1068340323166064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2.2737367544323206E-13</v>
      </c>
      <c r="DP164" s="17">
        <f>DO164*VLOOKUP('Données projet'!$B$14,Paramètres!$A$1:$I$89,3,0)*VLOOKUP('Données projet'!$B$14,Paramètres!$A$1:$I$89,5,0)</f>
        <v>1.0936673788819462E-13</v>
      </c>
      <c r="DQ164" s="13">
        <f t="shared" si="176"/>
        <v>1.6259645746645945E-12</v>
      </c>
      <c r="DR164" s="20">
        <f t="shared" si="177"/>
        <v>3.0223687026961078E-12</v>
      </c>
      <c r="DS164" s="59">
        <f t="shared" si="125"/>
        <v>293.33333333333633</v>
      </c>
      <c r="DT164" s="59">
        <f ca="1">AVERAGE(OFFSET($DS$3,0,0,'Données projet'!$E$14+1,1))-AVERAGE(OFFSET($H$3,0,0,'Données projet'!$E$14+1,1))</f>
        <v>247.11965163963526</v>
      </c>
      <c r="DU164" s="59">
        <f t="shared" si="152"/>
        <v>61.686311966192704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0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-1.0286385077051818E-13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265.50419397354284</v>
      </c>
      <c r="T165" s="59">
        <f t="shared" si="142"/>
        <v>156.67965022779907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0.24406726788842514</v>
      </c>
      <c r="AA165" s="21">
        <f>EXP(-LN(2)/25)*AA164+(1-EXP(-LN(2)/25))/(LN(2)/25)*Calculateur!V165*Calculateur!X165*VLOOKUP('Données projet'!$B$9,Paramètres!$A$1:$I$89,3,0)*0.475*44/12</f>
        <v>0.1079759155947991</v>
      </c>
      <c r="AB165" s="21">
        <f>EXP(-LN(2)/2)*AB164+(1-EXP(-LN(2)/2))/(LN(2)/2)*V165*Y165*VLOOKUP('Données projet'!$B$9,Paramètres!$A$1:$I$89,3,0)*0.475*44/12</f>
        <v>8.2707292152596173E-20</v>
      </c>
      <c r="AC165" s="22">
        <f t="shared" si="163"/>
        <v>0.35204318348322428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-1.1527845344971866E-13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296.43642006376018</v>
      </c>
      <c r="AO165" s="59">
        <f t="shared" si="144"/>
        <v>179.56041631665812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0.27352366228875219</v>
      </c>
      <c r="AV165" s="21">
        <f>EXP(-LN(2)/25)*AV164+(1-EXP(-LN(2)/25))/(LN(2)/25)*Calculateur!AQ165*Calculateur!AS165*VLOOKUP('Données projet'!$B$10,Paramètres!$A$1:$I$89,3,0)*0.475*44/12</f>
        <v>0.12100749161486091</v>
      </c>
      <c r="AW165" s="21">
        <f>EXP(-LN(2)/2)*AW164+(1-EXP(-LN(2)/2))/(LN(2)/2)*AQ165*AT165*VLOOKUP('Données projet'!$B$10,Paramètres!$A$1:$I$89,3,0)*0.475*44/12</f>
        <v>9.2689206722737123E-20</v>
      </c>
      <c r="AX165" s="21">
        <f t="shared" si="166"/>
        <v>0.3945311539036131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5.6843418860808015E-14</v>
      </c>
      <c r="BE165" s="13">
        <f>BD165*VLOOKUP('Données projet'!$B$11,Paramètres!$A$1:$I$89,3,0)*VLOOKUP('Données projet'!$B$11,Paramètres!$A$1:$I$89,5,0)</f>
        <v>3.813056537183002E-14</v>
      </c>
      <c r="BF165" s="13">
        <f t="shared" si="167"/>
        <v>6.4086286045526829E-13</v>
      </c>
      <c r="BG165" s="20">
        <f t="shared" si="168"/>
        <v>1.1825802166488628E-12</v>
      </c>
      <c r="BH165" s="59">
        <f t="shared" si="116"/>
        <v>293.33333333333451</v>
      </c>
      <c r="BI165" s="59">
        <f ca="1">AVERAGE(OFFSET($BH$3,0,0,'Données projet'!$E$11+1,1))-AVERAGE(OFFSET($H$3,0,0,'Données projet'!$E$11+1,1))</f>
        <v>181.32837315090507</v>
      </c>
      <c r="BJ165" s="59">
        <f t="shared" si="146"/>
        <v>175.03267817980338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0.40105114055072766</v>
      </c>
      <c r="BQ165" s="21">
        <f>EXP(-LN(2)/25)*BQ164+(1-EXP(-LN(2)/25))/(LN(2)/25)*Calculateur!BL165*Calculateur!BN165*VLOOKUP('Données projet'!$B$11,Paramètres!$A$1:$I$89,3,0)*0.475*44/12</f>
        <v>0.17507479899323897</v>
      </c>
      <c r="BR165" s="21">
        <f>EXP(-LN(2)/2)*BR164+(1-EXP(-LN(2)/2))/(LN(2)/2)*BL165*BO165*VLOOKUP('Données projet'!$B$11,Paramètres!$A$1:$I$89,3,0)*0.475*44/12</f>
        <v>1.4377919246262007E-20</v>
      </c>
      <c r="BS165" s="22">
        <f t="shared" si="169"/>
        <v>0.57612593954396663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574.49999999999989</v>
      </c>
      <c r="BZ165" s="13">
        <f>BY165*VLOOKUP('Données projet'!$B$12,Paramètres!$A$1:$I$89,3,0)*VLOOKUP('Données projet'!$B$12,Paramètres!$A$1:$I$89,5,0)</f>
        <v>268.86599999999999</v>
      </c>
      <c r="CA165" s="13">
        <f t="shared" si="170"/>
        <v>64.608546947682441</v>
      </c>
      <c r="CB165" s="20">
        <f t="shared" si="171"/>
        <v>580.80150260054677</v>
      </c>
      <c r="CC165" s="59">
        <f t="shared" si="119"/>
        <v>874.13483593388014</v>
      </c>
      <c r="CD165" s="59">
        <f ca="1">AVERAGE(OFFSET($CC$3,0,0,'Données projet'!$E$12+1,1))-AVERAGE(OFFSET($H$3,0,0,'Données projet'!$E$12+1,1))</f>
        <v>226.0452828290525</v>
      </c>
      <c r="CE165" s="59">
        <f t="shared" si="148"/>
        <v>179.89696397462069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0.66464441264201979</v>
      </c>
      <c r="CL165" s="21">
        <f>EXP(-LN(2)/25)*CL164+(1-EXP(-LN(2)/25))/(LN(2)/25)*Calculateur!CG165*Calculateur!CI165*VLOOKUP('Données projet'!$B$12,Paramètres!$A$1:$I$89,3,0)*0.475*44/12</f>
        <v>0.28700397378562875</v>
      </c>
      <c r="CM165" s="21">
        <f>EXP(-LN(2)/2)*CM164+(1-EXP(-LN(2)/2))/(LN(2)/2)*CG165*CJ165*VLOOKUP('Données projet'!$B$12,Paramètres!$A$1:$I$89,3,0)*0.475*44/12</f>
        <v>1.4966230083032949E-19</v>
      </c>
      <c r="CN165" s="22">
        <f t="shared" si="172"/>
        <v>0.9516483864276486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482.74318690313885</v>
      </c>
      <c r="CZ165" s="59">
        <f t="shared" si="150"/>
        <v>205.57161411620217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0.84057294952399675</v>
      </c>
      <c r="DG165" s="21">
        <f>EXP(-LN(2)/25)*DG164+(1-EXP(-LN(2)/25))/(LN(2)/25)*Calculateur!DB165*Calculateur!DD165*VLOOKUP('Données projet'!$B$13,Paramètres!$A$1:$I$89,3,0)*0.475*44/12</f>
        <v>0.24262709487871986</v>
      </c>
      <c r="DH165" s="21">
        <f>EXP(-LN(2)/2)*DH164+(1-EXP(-LN(2)/2))/(LN(2)/2)*DB165*DE165*VLOOKUP('Données projet'!$B$13,Paramètres!$A$1:$I$89,3,0)*0.475*44/12</f>
        <v>6.1379346922979407E-20</v>
      </c>
      <c r="DI165" s="22">
        <f t="shared" si="175"/>
        <v>1.0832000444027166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2.2737367544323206E-13</v>
      </c>
      <c r="DP165" s="17">
        <f>DO165*VLOOKUP('Données projet'!$B$14,Paramètres!$A$1:$I$89,3,0)*VLOOKUP('Données projet'!$B$14,Paramètres!$A$1:$I$89,5,0)</f>
        <v>1.0936673788819462E-13</v>
      </c>
      <c r="DQ165" s="13">
        <f t="shared" si="176"/>
        <v>1.6259645746645945E-12</v>
      </c>
      <c r="DR165" s="20">
        <f t="shared" si="177"/>
        <v>3.0223687026961078E-12</v>
      </c>
      <c r="DS165" s="59">
        <f t="shared" si="125"/>
        <v>293.33333333333633</v>
      </c>
      <c r="DT165" s="59">
        <f ca="1">AVERAGE(OFFSET($DS$3,0,0,'Données projet'!$E$14+1,1))-AVERAGE(OFFSET($H$3,0,0,'Données projet'!$E$14+1,1))</f>
        <v>247.11965163963526</v>
      </c>
      <c r="DU165" s="59">
        <f t="shared" si="152"/>
        <v>61.686311966192704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0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-1.0286385077051818E-13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265.50419397354284</v>
      </c>
      <c r="T166" s="59">
        <f t="shared" si="142"/>
        <v>156.67965022779907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0.23928125763146721</v>
      </c>
      <c r="AA166" s="21">
        <f>EXP(-LN(2)/25)*AA165+(1-EXP(-LN(2)/25))/(LN(2)/25)*Calculateur!V166*Calculateur!X166*VLOOKUP('Données projet'!$B$9,Paramètres!$A$1:$I$89,3,0)*0.475*44/12</f>
        <v>0.1050233085046527</v>
      </c>
      <c r="AB166" s="21">
        <f>EXP(-LN(2)/2)*AB165+(1-EXP(-LN(2)/2))/(LN(2)/2)*V166*Y166*VLOOKUP('Données projet'!$B$9,Paramètres!$A$1:$I$89,3,0)*0.475*44/12</f>
        <v>5.8482887134677682E-20</v>
      </c>
      <c r="AC166" s="22">
        <f t="shared" si="163"/>
        <v>0.34430456613611993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-1.1527845344971866E-13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296.43642006376018</v>
      </c>
      <c r="AO166" s="59">
        <f t="shared" si="144"/>
        <v>179.56041631665812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0.2681600301042304</v>
      </c>
      <c r="AV166" s="21">
        <f>EXP(-LN(2)/25)*AV165+(1-EXP(-LN(2)/25))/(LN(2)/25)*Calculateur!AQ166*Calculateur!AS166*VLOOKUP('Données projet'!$B$10,Paramètres!$A$1:$I$89,3,0)*0.475*44/12</f>
        <v>0.11769853539314512</v>
      </c>
      <c r="AW166" s="21">
        <f>EXP(-LN(2)/2)*AW165+(1-EXP(-LN(2)/2))/(LN(2)/2)*AQ166*AT166*VLOOKUP('Données projet'!$B$10,Paramètres!$A$1:$I$89,3,0)*0.475*44/12</f>
        <v>6.5541166616449147E-20</v>
      </c>
      <c r="AX166" s="21">
        <f t="shared" si="166"/>
        <v>0.38585856549737552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5.6843418860808015E-14</v>
      </c>
      <c r="BE166" s="13">
        <f>BD166*VLOOKUP('Données projet'!$B$11,Paramètres!$A$1:$I$89,3,0)*VLOOKUP('Données projet'!$B$11,Paramètres!$A$1:$I$89,5,0)</f>
        <v>3.813056537183002E-14</v>
      </c>
      <c r="BF166" s="13">
        <f t="shared" si="167"/>
        <v>6.4086286045526829E-13</v>
      </c>
      <c r="BG166" s="20">
        <f t="shared" si="168"/>
        <v>1.1825802166488628E-12</v>
      </c>
      <c r="BH166" s="59">
        <f t="shared" si="116"/>
        <v>293.33333333333451</v>
      </c>
      <c r="BI166" s="59">
        <f ca="1">AVERAGE(OFFSET($BH$3,0,0,'Données projet'!$E$11+1,1))-AVERAGE(OFFSET($H$3,0,0,'Données projet'!$E$11+1,1))</f>
        <v>181.32837315090507</v>
      </c>
      <c r="BJ166" s="59">
        <f t="shared" si="146"/>
        <v>175.03267817980338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0.39318677230156968</v>
      </c>
      <c r="BQ166" s="21">
        <f>EXP(-LN(2)/25)*BQ165+(1-EXP(-LN(2)/25))/(LN(2)/25)*Calculateur!BL166*Calculateur!BN166*VLOOKUP('Données projet'!$B$11,Paramètres!$A$1:$I$89,3,0)*0.475*44/12</f>
        <v>0.17028736940798531</v>
      </c>
      <c r="BR166" s="21">
        <f>EXP(-LN(2)/2)*BR165+(1-EXP(-LN(2)/2))/(LN(2)/2)*BL166*BO166*VLOOKUP('Données projet'!$B$11,Paramètres!$A$1:$I$89,3,0)*0.475*44/12</f>
        <v>1.016672419838444E-20</v>
      </c>
      <c r="BS166" s="22">
        <f t="shared" si="169"/>
        <v>0.56347414170955501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574.49999999999989</v>
      </c>
      <c r="BZ166" s="13">
        <f>BY166*VLOOKUP('Données projet'!$B$12,Paramètres!$A$1:$I$89,3,0)*VLOOKUP('Données projet'!$B$12,Paramètres!$A$1:$I$89,5,0)</f>
        <v>268.86599999999999</v>
      </c>
      <c r="CA166" s="13">
        <f t="shared" si="170"/>
        <v>64.608546947682441</v>
      </c>
      <c r="CB166" s="20">
        <f t="shared" si="171"/>
        <v>580.80150260054677</v>
      </c>
      <c r="CC166" s="59">
        <f t="shared" si="119"/>
        <v>874.13483593388014</v>
      </c>
      <c r="CD166" s="59">
        <f ca="1">AVERAGE(OFFSET($CC$3,0,0,'Données projet'!$E$12+1,1))-AVERAGE(OFFSET($H$3,0,0,'Données projet'!$E$12+1,1))</f>
        <v>226.0452828290525</v>
      </c>
      <c r="CE166" s="59">
        <f t="shared" si="148"/>
        <v>179.89696397462069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0.6516111411031722</v>
      </c>
      <c r="CL166" s="21">
        <f>EXP(-LN(2)/25)*CL165+(1-EXP(-LN(2)/25))/(LN(2)/25)*Calculateur!CG166*Calculateur!CI166*VLOOKUP('Données projet'!$B$12,Paramètres!$A$1:$I$89,3,0)*0.475*44/12</f>
        <v>0.27915583502957769</v>
      </c>
      <c r="CM166" s="21">
        <f>EXP(-LN(2)/2)*CM165+(1-EXP(-LN(2)/2))/(LN(2)/2)*CG166*CJ166*VLOOKUP('Données projet'!$B$12,Paramètres!$A$1:$I$89,3,0)*0.475*44/12</f>
        <v>1.0582722780510705E-19</v>
      </c>
      <c r="CN166" s="22">
        <f t="shared" si="172"/>
        <v>0.93076697613274995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482.74318690313885</v>
      </c>
      <c r="CZ166" s="59">
        <f t="shared" si="150"/>
        <v>205.57161411620217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0.82408982668270558</v>
      </c>
      <c r="DG166" s="21">
        <f>EXP(-LN(2)/25)*DG165+(1-EXP(-LN(2)/25))/(LN(2)/25)*Calculateur!DB166*Calculateur!DD166*VLOOKUP('Données projet'!$B$13,Paramètres!$A$1:$I$89,3,0)*0.475*44/12</f>
        <v>0.23599244421005688</v>
      </c>
      <c r="DH166" s="21">
        <f>EXP(-LN(2)/2)*DH165+(1-EXP(-LN(2)/2))/(LN(2)/2)*DB166*DE166*VLOOKUP('Données projet'!$B$13,Paramètres!$A$1:$I$89,3,0)*0.475*44/12</f>
        <v>4.3401752434040389E-20</v>
      </c>
      <c r="DI166" s="22">
        <f t="shared" si="175"/>
        <v>1.0600822708927624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2.2737367544323206E-13</v>
      </c>
      <c r="DP166" s="17">
        <f>DO166*VLOOKUP('Données projet'!$B$14,Paramètres!$A$1:$I$89,3,0)*VLOOKUP('Données projet'!$B$14,Paramètres!$A$1:$I$89,5,0)</f>
        <v>1.0936673788819462E-13</v>
      </c>
      <c r="DQ166" s="13">
        <f t="shared" si="176"/>
        <v>1.6259645746645945E-12</v>
      </c>
      <c r="DR166" s="20">
        <f t="shared" si="177"/>
        <v>3.0223687026961078E-12</v>
      </c>
      <c r="DS166" s="59">
        <f t="shared" si="125"/>
        <v>293.33333333333633</v>
      </c>
      <c r="DT166" s="59">
        <f ca="1">AVERAGE(OFFSET($DS$3,0,0,'Données projet'!$E$14+1,1))-AVERAGE(OFFSET($H$3,0,0,'Données projet'!$E$14+1,1))</f>
        <v>247.11965163963526</v>
      </c>
      <c r="DU166" s="59">
        <f t="shared" si="152"/>
        <v>61.686311966192704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0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-1.0286385077051818E-13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265.50419397354284</v>
      </c>
      <c r="T167" s="59">
        <f t="shared" si="142"/>
        <v>156.67965022779907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0.23458909811647022</v>
      </c>
      <c r="AA167" s="21">
        <f>EXP(-LN(2)/25)*AA166+(1-EXP(-LN(2)/25))/(LN(2)/25)*Calculateur!V167*Calculateur!X167*VLOOKUP('Données projet'!$B$9,Paramètres!$A$1:$I$89,3,0)*0.475*44/12</f>
        <v>0.10215144061065722</v>
      </c>
      <c r="AB167" s="21">
        <f>EXP(-LN(2)/2)*AB166+(1-EXP(-LN(2)/2))/(LN(2)/2)*V167*Y167*VLOOKUP('Données projet'!$B$9,Paramètres!$A$1:$I$89,3,0)*0.475*44/12</f>
        <v>4.1353646076298087E-20</v>
      </c>
      <c r="AC167" s="22">
        <f t="shared" si="163"/>
        <v>0.33674053872712745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-1.1527845344971866E-13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296.43642006376018</v>
      </c>
      <c r="AO167" s="59">
        <f t="shared" si="144"/>
        <v>179.56041631665812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0.26290157547535442</v>
      </c>
      <c r="AV167" s="21">
        <f>EXP(-LN(2)/25)*AV166+(1-EXP(-LN(2)/25))/(LN(2)/25)*Calculateur!AQ167*Calculateur!AS167*VLOOKUP('Données projet'!$B$10,Paramètres!$A$1:$I$89,3,0)*0.475*44/12</f>
        <v>0.11448006275332259</v>
      </c>
      <c r="AW167" s="21">
        <f>EXP(-LN(2)/2)*AW166+(1-EXP(-LN(2)/2))/(LN(2)/2)*AQ167*AT167*VLOOKUP('Données projet'!$B$10,Paramètres!$A$1:$I$89,3,0)*0.475*44/12</f>
        <v>4.6344603361368561E-20</v>
      </c>
      <c r="AX167" s="21">
        <f t="shared" si="166"/>
        <v>0.37738163822867699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5.6843418860808015E-14</v>
      </c>
      <c r="BE167" s="13">
        <f>BD167*VLOOKUP('Données projet'!$B$11,Paramètres!$A$1:$I$89,3,0)*VLOOKUP('Données projet'!$B$11,Paramètres!$A$1:$I$89,5,0)</f>
        <v>3.813056537183002E-14</v>
      </c>
      <c r="BF167" s="13">
        <f t="shared" si="167"/>
        <v>6.4086286045526829E-13</v>
      </c>
      <c r="BG167" s="20">
        <f t="shared" si="168"/>
        <v>1.1825802166488628E-12</v>
      </c>
      <c r="BH167" s="59">
        <f t="shared" si="116"/>
        <v>293.33333333333451</v>
      </c>
      <c r="BI167" s="59">
        <f ca="1">AVERAGE(OFFSET($BH$3,0,0,'Données projet'!$E$11+1,1))-AVERAGE(OFFSET($H$3,0,0,'Données projet'!$E$11+1,1))</f>
        <v>181.32837315090507</v>
      </c>
      <c r="BJ167" s="59">
        <f t="shared" si="146"/>
        <v>175.03267817980338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0.3854766195169867</v>
      </c>
      <c r="BQ167" s="21">
        <f>EXP(-LN(2)/25)*BQ166+(1-EXP(-LN(2)/25))/(LN(2)/25)*Calculateur!BL167*Calculateur!BN167*VLOOKUP('Données projet'!$B$11,Paramètres!$A$1:$I$89,3,0)*0.475*44/12</f>
        <v>0.16563085233650038</v>
      </c>
      <c r="BR167" s="21">
        <f>EXP(-LN(2)/2)*BR166+(1-EXP(-LN(2)/2))/(LN(2)/2)*BL167*BO167*VLOOKUP('Données projet'!$B$11,Paramètres!$A$1:$I$89,3,0)*0.475*44/12</f>
        <v>7.1889596231310036E-21</v>
      </c>
      <c r="BS167" s="22">
        <f t="shared" si="169"/>
        <v>0.55110747185348707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574.49999999999989</v>
      </c>
      <c r="BZ167" s="13">
        <f>BY167*VLOOKUP('Données projet'!$B$12,Paramètres!$A$1:$I$89,3,0)*VLOOKUP('Données projet'!$B$12,Paramètres!$A$1:$I$89,5,0)</f>
        <v>268.86599999999999</v>
      </c>
      <c r="CA167" s="13">
        <f t="shared" si="170"/>
        <v>64.608546947682441</v>
      </c>
      <c r="CB167" s="20">
        <f t="shared" si="171"/>
        <v>580.80150260054677</v>
      </c>
      <c r="CC167" s="59">
        <f t="shared" si="119"/>
        <v>874.13483593388014</v>
      </c>
      <c r="CD167" s="59">
        <f ca="1">AVERAGE(OFFSET($CC$3,0,0,'Données projet'!$E$12+1,1))-AVERAGE(OFFSET($H$3,0,0,'Données projet'!$E$12+1,1))</f>
        <v>226.0452828290525</v>
      </c>
      <c r="CE167" s="59">
        <f t="shared" si="148"/>
        <v>179.89696397462069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0.63883344406969078</v>
      </c>
      <c r="CL167" s="21">
        <f>EXP(-LN(2)/25)*CL166+(1-EXP(-LN(2)/25))/(LN(2)/25)*Calculateur!CG167*Calculateur!CI167*VLOOKUP('Données projet'!$B$12,Paramètres!$A$1:$I$89,3,0)*0.475*44/12</f>
        <v>0.27152230404052652</v>
      </c>
      <c r="CM167" s="21">
        <f>EXP(-LN(2)/2)*CM166+(1-EXP(-LN(2)/2))/(LN(2)/2)*CG167*CJ167*VLOOKUP('Données projet'!$B$12,Paramètres!$A$1:$I$89,3,0)*0.475*44/12</f>
        <v>7.4831150415164756E-20</v>
      </c>
      <c r="CN167" s="22">
        <f t="shared" si="172"/>
        <v>0.91035574811021736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482.74318690313885</v>
      </c>
      <c r="CZ167" s="59">
        <f t="shared" si="150"/>
        <v>205.57161411620217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0.80792992782661988</v>
      </c>
      <c r="DG167" s="21">
        <f>EXP(-LN(2)/25)*DG166+(1-EXP(-LN(2)/25))/(LN(2)/25)*Calculateur!DB167*Calculateur!DD167*VLOOKUP('Données projet'!$B$13,Paramètres!$A$1:$I$89,3,0)*0.475*44/12</f>
        <v>0.22953921841282959</v>
      </c>
      <c r="DH167" s="21">
        <f>EXP(-LN(2)/2)*DH166+(1-EXP(-LN(2)/2))/(LN(2)/2)*DB167*DE167*VLOOKUP('Données projet'!$B$13,Paramètres!$A$1:$I$89,3,0)*0.475*44/12</f>
        <v>3.0689673461489703E-20</v>
      </c>
      <c r="DI167" s="22">
        <f t="shared" si="175"/>
        <v>1.0374691462394494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2.2737367544323206E-13</v>
      </c>
      <c r="DP167" s="17">
        <f>DO167*VLOOKUP('Données projet'!$B$14,Paramètres!$A$1:$I$89,3,0)*VLOOKUP('Données projet'!$B$14,Paramètres!$A$1:$I$89,5,0)</f>
        <v>1.0936673788819462E-13</v>
      </c>
      <c r="DQ167" s="13">
        <f t="shared" si="176"/>
        <v>1.6259645746645945E-12</v>
      </c>
      <c r="DR167" s="20">
        <f t="shared" si="177"/>
        <v>3.0223687026961078E-12</v>
      </c>
      <c r="DS167" s="59">
        <f t="shared" si="125"/>
        <v>293.33333333333633</v>
      </c>
      <c r="DT167" s="59">
        <f ca="1">AVERAGE(OFFSET($DS$3,0,0,'Données projet'!$E$14+1,1))-AVERAGE(OFFSET($H$3,0,0,'Données projet'!$E$14+1,1))</f>
        <v>247.11965163963526</v>
      </c>
      <c r="DU167" s="59">
        <f t="shared" si="152"/>
        <v>61.686311966192704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0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-1.0286385077051818E-13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265.50419397354284</v>
      </c>
      <c r="T168" s="59">
        <f t="shared" si="142"/>
        <v>156.67965022779907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0.22998894898762759</v>
      </c>
      <c r="AA168" s="21">
        <f>EXP(-LN(2)/25)*AA167+(1-EXP(-LN(2)/25))/(LN(2)/25)*Calculateur!V168*Calculateur!X168*VLOOKUP('Données projet'!$B$9,Paramètres!$A$1:$I$89,3,0)*0.475*44/12</f>
        <v>9.9358104095248007E-2</v>
      </c>
      <c r="AB168" s="21">
        <f>EXP(-LN(2)/2)*AB167+(1-EXP(-LN(2)/2))/(LN(2)/2)*V168*Y168*VLOOKUP('Données projet'!$B$9,Paramètres!$A$1:$I$89,3,0)*0.475*44/12</f>
        <v>2.9241443567338841E-20</v>
      </c>
      <c r="AC168" s="22">
        <f t="shared" si="163"/>
        <v>0.3293470530828756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-1.1527845344971866E-13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296.43642006376018</v>
      </c>
      <c r="AO168" s="59">
        <f t="shared" si="144"/>
        <v>179.56041631665812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0.2577462359344101</v>
      </c>
      <c r="AV168" s="21">
        <f>EXP(-LN(2)/25)*AV167+(1-EXP(-LN(2)/25))/(LN(2)/25)*Calculateur!AQ168*Calculateur!AS168*VLOOKUP('Données projet'!$B$10,Paramètres!$A$1:$I$89,3,0)*0.475*44/12</f>
        <v>0.11134959941708814</v>
      </c>
      <c r="AW168" s="21">
        <f>EXP(-LN(2)/2)*AW167+(1-EXP(-LN(2)/2))/(LN(2)/2)*AQ168*AT168*VLOOKUP('Données projet'!$B$10,Paramètres!$A$1:$I$89,3,0)*0.475*44/12</f>
        <v>3.2770583308224574E-20</v>
      </c>
      <c r="AX168" s="21">
        <f t="shared" si="166"/>
        <v>0.36909583535149826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5.6843418860808015E-14</v>
      </c>
      <c r="BE168" s="13">
        <f>BD168*VLOOKUP('Données projet'!$B$11,Paramètres!$A$1:$I$89,3,0)*VLOOKUP('Données projet'!$B$11,Paramètres!$A$1:$I$89,5,0)</f>
        <v>3.813056537183002E-14</v>
      </c>
      <c r="BF168" s="13">
        <f t="shared" si="167"/>
        <v>6.4086286045526829E-13</v>
      </c>
      <c r="BG168" s="20">
        <f t="shared" si="168"/>
        <v>1.1825802166488628E-12</v>
      </c>
      <c r="BH168" s="59">
        <f t="shared" si="116"/>
        <v>293.33333333333451</v>
      </c>
      <c r="BI168" s="59">
        <f ca="1">AVERAGE(OFFSET($BH$3,0,0,'Données projet'!$E$11+1,1))-AVERAGE(OFFSET($H$3,0,0,'Données projet'!$E$11+1,1))</f>
        <v>181.32837315090507</v>
      </c>
      <c r="BJ168" s="59">
        <f t="shared" si="146"/>
        <v>175.03267817980338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0.37791765812578054</v>
      </c>
      <c r="BQ168" s="21">
        <f>EXP(-LN(2)/25)*BQ167+(1-EXP(-LN(2)/25))/(LN(2)/25)*Calculateur!BL168*Calculateur!BN168*VLOOKUP('Données projet'!$B$11,Paramètres!$A$1:$I$89,3,0)*0.475*44/12</f>
        <v>0.1611016679692108</v>
      </c>
      <c r="BR168" s="21">
        <f>EXP(-LN(2)/2)*BR167+(1-EXP(-LN(2)/2))/(LN(2)/2)*BL168*BO168*VLOOKUP('Données projet'!$B$11,Paramètres!$A$1:$I$89,3,0)*0.475*44/12</f>
        <v>5.0833620991922198E-21</v>
      </c>
      <c r="BS168" s="22">
        <f t="shared" si="169"/>
        <v>0.53901932609499137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574.49999999999989</v>
      </c>
      <c r="BZ168" s="13">
        <f>BY168*VLOOKUP('Données projet'!$B$12,Paramètres!$A$1:$I$89,3,0)*VLOOKUP('Données projet'!$B$12,Paramètres!$A$1:$I$89,5,0)</f>
        <v>268.86599999999999</v>
      </c>
      <c r="CA168" s="13">
        <f t="shared" si="170"/>
        <v>64.608546947682441</v>
      </c>
      <c r="CB168" s="20">
        <f t="shared" si="171"/>
        <v>580.80150260054677</v>
      </c>
      <c r="CC168" s="59">
        <f t="shared" si="119"/>
        <v>874.13483593388014</v>
      </c>
      <c r="CD168" s="59">
        <f ca="1">AVERAGE(OFFSET($CC$3,0,0,'Données projet'!$E$12+1,1))-AVERAGE(OFFSET($H$3,0,0,'Données projet'!$E$12+1,1))</f>
        <v>226.0452828290525</v>
      </c>
      <c r="CE168" s="59">
        <f t="shared" si="148"/>
        <v>179.89696397462069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0.62630630988141034</v>
      </c>
      <c r="CL168" s="21">
        <f>EXP(-LN(2)/25)*CL167+(1-EXP(-LN(2)/25))/(LN(2)/25)*Calculateur!CG168*Calculateur!CI168*VLOOKUP('Données projet'!$B$12,Paramètres!$A$1:$I$89,3,0)*0.475*44/12</f>
        <v>0.26409751235780093</v>
      </c>
      <c r="CM168" s="21">
        <f>EXP(-LN(2)/2)*CM167+(1-EXP(-LN(2)/2))/(LN(2)/2)*CG168*CJ168*VLOOKUP('Données projet'!$B$12,Paramètres!$A$1:$I$89,3,0)*0.475*44/12</f>
        <v>5.2913613902553535E-20</v>
      </c>
      <c r="CN168" s="22">
        <f t="shared" si="172"/>
        <v>0.89040382223921122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482.74318690313885</v>
      </c>
      <c r="CZ168" s="59">
        <f t="shared" si="150"/>
        <v>205.57161411620217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0.79208691473053705</v>
      </c>
      <c r="DG168" s="21">
        <f>EXP(-LN(2)/25)*DG167+(1-EXP(-LN(2)/25))/(LN(2)/25)*Calculateur!DB168*Calculateur!DD168*VLOOKUP('Données projet'!$B$13,Paramètres!$A$1:$I$89,3,0)*0.475*44/12</f>
        <v>0.22326245641438788</v>
      </c>
      <c r="DH168" s="21">
        <f>EXP(-LN(2)/2)*DH167+(1-EXP(-LN(2)/2))/(LN(2)/2)*DB168*DE168*VLOOKUP('Données projet'!$B$13,Paramètres!$A$1:$I$89,3,0)*0.475*44/12</f>
        <v>2.1700876217020194E-20</v>
      </c>
      <c r="DI168" s="22">
        <f t="shared" si="175"/>
        <v>1.0153493711449249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2.2737367544323206E-13</v>
      </c>
      <c r="DP168" s="17">
        <f>DO168*VLOOKUP('Données projet'!$B$14,Paramètres!$A$1:$I$89,3,0)*VLOOKUP('Données projet'!$B$14,Paramètres!$A$1:$I$89,5,0)</f>
        <v>1.0936673788819462E-13</v>
      </c>
      <c r="DQ168" s="13">
        <f t="shared" si="176"/>
        <v>1.6259645746645945E-12</v>
      </c>
      <c r="DR168" s="20">
        <f t="shared" si="177"/>
        <v>3.0223687026961078E-12</v>
      </c>
      <c r="DS168" s="59">
        <f t="shared" si="125"/>
        <v>293.33333333333633</v>
      </c>
      <c r="DT168" s="59">
        <f ca="1">AVERAGE(OFFSET($DS$3,0,0,'Données projet'!$E$14+1,1))-AVERAGE(OFFSET($H$3,0,0,'Données projet'!$E$14+1,1))</f>
        <v>247.11965163963526</v>
      </c>
      <c r="DU168" s="59">
        <f t="shared" si="152"/>
        <v>61.686311966192704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0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-1.0286385077051818E-13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265.50419397354284</v>
      </c>
      <c r="T169" s="59">
        <f t="shared" si="142"/>
        <v>156.67965022779907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0.22547900597738765</v>
      </c>
      <c r="AA169" s="21">
        <f>EXP(-LN(2)/25)*AA168+(1-EXP(-LN(2)/25))/(LN(2)/25)*Calculateur!V169*Calculateur!X169*VLOOKUP('Données projet'!$B$9,Paramètres!$A$1:$I$89,3,0)*0.475*44/12</f>
        <v>9.6641151513747844E-2</v>
      </c>
      <c r="AB169" s="21">
        <f>EXP(-LN(2)/2)*AB168+(1-EXP(-LN(2)/2))/(LN(2)/2)*V169*Y169*VLOOKUP('Données projet'!$B$9,Paramètres!$A$1:$I$89,3,0)*0.475*44/12</f>
        <v>2.0676823038149043E-20</v>
      </c>
      <c r="AC169" s="22">
        <f t="shared" si="163"/>
        <v>0.32212015749113548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-1.1527845344971866E-13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296.43642006376018</v>
      </c>
      <c r="AO169" s="59">
        <f t="shared" si="144"/>
        <v>179.56041631665812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0.25269198945741705</v>
      </c>
      <c r="AV169" s="21">
        <f>EXP(-LN(2)/25)*AV168+(1-EXP(-LN(2)/25))/(LN(2)/25)*Calculateur!AQ169*Calculateur!AS169*VLOOKUP('Données projet'!$B$10,Paramètres!$A$1:$I$89,3,0)*0.475*44/12</f>
        <v>0.10830473876540692</v>
      </c>
      <c r="AW169" s="21">
        <f>EXP(-LN(2)/2)*AW168+(1-EXP(-LN(2)/2))/(LN(2)/2)*AQ169*AT169*VLOOKUP('Données projet'!$B$10,Paramètres!$A$1:$I$89,3,0)*0.475*44/12</f>
        <v>2.3172301680684281E-20</v>
      </c>
      <c r="AX169" s="21">
        <f t="shared" si="166"/>
        <v>0.36099672822282397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5.6843418860808015E-14</v>
      </c>
      <c r="BE169" s="13">
        <f>BD169*VLOOKUP('Données projet'!$B$11,Paramètres!$A$1:$I$89,3,0)*VLOOKUP('Données projet'!$B$11,Paramètres!$A$1:$I$89,5,0)</f>
        <v>3.813056537183002E-14</v>
      </c>
      <c r="BF169" s="13">
        <f t="shared" si="167"/>
        <v>6.4086286045526829E-13</v>
      </c>
      <c r="BG169" s="20">
        <f t="shared" si="168"/>
        <v>1.1825802166488628E-12</v>
      </c>
      <c r="BH169" s="59">
        <f t="shared" si="116"/>
        <v>293.33333333333451</v>
      </c>
      <c r="BI169" s="59">
        <f ca="1">AVERAGE(OFFSET($BH$3,0,0,'Données projet'!$E$11+1,1))-AVERAGE(OFFSET($H$3,0,0,'Données projet'!$E$11+1,1))</f>
        <v>181.32837315090507</v>
      </c>
      <c r="BJ169" s="59">
        <f t="shared" si="146"/>
        <v>175.03267817980338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0.37050692335694474</v>
      </c>
      <c r="BQ169" s="21">
        <f>EXP(-LN(2)/25)*BQ168+(1-EXP(-LN(2)/25))/(LN(2)/25)*Calculateur!BL169*Calculateur!BN169*VLOOKUP('Données projet'!$B$11,Paramètres!$A$1:$I$89,3,0)*0.475*44/12</f>
        <v>0.15669633438662423</v>
      </c>
      <c r="BR169" s="21">
        <f>EXP(-LN(2)/2)*BR168+(1-EXP(-LN(2)/2))/(LN(2)/2)*BL169*BO169*VLOOKUP('Données projet'!$B$11,Paramètres!$A$1:$I$89,3,0)*0.475*44/12</f>
        <v>3.5944798115655018E-21</v>
      </c>
      <c r="BS169" s="22">
        <f t="shared" si="169"/>
        <v>0.52720325774356902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574.49999999999989</v>
      </c>
      <c r="BZ169" s="13">
        <f>BY169*VLOOKUP('Données projet'!$B$12,Paramètres!$A$1:$I$89,3,0)*VLOOKUP('Données projet'!$B$12,Paramètres!$A$1:$I$89,5,0)</f>
        <v>268.86599999999999</v>
      </c>
      <c r="CA169" s="13">
        <f t="shared" si="170"/>
        <v>64.608546947682441</v>
      </c>
      <c r="CB169" s="20">
        <f t="shared" si="171"/>
        <v>580.80150260054677</v>
      </c>
      <c r="CC169" s="59">
        <f t="shared" si="119"/>
        <v>874.13483593388014</v>
      </c>
      <c r="CD169" s="59">
        <f ca="1">AVERAGE(OFFSET($CC$3,0,0,'Données projet'!$E$12+1,1))-AVERAGE(OFFSET($H$3,0,0,'Données projet'!$E$12+1,1))</f>
        <v>226.0452828290525</v>
      </c>
      <c r="CE169" s="59">
        <f t="shared" si="148"/>
        <v>179.89696397462069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0.61402482515376466</v>
      </c>
      <c r="CL169" s="21">
        <f>EXP(-LN(2)/25)*CL168+(1-EXP(-LN(2)/25))/(LN(2)/25)*Calculateur!CG169*Calculateur!CI169*VLOOKUP('Données projet'!$B$12,Paramètres!$A$1:$I$89,3,0)*0.475*44/12</f>
        <v>0.25687575199409229</v>
      </c>
      <c r="CM169" s="21">
        <f>EXP(-LN(2)/2)*CM168+(1-EXP(-LN(2)/2))/(LN(2)/2)*CG169*CJ169*VLOOKUP('Données projet'!$B$12,Paramètres!$A$1:$I$89,3,0)*0.475*44/12</f>
        <v>3.7415575207582384E-20</v>
      </c>
      <c r="CN169" s="22">
        <f t="shared" si="172"/>
        <v>0.87090057714785696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482.74318690313885</v>
      </c>
      <c r="CZ169" s="59">
        <f t="shared" si="150"/>
        <v>205.57161411620217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0.77655457345798451</v>
      </c>
      <c r="DG169" s="21">
        <f>EXP(-LN(2)/25)*DG168+(1-EXP(-LN(2)/25))/(LN(2)/25)*Calculateur!DB169*Calculateur!DD169*VLOOKUP('Données projet'!$B$13,Paramètres!$A$1:$I$89,3,0)*0.475*44/12</f>
        <v>0.21715733280287414</v>
      </c>
      <c r="DH169" s="21">
        <f>EXP(-LN(2)/2)*DH168+(1-EXP(-LN(2)/2))/(LN(2)/2)*DB169*DE169*VLOOKUP('Données projet'!$B$13,Paramètres!$A$1:$I$89,3,0)*0.475*44/12</f>
        <v>1.5344836730744852E-20</v>
      </c>
      <c r="DI169" s="22">
        <f t="shared" si="175"/>
        <v>0.99371190626085859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2.2737367544323206E-13</v>
      </c>
      <c r="DP169" s="17">
        <f>DO169*VLOOKUP('Données projet'!$B$14,Paramètres!$A$1:$I$89,3,0)*VLOOKUP('Données projet'!$B$14,Paramètres!$A$1:$I$89,5,0)</f>
        <v>1.0936673788819462E-13</v>
      </c>
      <c r="DQ169" s="13">
        <f t="shared" si="176"/>
        <v>1.6259645746645945E-12</v>
      </c>
      <c r="DR169" s="20">
        <f t="shared" si="177"/>
        <v>3.0223687026961078E-12</v>
      </c>
      <c r="DS169" s="59">
        <f t="shared" si="125"/>
        <v>293.33333333333633</v>
      </c>
      <c r="DT169" s="59">
        <f ca="1">AVERAGE(OFFSET($DS$3,0,0,'Données projet'!$E$14+1,1))-AVERAGE(OFFSET($H$3,0,0,'Données projet'!$E$14+1,1))</f>
        <v>247.11965163963526</v>
      </c>
      <c r="DU169" s="59">
        <f t="shared" si="152"/>
        <v>61.686311966192704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0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-1.0286385077051818E-13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265.50419397354284</v>
      </c>
      <c r="T170" s="59">
        <f t="shared" si="142"/>
        <v>156.67965022779907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0.2210575001987849</v>
      </c>
      <c r="AA170" s="21">
        <f>EXP(-LN(2)/25)*AA169+(1-EXP(-LN(2)/25))/(LN(2)/25)*Calculateur!V170*Calculateur!X170*VLOOKUP('Données projet'!$B$9,Paramètres!$A$1:$I$89,3,0)*0.475*44/12</f>
        <v>9.3998494143467129E-2</v>
      </c>
      <c r="AB170" s="21">
        <f>EXP(-LN(2)/2)*AB169+(1-EXP(-LN(2)/2))/(LN(2)/2)*V170*Y170*VLOOKUP('Données projet'!$B$9,Paramètres!$A$1:$I$89,3,0)*0.475*44/12</f>
        <v>1.462072178366942E-20</v>
      </c>
      <c r="AC170" s="22">
        <f t="shared" si="163"/>
        <v>0.31505599434225201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-1.1527845344971866E-13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296.43642006376018</v>
      </c>
      <c r="AO170" s="59">
        <f t="shared" si="144"/>
        <v>179.56041631665812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0.24773685367105192</v>
      </c>
      <c r="AV170" s="21">
        <f>EXP(-LN(2)/25)*AV169+(1-EXP(-LN(2)/25))/(LN(2)/25)*Calculateur!AQ170*Calculateur!AS170*VLOOKUP('Données projet'!$B$10,Paramètres!$A$1:$I$89,3,0)*0.475*44/12</f>
        <v>0.10534313998836818</v>
      </c>
      <c r="AW170" s="21">
        <f>EXP(-LN(2)/2)*AW169+(1-EXP(-LN(2)/2))/(LN(2)/2)*AQ170*AT170*VLOOKUP('Données projet'!$B$10,Paramètres!$A$1:$I$89,3,0)*0.475*44/12</f>
        <v>1.6385291654112287E-20</v>
      </c>
      <c r="AX170" s="21">
        <f t="shared" si="166"/>
        <v>0.35307999365942011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5.6843418860808015E-14</v>
      </c>
      <c r="BE170" s="13">
        <f>BD170*VLOOKUP('Données projet'!$B$11,Paramètres!$A$1:$I$89,3,0)*VLOOKUP('Données projet'!$B$11,Paramètres!$A$1:$I$89,5,0)</f>
        <v>3.813056537183002E-14</v>
      </c>
      <c r="BF170" s="13">
        <f t="shared" si="167"/>
        <v>6.4086286045526829E-13</v>
      </c>
      <c r="BG170" s="20">
        <f t="shared" si="168"/>
        <v>1.1825802166488628E-12</v>
      </c>
      <c r="BH170" s="59">
        <f t="shared" si="116"/>
        <v>293.33333333333451</v>
      </c>
      <c r="BI170" s="59">
        <f ca="1">AVERAGE(OFFSET($BH$3,0,0,'Données projet'!$E$11+1,1))-AVERAGE(OFFSET($H$3,0,0,'Données projet'!$E$11+1,1))</f>
        <v>181.32837315090507</v>
      </c>
      <c r="BJ170" s="59">
        <f t="shared" si="146"/>
        <v>175.03267817980338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0.36324150857682397</v>
      </c>
      <c r="BQ170" s="21">
        <f>EXP(-LN(2)/25)*BQ169+(1-EXP(-LN(2)/25))/(LN(2)/25)*Calculateur!BL170*Calculateur!BN170*VLOOKUP('Données projet'!$B$11,Paramètres!$A$1:$I$89,3,0)*0.475*44/12</f>
        <v>0.15241146488251989</v>
      </c>
      <c r="BR170" s="21">
        <f>EXP(-LN(2)/2)*BR169+(1-EXP(-LN(2)/2))/(LN(2)/2)*BL170*BO170*VLOOKUP('Données projet'!$B$11,Paramètres!$A$1:$I$89,3,0)*0.475*44/12</f>
        <v>2.5416810495961099E-21</v>
      </c>
      <c r="BS170" s="22">
        <f t="shared" si="169"/>
        <v>0.5156529734593438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574.49999999999989</v>
      </c>
      <c r="BZ170" s="13">
        <f>BY170*VLOOKUP('Données projet'!$B$12,Paramètres!$A$1:$I$89,3,0)*VLOOKUP('Données projet'!$B$12,Paramètres!$A$1:$I$89,5,0)</f>
        <v>268.86599999999999</v>
      </c>
      <c r="CA170" s="13">
        <f t="shared" si="170"/>
        <v>64.608546947682441</v>
      </c>
      <c r="CB170" s="20">
        <f t="shared" si="171"/>
        <v>580.80150260054677</v>
      </c>
      <c r="CC170" s="59">
        <f t="shared" si="119"/>
        <v>874.13483593388014</v>
      </c>
      <c r="CD170" s="59">
        <f ca="1">AVERAGE(OFFSET($CC$3,0,0,'Données projet'!$E$12+1,1))-AVERAGE(OFFSET($H$3,0,0,'Données projet'!$E$12+1,1))</f>
        <v>226.0452828290525</v>
      </c>
      <c r="CE170" s="59">
        <f t="shared" si="148"/>
        <v>179.89696397462069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0.60198417285066208</v>
      </c>
      <c r="CL170" s="21">
        <f>EXP(-LN(2)/25)*CL169+(1-EXP(-LN(2)/25))/(LN(2)/25)*Calculateur!CG170*Calculateur!CI170*VLOOKUP('Données projet'!$B$12,Paramètres!$A$1:$I$89,3,0)*0.475*44/12</f>
        <v>0.24985147104730515</v>
      </c>
      <c r="CM170" s="21">
        <f>EXP(-LN(2)/2)*CM169+(1-EXP(-LN(2)/2))/(LN(2)/2)*CG170*CJ170*VLOOKUP('Données projet'!$B$12,Paramètres!$A$1:$I$89,3,0)*0.475*44/12</f>
        <v>2.645680695127677E-20</v>
      </c>
      <c r="CN170" s="22">
        <f t="shared" si="172"/>
        <v>0.85183564389796729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482.74318690313885</v>
      </c>
      <c r="CZ170" s="59">
        <f t="shared" si="150"/>
        <v>205.57161411620217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0.76132681192399398</v>
      </c>
      <c r="DG170" s="21">
        <f>EXP(-LN(2)/25)*DG169+(1-EXP(-LN(2)/25))/(LN(2)/25)*Calculateur!DB170*Calculateur!DD170*VLOOKUP('Données projet'!$B$13,Paramètres!$A$1:$I$89,3,0)*0.475*44/12</f>
        <v>0.21121915411757172</v>
      </c>
      <c r="DH170" s="21">
        <f>EXP(-LN(2)/2)*DH169+(1-EXP(-LN(2)/2))/(LN(2)/2)*DB170*DE170*VLOOKUP('Données projet'!$B$13,Paramètres!$A$1:$I$89,3,0)*0.475*44/12</f>
        <v>1.0850438108510097E-20</v>
      </c>
      <c r="DI170" s="22">
        <f t="shared" si="175"/>
        <v>0.97254596604156573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2.2737367544323206E-13</v>
      </c>
      <c r="DP170" s="17">
        <f>DO170*VLOOKUP('Données projet'!$B$14,Paramètres!$A$1:$I$89,3,0)*VLOOKUP('Données projet'!$B$14,Paramètres!$A$1:$I$89,5,0)</f>
        <v>1.0936673788819462E-13</v>
      </c>
      <c r="DQ170" s="13">
        <f t="shared" si="176"/>
        <v>1.6259645746645945E-12</v>
      </c>
      <c r="DR170" s="20">
        <f t="shared" si="177"/>
        <v>3.0223687026961078E-12</v>
      </c>
      <c r="DS170" s="59">
        <f t="shared" si="125"/>
        <v>293.33333333333633</v>
      </c>
      <c r="DT170" s="59">
        <f ca="1">AVERAGE(OFFSET($DS$3,0,0,'Données projet'!$E$14+1,1))-AVERAGE(OFFSET($H$3,0,0,'Données projet'!$E$14+1,1))</f>
        <v>247.11965163963526</v>
      </c>
      <c r="DU170" s="59">
        <f t="shared" si="152"/>
        <v>61.686311966192704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0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-1.0286385077051818E-13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265.50419397354284</v>
      </c>
      <c r="T171" s="59">
        <f t="shared" si="142"/>
        <v>156.67965022779907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0.21672269745164832</v>
      </c>
      <c r="AA171" s="21">
        <f>EXP(-LN(2)/25)*AA170+(1-EXP(-LN(2)/25))/(LN(2)/25)*Calculateur!V171*Calculateur!X171*VLOOKUP('Données projet'!$B$9,Paramètres!$A$1:$I$89,3,0)*0.475*44/12</f>
        <v>9.1428100377948046E-2</v>
      </c>
      <c r="AB171" s="21">
        <f>EXP(-LN(2)/2)*AB170+(1-EXP(-LN(2)/2))/(LN(2)/2)*V171*Y171*VLOOKUP('Données projet'!$B$9,Paramètres!$A$1:$I$89,3,0)*0.475*44/12</f>
        <v>1.0338411519074522E-20</v>
      </c>
      <c r="AC171" s="22">
        <f t="shared" si="163"/>
        <v>0.30815079782959637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-1.1527845344971866E-13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296.43642006376018</v>
      </c>
      <c r="AO171" s="59">
        <f t="shared" si="144"/>
        <v>179.56041631665812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0.24287888507512298</v>
      </c>
      <c r="AV171" s="21">
        <f>EXP(-LN(2)/25)*AV170+(1-EXP(-LN(2)/25))/(LN(2)/25)*Calculateur!AQ171*Calculateur!AS171*VLOOKUP('Données projet'!$B$10,Paramètres!$A$1:$I$89,3,0)*0.475*44/12</f>
        <v>0.10246252628563128</v>
      </c>
      <c r="AW171" s="21">
        <f>EXP(-LN(2)/2)*AW170+(1-EXP(-LN(2)/2))/(LN(2)/2)*AQ171*AT171*VLOOKUP('Données projet'!$B$10,Paramètres!$A$1:$I$89,3,0)*0.475*44/12</f>
        <v>1.158615084034214E-20</v>
      </c>
      <c r="AX171" s="21">
        <f t="shared" si="166"/>
        <v>0.34534141136075425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5.6843418860808015E-14</v>
      </c>
      <c r="BE171" s="13">
        <f>BD171*VLOOKUP('Données projet'!$B$11,Paramètres!$A$1:$I$89,3,0)*VLOOKUP('Données projet'!$B$11,Paramètres!$A$1:$I$89,5,0)</f>
        <v>3.813056537183002E-14</v>
      </c>
      <c r="BF171" s="13">
        <f t="shared" si="167"/>
        <v>6.4086286045526829E-13</v>
      </c>
      <c r="BG171" s="20">
        <f t="shared" si="168"/>
        <v>1.1825802166488628E-12</v>
      </c>
      <c r="BH171" s="59">
        <f t="shared" si="116"/>
        <v>293.33333333333451</v>
      </c>
      <c r="BI171" s="59">
        <f ca="1">AVERAGE(OFFSET($BH$3,0,0,'Données projet'!$E$11+1,1))-AVERAGE(OFFSET($H$3,0,0,'Données projet'!$E$11+1,1))</f>
        <v>181.32837315090507</v>
      </c>
      <c r="BJ171" s="59">
        <f t="shared" si="146"/>
        <v>175.03267817980338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0.35611856414907589</v>
      </c>
      <c r="BQ171" s="21">
        <f>EXP(-LN(2)/25)*BQ170+(1-EXP(-LN(2)/25))/(LN(2)/25)*Calculateur!BL171*Calculateur!BN171*VLOOKUP('Données projet'!$B$11,Paramètres!$A$1:$I$89,3,0)*0.475*44/12</f>
        <v>0.14824376536033679</v>
      </c>
      <c r="BR171" s="21">
        <f>EXP(-LN(2)/2)*BR170+(1-EXP(-LN(2)/2))/(LN(2)/2)*BL171*BO171*VLOOKUP('Données projet'!$B$11,Paramètres!$A$1:$I$89,3,0)*0.475*44/12</f>
        <v>1.7972399057827509E-21</v>
      </c>
      <c r="BS171" s="22">
        <f t="shared" si="169"/>
        <v>0.50436232950941262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574.49999999999989</v>
      </c>
      <c r="BZ171" s="13">
        <f>BY171*VLOOKUP('Données projet'!$B$12,Paramètres!$A$1:$I$89,3,0)*VLOOKUP('Données projet'!$B$12,Paramètres!$A$1:$I$89,5,0)</f>
        <v>268.86599999999999</v>
      </c>
      <c r="CA171" s="13">
        <f t="shared" si="170"/>
        <v>64.608546947682441</v>
      </c>
      <c r="CB171" s="20">
        <f t="shared" si="171"/>
        <v>580.80150260054677</v>
      </c>
      <c r="CC171" s="59">
        <f t="shared" si="119"/>
        <v>874.13483593388014</v>
      </c>
      <c r="CD171" s="59">
        <f ca="1">AVERAGE(OFFSET($CC$3,0,0,'Données projet'!$E$12+1,1))-AVERAGE(OFFSET($H$3,0,0,'Données projet'!$E$12+1,1))</f>
        <v>226.0452828290525</v>
      </c>
      <c r="CE171" s="59">
        <f t="shared" si="148"/>
        <v>179.89696397462069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0.59017963039515065</v>
      </c>
      <c r="CL171" s="21">
        <f>EXP(-LN(2)/25)*CL170+(1-EXP(-LN(2)/25))/(LN(2)/25)*Calculateur!CG171*Calculateur!CI171*VLOOKUP('Données projet'!$B$12,Paramètres!$A$1:$I$89,3,0)*0.475*44/12</f>
        <v>0.24301926943239877</v>
      </c>
      <c r="CM171" s="21">
        <f>EXP(-LN(2)/2)*CM170+(1-EXP(-LN(2)/2))/(LN(2)/2)*CG171*CJ171*VLOOKUP('Données projet'!$B$12,Paramètres!$A$1:$I$89,3,0)*0.475*44/12</f>
        <v>1.8707787603791195E-20</v>
      </c>
      <c r="CN171" s="22">
        <f t="shared" si="172"/>
        <v>0.83319889982754947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482.74318690313885</v>
      </c>
      <c r="CZ171" s="59">
        <f t="shared" si="150"/>
        <v>205.57161411620217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0.74639765750566767</v>
      </c>
      <c r="DG171" s="21">
        <f>EXP(-LN(2)/25)*DG170+(1-EXP(-LN(2)/25))/(LN(2)/25)*Calculateur!DB171*Calculateur!DD171*VLOOKUP('Données projet'!$B$13,Paramètres!$A$1:$I$89,3,0)*0.475*44/12</f>
        <v>0.20544335524069415</v>
      </c>
      <c r="DH171" s="21">
        <f>EXP(-LN(2)/2)*DH170+(1-EXP(-LN(2)/2))/(LN(2)/2)*DB171*DE171*VLOOKUP('Données projet'!$B$13,Paramètres!$A$1:$I$89,3,0)*0.475*44/12</f>
        <v>7.6724183653724259E-21</v>
      </c>
      <c r="DI171" s="22">
        <f t="shared" si="175"/>
        <v>0.95184101274636179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2.2737367544323206E-13</v>
      </c>
      <c r="DP171" s="17">
        <f>DO171*VLOOKUP('Données projet'!$B$14,Paramètres!$A$1:$I$89,3,0)*VLOOKUP('Données projet'!$B$14,Paramètres!$A$1:$I$89,5,0)</f>
        <v>1.0936673788819462E-13</v>
      </c>
      <c r="DQ171" s="13">
        <f t="shared" si="176"/>
        <v>1.6259645746645945E-12</v>
      </c>
      <c r="DR171" s="20">
        <f t="shared" si="177"/>
        <v>3.0223687026961078E-12</v>
      </c>
      <c r="DS171" s="59">
        <f t="shared" si="125"/>
        <v>293.33333333333633</v>
      </c>
      <c r="DT171" s="59">
        <f ca="1">AVERAGE(OFFSET($DS$3,0,0,'Données projet'!$E$14+1,1))-AVERAGE(OFFSET($H$3,0,0,'Données projet'!$E$14+1,1))</f>
        <v>247.11965163963526</v>
      </c>
      <c r="DU171" s="59">
        <f t="shared" si="152"/>
        <v>61.686311966192704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0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-1.0286385077051818E-13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265.50419397354284</v>
      </c>
      <c r="T172" s="59">
        <f t="shared" si="142"/>
        <v>156.67965022779907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0.2124728975424145</v>
      </c>
      <c r="AA172" s="21">
        <f>EXP(-LN(2)/25)*AA171+(1-EXP(-LN(2)/25))/(LN(2)/25)*Calculateur!V172*Calculateur!X172*VLOOKUP('Données projet'!$B$9,Paramètres!$A$1:$I$89,3,0)*0.475*44/12</f>
        <v>8.8927994165118221E-2</v>
      </c>
      <c r="AB172" s="21">
        <f>EXP(-LN(2)/2)*AB171+(1-EXP(-LN(2)/2))/(LN(2)/2)*V172*Y172*VLOOKUP('Données projet'!$B$9,Paramètres!$A$1:$I$89,3,0)*0.475*44/12</f>
        <v>7.3103608918347102E-21</v>
      </c>
      <c r="AC172" s="22">
        <f t="shared" si="163"/>
        <v>0.3014008917075327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-1.1527845344971866E-13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296.43642006376018</v>
      </c>
      <c r="AO172" s="59">
        <f t="shared" si="144"/>
        <v>179.56041631665812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0.23811617828029197</v>
      </c>
      <c r="AV172" s="21">
        <f>EXP(-LN(2)/25)*AV171+(1-EXP(-LN(2)/25))/(LN(2)/25)*Calculateur!AQ172*Calculateur!AS172*VLOOKUP('Données projet'!$B$10,Paramètres!$A$1:$I$89,3,0)*0.475*44/12</f>
        <v>9.9660683116080617E-2</v>
      </c>
      <c r="AW172" s="21">
        <f>EXP(-LN(2)/2)*AW171+(1-EXP(-LN(2)/2))/(LN(2)/2)*AQ172*AT172*VLOOKUP('Données projet'!$B$10,Paramètres!$A$1:$I$89,3,0)*0.475*44/12</f>
        <v>8.1926458270561434E-21</v>
      </c>
      <c r="AX172" s="21">
        <f t="shared" si="166"/>
        <v>0.33777686139637259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5.6843418860808015E-14</v>
      </c>
      <c r="BE172" s="13">
        <f>BD172*VLOOKUP('Données projet'!$B$11,Paramètres!$A$1:$I$89,3,0)*VLOOKUP('Données projet'!$B$11,Paramètres!$A$1:$I$89,5,0)</f>
        <v>3.813056537183002E-14</v>
      </c>
      <c r="BF172" s="13">
        <f t="shared" si="167"/>
        <v>6.4086286045526829E-13</v>
      </c>
      <c r="BG172" s="20">
        <f t="shared" si="168"/>
        <v>1.1825802166488628E-12</v>
      </c>
      <c r="BH172" s="59">
        <f t="shared" si="116"/>
        <v>293.33333333333451</v>
      </c>
      <c r="BI172" s="59">
        <f ca="1">AVERAGE(OFFSET($BH$3,0,0,'Données projet'!$E$11+1,1))-AVERAGE(OFFSET($H$3,0,0,'Données projet'!$E$11+1,1))</f>
        <v>181.32837315090507</v>
      </c>
      <c r="BJ172" s="59">
        <f t="shared" si="146"/>
        <v>175.03267817980338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0.34913529631698886</v>
      </c>
      <c r="BQ172" s="21">
        <f>EXP(-LN(2)/25)*BQ171+(1-EXP(-LN(2)/25))/(LN(2)/25)*Calculateur!BL172*Calculateur!BN172*VLOOKUP('Données projet'!$B$11,Paramètres!$A$1:$I$89,3,0)*0.475*44/12</f>
        <v>0.14419003180075757</v>
      </c>
      <c r="BR172" s="21">
        <f>EXP(-LN(2)/2)*BR171+(1-EXP(-LN(2)/2))/(LN(2)/2)*BL172*BO172*VLOOKUP('Données projet'!$B$11,Paramètres!$A$1:$I$89,3,0)*0.475*44/12</f>
        <v>1.2708405247980549E-21</v>
      </c>
      <c r="BS172" s="22">
        <f t="shared" si="169"/>
        <v>0.49332532811774643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574.49999999999989</v>
      </c>
      <c r="BZ172" s="13">
        <f>BY172*VLOOKUP('Données projet'!$B$12,Paramètres!$A$1:$I$89,3,0)*VLOOKUP('Données projet'!$B$12,Paramètres!$A$1:$I$89,5,0)</f>
        <v>268.86599999999999</v>
      </c>
      <c r="CA172" s="13">
        <f t="shared" si="170"/>
        <v>64.608546947682441</v>
      </c>
      <c r="CB172" s="20">
        <f t="shared" si="171"/>
        <v>580.80150260054677</v>
      </c>
      <c r="CC172" s="59">
        <f t="shared" si="119"/>
        <v>874.13483593388014</v>
      </c>
      <c r="CD172" s="59">
        <f ca="1">AVERAGE(OFFSET($CC$3,0,0,'Données projet'!$E$12+1,1))-AVERAGE(OFFSET($H$3,0,0,'Données projet'!$E$12+1,1))</f>
        <v>226.0452828290525</v>
      </c>
      <c r="CE172" s="59">
        <f t="shared" si="148"/>
        <v>179.89696397462069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0.57860656781713182</v>
      </c>
      <c r="CL172" s="21">
        <f>EXP(-LN(2)/25)*CL171+(1-EXP(-LN(2)/25))/(LN(2)/25)*Calculateur!CG172*Calculateur!CI172*VLOOKUP('Données projet'!$B$12,Paramètres!$A$1:$I$89,3,0)*0.475*44/12</f>
        <v>0.23637389472994186</v>
      </c>
      <c r="CM172" s="21">
        <f>EXP(-LN(2)/2)*CM171+(1-EXP(-LN(2)/2))/(LN(2)/2)*CG172*CJ172*VLOOKUP('Données projet'!$B$12,Paramètres!$A$1:$I$89,3,0)*0.475*44/12</f>
        <v>1.3228403475638388E-20</v>
      </c>
      <c r="CN172" s="22">
        <f t="shared" si="172"/>
        <v>0.81498046254707368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482.74318690313885</v>
      </c>
      <c r="CZ172" s="59">
        <f t="shared" si="150"/>
        <v>205.57161411620217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0.73176125469959963</v>
      </c>
      <c r="DG172" s="21">
        <f>EXP(-LN(2)/25)*DG171+(1-EXP(-LN(2)/25))/(LN(2)/25)*Calculateur!DB172*Calculateur!DD172*VLOOKUP('Données projet'!$B$13,Paramètres!$A$1:$I$89,3,0)*0.475*44/12</f>
        <v>0.19982549588784088</v>
      </c>
      <c r="DH172" s="21">
        <f>EXP(-LN(2)/2)*DH171+(1-EXP(-LN(2)/2))/(LN(2)/2)*DB172*DE172*VLOOKUP('Données projet'!$B$13,Paramètres!$A$1:$I$89,3,0)*0.475*44/12</f>
        <v>5.4252190542550486E-21</v>
      </c>
      <c r="DI172" s="22">
        <f t="shared" si="175"/>
        <v>0.93158675058744045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2.2737367544323206E-13</v>
      </c>
      <c r="DP172" s="17">
        <f>DO172*VLOOKUP('Données projet'!$B$14,Paramètres!$A$1:$I$89,3,0)*VLOOKUP('Données projet'!$B$14,Paramètres!$A$1:$I$89,5,0)</f>
        <v>1.0936673788819462E-13</v>
      </c>
      <c r="DQ172" s="13">
        <f t="shared" si="176"/>
        <v>1.6259645746645945E-12</v>
      </c>
      <c r="DR172" s="20">
        <f t="shared" si="177"/>
        <v>3.0223687026961078E-12</v>
      </c>
      <c r="DS172" s="59">
        <f t="shared" si="125"/>
        <v>293.33333333333633</v>
      </c>
      <c r="DT172" s="59">
        <f ca="1">AVERAGE(OFFSET($DS$3,0,0,'Données projet'!$E$14+1,1))-AVERAGE(OFFSET($H$3,0,0,'Données projet'!$E$14+1,1))</f>
        <v>247.11965163963526</v>
      </c>
      <c r="DU172" s="59">
        <f t="shared" si="152"/>
        <v>61.686311966192704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0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-1.0286385077051818E-13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265.50419397354284</v>
      </c>
      <c r="T173" s="59">
        <f t="shared" si="142"/>
        <v>156.67965022779907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0.20830643361727874</v>
      </c>
      <c r="AA173" s="21">
        <f>EXP(-LN(2)/25)*AA172+(1-EXP(-LN(2)/25))/(LN(2)/25)*Calculateur!V173*Calculateur!X173*VLOOKUP('Données projet'!$B$9,Paramètres!$A$1:$I$89,3,0)*0.475*44/12</f>
        <v>8.6496253488153096E-2</v>
      </c>
      <c r="AB173" s="21">
        <f>EXP(-LN(2)/2)*AB172+(1-EXP(-LN(2)/2))/(LN(2)/2)*V173*Y173*VLOOKUP('Données projet'!$B$9,Paramètres!$A$1:$I$89,3,0)*0.475*44/12</f>
        <v>5.1692057595372608E-21</v>
      </c>
      <c r="AC173" s="22">
        <f t="shared" si="163"/>
        <v>0.29480268710543184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-1.1527845344971866E-13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296.43642006376018</v>
      </c>
      <c r="AO173" s="59">
        <f t="shared" si="144"/>
        <v>179.56041631665812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0.23344686526074326</v>
      </c>
      <c r="AV173" s="21">
        <f>EXP(-LN(2)/25)*AV172+(1-EXP(-LN(2)/25))/(LN(2)/25)*Calculateur!AQ173*Calculateur!AS173*VLOOKUP('Données projet'!$B$10,Paramètres!$A$1:$I$89,3,0)*0.475*44/12</f>
        <v>9.6935456495343839E-2</v>
      </c>
      <c r="AW173" s="21">
        <f>EXP(-LN(2)/2)*AW172+(1-EXP(-LN(2)/2))/(LN(2)/2)*AQ173*AT173*VLOOKUP('Données projet'!$B$10,Paramètres!$A$1:$I$89,3,0)*0.475*44/12</f>
        <v>5.7930754201710702E-21</v>
      </c>
      <c r="AX173" s="21">
        <f t="shared" si="166"/>
        <v>0.33038232175608712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5.6843418860808015E-14</v>
      </c>
      <c r="BE173" s="13">
        <f>BD173*VLOOKUP('Données projet'!$B$11,Paramètres!$A$1:$I$89,3,0)*VLOOKUP('Données projet'!$B$11,Paramètres!$A$1:$I$89,5,0)</f>
        <v>3.813056537183002E-14</v>
      </c>
      <c r="BF173" s="13">
        <f t="shared" si="167"/>
        <v>6.4086286045526829E-13</v>
      </c>
      <c r="BG173" s="20">
        <f t="shared" si="168"/>
        <v>1.1825802166488628E-12</v>
      </c>
      <c r="BH173" s="59">
        <f t="shared" si="116"/>
        <v>293.33333333333451</v>
      </c>
      <c r="BI173" s="59">
        <f ca="1">AVERAGE(OFFSET($BH$3,0,0,'Données projet'!$E$11+1,1))-AVERAGE(OFFSET($H$3,0,0,'Données projet'!$E$11+1,1))</f>
        <v>181.32837315090507</v>
      </c>
      <c r="BJ173" s="59">
        <f t="shared" si="146"/>
        <v>175.03267817980338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0.34228896610771625</v>
      </c>
      <c r="BQ173" s="21">
        <f>EXP(-LN(2)/25)*BQ172+(1-EXP(-LN(2)/25))/(LN(2)/25)*Calculateur!BL173*Calculateur!BN173*VLOOKUP('Données projet'!$B$11,Paramètres!$A$1:$I$89,3,0)*0.475*44/12</f>
        <v>0.14024714779854164</v>
      </c>
      <c r="BR173" s="21">
        <f>EXP(-LN(2)/2)*BR172+(1-EXP(-LN(2)/2))/(LN(2)/2)*BL173*BO173*VLOOKUP('Données projet'!$B$11,Paramètres!$A$1:$I$89,3,0)*0.475*44/12</f>
        <v>8.9861995289137544E-22</v>
      </c>
      <c r="BS173" s="22">
        <f t="shared" si="169"/>
        <v>0.48253611390625789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574.49999999999989</v>
      </c>
      <c r="BZ173" s="13">
        <f>BY173*VLOOKUP('Données projet'!$B$12,Paramètres!$A$1:$I$89,3,0)*VLOOKUP('Données projet'!$B$12,Paramètres!$A$1:$I$89,5,0)</f>
        <v>268.86599999999999</v>
      </c>
      <c r="CA173" s="13">
        <f t="shared" si="170"/>
        <v>64.608546947682441</v>
      </c>
      <c r="CB173" s="20">
        <f t="shared" si="171"/>
        <v>580.80150260054677</v>
      </c>
      <c r="CC173" s="59">
        <f t="shared" si="119"/>
        <v>874.13483593388014</v>
      </c>
      <c r="CD173" s="59">
        <f ca="1">AVERAGE(OFFSET($CC$3,0,0,'Données projet'!$E$12+1,1))-AVERAGE(OFFSET($H$3,0,0,'Données projet'!$E$12+1,1))</f>
        <v>226.0452828290525</v>
      </c>
      <c r="CE173" s="59">
        <f t="shared" si="148"/>
        <v>179.89696397462069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0.56726044593739677</v>
      </c>
      <c r="CL173" s="21">
        <f>EXP(-LN(2)/25)*CL172+(1-EXP(-LN(2)/25))/(LN(2)/25)*Calculateur!CG173*Calculateur!CI173*VLOOKUP('Données projet'!$B$12,Paramètres!$A$1:$I$89,3,0)*0.475*44/12</f>
        <v>0.2299102381481887</v>
      </c>
      <c r="CM173" s="21">
        <f>EXP(-LN(2)/2)*CM172+(1-EXP(-LN(2)/2))/(LN(2)/2)*CG173*CJ173*VLOOKUP('Données projet'!$B$12,Paramètres!$A$1:$I$89,3,0)*0.475*44/12</f>
        <v>9.353893801895599E-21</v>
      </c>
      <c r="CN173" s="22">
        <f t="shared" si="172"/>
        <v>0.79717068408558545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482.74318690313885</v>
      </c>
      <c r="CZ173" s="59">
        <f t="shared" si="150"/>
        <v>205.57161411620217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0.71741186282523439</v>
      </c>
      <c r="DG173" s="21">
        <f>EXP(-LN(2)/25)*DG172+(1-EXP(-LN(2)/25))/(LN(2)/25)*Calculateur!DB173*Calculateur!DD173*VLOOKUP('Données projet'!$B$13,Paramètres!$A$1:$I$89,3,0)*0.475*44/12</f>
        <v>0.19436125719442174</v>
      </c>
      <c r="DH173" s="21">
        <f>EXP(-LN(2)/2)*DH172+(1-EXP(-LN(2)/2))/(LN(2)/2)*DB173*DE173*VLOOKUP('Données projet'!$B$13,Paramètres!$A$1:$I$89,3,0)*0.475*44/12</f>
        <v>3.8362091826862129E-21</v>
      </c>
      <c r="DI173" s="22">
        <f t="shared" si="175"/>
        <v>0.91177312001965616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2.2737367544323206E-13</v>
      </c>
      <c r="DP173" s="17">
        <f>DO173*VLOOKUP('Données projet'!$B$14,Paramètres!$A$1:$I$89,3,0)*VLOOKUP('Données projet'!$B$14,Paramètres!$A$1:$I$89,5,0)</f>
        <v>1.0936673788819462E-13</v>
      </c>
      <c r="DQ173" s="13">
        <f t="shared" si="176"/>
        <v>1.6259645746645945E-12</v>
      </c>
      <c r="DR173" s="20">
        <f t="shared" si="177"/>
        <v>3.0223687026961078E-12</v>
      </c>
      <c r="DS173" s="59">
        <f t="shared" si="125"/>
        <v>293.33333333333633</v>
      </c>
      <c r="DT173" s="59">
        <f ca="1">AVERAGE(OFFSET($DS$3,0,0,'Données projet'!$E$14+1,1))-AVERAGE(OFFSET($H$3,0,0,'Données projet'!$E$14+1,1))</f>
        <v>247.11965163963526</v>
      </c>
      <c r="DU173" s="59">
        <f t="shared" si="152"/>
        <v>61.686311966192704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0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-1.0286385077051818E-13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265.50419397354284</v>
      </c>
      <c r="T174" s="59">
        <f t="shared" si="142"/>
        <v>156.67965022779907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0.20422167150842283</v>
      </c>
      <c r="AA174" s="21">
        <f>EXP(-LN(2)/25)*AA173+(1-EXP(-LN(2)/25))/(LN(2)/25)*Calculateur!V174*Calculateur!X174*VLOOKUP('Données projet'!$B$9,Paramètres!$A$1:$I$89,3,0)*0.475*44/12</f>
        <v>8.4131008887879263E-2</v>
      </c>
      <c r="AB174" s="21">
        <f>EXP(-LN(2)/2)*AB173+(1-EXP(-LN(2)/2))/(LN(2)/2)*V174*Y174*VLOOKUP('Données projet'!$B$9,Paramètres!$A$1:$I$89,3,0)*0.475*44/12</f>
        <v>3.6551804459173551E-21</v>
      </c>
      <c r="AC174" s="22">
        <f t="shared" si="163"/>
        <v>0.28835268039630207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-1.1527845344971866E-13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296.43642006376018</v>
      </c>
      <c r="AO174" s="59">
        <f t="shared" si="144"/>
        <v>179.56041631665812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0.22886911462150819</v>
      </c>
      <c r="AV174" s="21">
        <f>EXP(-LN(2)/25)*AV173+(1-EXP(-LN(2)/25))/(LN(2)/25)*Calculateur!AQ174*Calculateur!AS174*VLOOKUP('Données projet'!$B$10,Paramètres!$A$1:$I$89,3,0)*0.475*44/12</f>
        <v>9.4284751339864553E-2</v>
      </c>
      <c r="AW174" s="21">
        <f>EXP(-LN(2)/2)*AW173+(1-EXP(-LN(2)/2))/(LN(2)/2)*AQ174*AT174*VLOOKUP('Données projet'!$B$10,Paramètres!$A$1:$I$89,3,0)*0.475*44/12</f>
        <v>4.0963229135280717E-21</v>
      </c>
      <c r="AX174" s="21">
        <f t="shared" si="166"/>
        <v>0.32315386596137274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5.6843418860808015E-14</v>
      </c>
      <c r="BE174" s="13">
        <f>BD174*VLOOKUP('Données projet'!$B$11,Paramètres!$A$1:$I$89,3,0)*VLOOKUP('Données projet'!$B$11,Paramètres!$A$1:$I$89,5,0)</f>
        <v>3.813056537183002E-14</v>
      </c>
      <c r="BF174" s="13">
        <f t="shared" si="167"/>
        <v>6.4086286045526829E-13</v>
      </c>
      <c r="BG174" s="20">
        <f t="shared" si="168"/>
        <v>1.1825802166488628E-12</v>
      </c>
      <c r="BH174" s="59">
        <f t="shared" si="116"/>
        <v>293.33333333333451</v>
      </c>
      <c r="BI174" s="59">
        <f ca="1">AVERAGE(OFFSET($BH$3,0,0,'Données projet'!$E$11+1,1))-AVERAGE(OFFSET($H$3,0,0,'Données projet'!$E$11+1,1))</f>
        <v>181.32837315090507</v>
      </c>
      <c r="BJ174" s="59">
        <f t="shared" si="146"/>
        <v>175.03267817980338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0.33557688825799836</v>
      </c>
      <c r="BQ174" s="21">
        <f>EXP(-LN(2)/25)*BQ173+(1-EXP(-LN(2)/25))/(LN(2)/25)*Calculateur!BL174*Calculateur!BN174*VLOOKUP('Données projet'!$B$11,Paramètres!$A$1:$I$89,3,0)*0.475*44/12</f>
        <v>0.13641208216671355</v>
      </c>
      <c r="BR174" s="21">
        <f>EXP(-LN(2)/2)*BR173+(1-EXP(-LN(2)/2))/(LN(2)/2)*BL174*BO174*VLOOKUP('Données projet'!$B$11,Paramètres!$A$1:$I$89,3,0)*0.475*44/12</f>
        <v>6.3542026239902747E-22</v>
      </c>
      <c r="BS174" s="22">
        <f t="shared" si="169"/>
        <v>0.47198897042471188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574.49999999999989</v>
      </c>
      <c r="BZ174" s="13">
        <f>BY174*VLOOKUP('Données projet'!$B$12,Paramètres!$A$1:$I$89,3,0)*VLOOKUP('Données projet'!$B$12,Paramètres!$A$1:$I$89,5,0)</f>
        <v>268.86599999999999</v>
      </c>
      <c r="CA174" s="13">
        <f t="shared" si="170"/>
        <v>64.608546947682441</v>
      </c>
      <c r="CB174" s="20">
        <f t="shared" si="171"/>
        <v>580.80150260054677</v>
      </c>
      <c r="CC174" s="59">
        <f t="shared" si="119"/>
        <v>874.13483593388014</v>
      </c>
      <c r="CD174" s="59">
        <f ca="1">AVERAGE(OFFSET($CC$3,0,0,'Données projet'!$E$12+1,1))-AVERAGE(OFFSET($H$3,0,0,'Données projet'!$E$12+1,1))</f>
        <v>226.0452828290525</v>
      </c>
      <c r="CE174" s="59">
        <f t="shared" si="148"/>
        <v>179.89696397462069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0.55613681458727227</v>
      </c>
      <c r="CL174" s="21">
        <f>EXP(-LN(2)/25)*CL173+(1-EXP(-LN(2)/25))/(LN(2)/25)*Calculateur!CG174*Calculateur!CI174*VLOOKUP('Données projet'!$B$12,Paramètres!$A$1:$I$89,3,0)*0.475*44/12</f>
        <v>0.22362333059557252</v>
      </c>
      <c r="CM174" s="21">
        <f>EXP(-LN(2)/2)*CM173+(1-EXP(-LN(2)/2))/(LN(2)/2)*CG174*CJ174*VLOOKUP('Données projet'!$B$12,Paramètres!$A$1:$I$89,3,0)*0.475*44/12</f>
        <v>6.6142017378191949E-21</v>
      </c>
      <c r="CN174" s="22">
        <f t="shared" si="172"/>
        <v>0.77976014518284475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482.74318690313885</v>
      </c>
      <c r="CZ174" s="59">
        <f t="shared" si="150"/>
        <v>205.57161411620217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0.70334385377326059</v>
      </c>
      <c r="DG174" s="21">
        <f>EXP(-LN(2)/25)*DG173+(1-EXP(-LN(2)/25))/(LN(2)/25)*Calculateur!DB174*Calculateur!DD174*VLOOKUP('Données projet'!$B$13,Paramètres!$A$1:$I$89,3,0)*0.475*44/12</f>
        <v>0.18904643839542598</v>
      </c>
      <c r="DH174" s="21">
        <f>EXP(-LN(2)/2)*DH173+(1-EXP(-LN(2)/2))/(LN(2)/2)*DB174*DE174*VLOOKUP('Données projet'!$B$13,Paramètres!$A$1:$I$89,3,0)*0.475*44/12</f>
        <v>2.7126095271275243E-21</v>
      </c>
      <c r="DI174" s="22">
        <f t="shared" si="175"/>
        <v>0.89239029216868659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2.2737367544323206E-13</v>
      </c>
      <c r="DP174" s="17">
        <f>DO174*VLOOKUP('Données projet'!$B$14,Paramètres!$A$1:$I$89,3,0)*VLOOKUP('Données projet'!$B$14,Paramètres!$A$1:$I$89,5,0)</f>
        <v>1.0936673788819462E-13</v>
      </c>
      <c r="DQ174" s="13">
        <f t="shared" si="176"/>
        <v>1.6259645746645945E-12</v>
      </c>
      <c r="DR174" s="20">
        <f t="shared" si="177"/>
        <v>3.0223687026961078E-12</v>
      </c>
      <c r="DS174" s="59">
        <f t="shared" si="125"/>
        <v>293.33333333333633</v>
      </c>
      <c r="DT174" s="59">
        <f ca="1">AVERAGE(OFFSET($DS$3,0,0,'Données projet'!$E$14+1,1))-AVERAGE(OFFSET($H$3,0,0,'Données projet'!$E$14+1,1))</f>
        <v>247.11965163963526</v>
      </c>
      <c r="DU174" s="59">
        <f t="shared" si="152"/>
        <v>61.686311966192704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0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-1.0286385077051818E-13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265.50419397354284</v>
      </c>
      <c r="T175" s="59">
        <f t="shared" si="142"/>
        <v>156.67965022779907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0.2002170090930627</v>
      </c>
      <c r="AA175" s="21">
        <f>EXP(-LN(2)/25)*AA174+(1-EXP(-LN(2)/25))/(LN(2)/25)*Calculateur!V175*Calculateur!X175*VLOOKUP('Données projet'!$B$9,Paramètres!$A$1:$I$89,3,0)*0.475*44/12</f>
        <v>8.1830442025582734E-2</v>
      </c>
      <c r="AB175" s="21">
        <f>EXP(-LN(2)/2)*AB174+(1-EXP(-LN(2)/2))/(LN(2)/2)*V175*Y175*VLOOKUP('Données projet'!$B$9,Paramètres!$A$1:$I$89,3,0)*0.475*44/12</f>
        <v>2.5846028797686304E-21</v>
      </c>
      <c r="AC175" s="22">
        <f t="shared" si="163"/>
        <v>0.28204745111864543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-1.1527845344971866E-13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296.43642006376018</v>
      </c>
      <c r="AO175" s="59">
        <f t="shared" si="144"/>
        <v>179.56041631665812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0.22438113088015635</v>
      </c>
      <c r="AV175" s="21">
        <f>EXP(-LN(2)/25)*AV174+(1-EXP(-LN(2)/25))/(LN(2)/25)*Calculateur!AQ175*Calculateur!AS175*VLOOKUP('Données projet'!$B$10,Paramètres!$A$1:$I$89,3,0)*0.475*44/12</f>
        <v>9.170652985625638E-2</v>
      </c>
      <c r="AW175" s="21">
        <f>EXP(-LN(2)/2)*AW174+(1-EXP(-LN(2)/2))/(LN(2)/2)*AQ175*AT175*VLOOKUP('Données projet'!$B$10,Paramètres!$A$1:$I$89,3,0)*0.475*44/12</f>
        <v>2.8965377100855351E-21</v>
      </c>
      <c r="AX175" s="21">
        <f t="shared" si="166"/>
        <v>0.3160876607364127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5.6843418860808015E-14</v>
      </c>
      <c r="BE175" s="13">
        <f>BD175*VLOOKUP('Données projet'!$B$11,Paramètres!$A$1:$I$89,3,0)*VLOOKUP('Données projet'!$B$11,Paramètres!$A$1:$I$89,5,0)</f>
        <v>3.813056537183002E-14</v>
      </c>
      <c r="BF175" s="13">
        <f t="shared" si="167"/>
        <v>6.4086286045526829E-13</v>
      </c>
      <c r="BG175" s="20">
        <f t="shared" si="168"/>
        <v>1.1825802166488628E-12</v>
      </c>
      <c r="BH175" s="59">
        <f t="shared" si="116"/>
        <v>293.33333333333451</v>
      </c>
      <c r="BI175" s="59">
        <f ca="1">AVERAGE(OFFSET($BH$3,0,0,'Données projet'!$E$11+1,1))-AVERAGE(OFFSET($H$3,0,0,'Données projet'!$E$11+1,1))</f>
        <v>181.32837315090507</v>
      </c>
      <c r="BJ175" s="59">
        <f t="shared" si="146"/>
        <v>175.03267817980338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0.3289964301609502</v>
      </c>
      <c r="BQ175" s="21">
        <f>EXP(-LN(2)/25)*BQ174+(1-EXP(-LN(2)/25))/(LN(2)/25)*Calculateur!BL175*Calculateur!BN175*VLOOKUP('Données projet'!$B$11,Paramètres!$A$1:$I$89,3,0)*0.475*44/12</f>
        <v>0.13268188660626515</v>
      </c>
      <c r="BR175" s="21">
        <f>EXP(-LN(2)/2)*BR174+(1-EXP(-LN(2)/2))/(LN(2)/2)*BL175*BO175*VLOOKUP('Données projet'!$B$11,Paramètres!$A$1:$I$89,3,0)*0.475*44/12</f>
        <v>4.4930997644568772E-22</v>
      </c>
      <c r="BS175" s="22">
        <f t="shared" si="169"/>
        <v>0.46167831676721538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574.49999999999989</v>
      </c>
      <c r="BZ175" s="13">
        <f>BY175*VLOOKUP('Données projet'!$B$12,Paramètres!$A$1:$I$89,3,0)*VLOOKUP('Données projet'!$B$12,Paramètres!$A$1:$I$89,5,0)</f>
        <v>268.86599999999999</v>
      </c>
      <c r="CA175" s="13">
        <f t="shared" si="170"/>
        <v>64.608546947682441</v>
      </c>
      <c r="CB175" s="20">
        <f t="shared" si="171"/>
        <v>580.80150260054677</v>
      </c>
      <c r="CC175" s="59">
        <f t="shared" si="119"/>
        <v>874.13483593388014</v>
      </c>
      <c r="CD175" s="59">
        <f ca="1">AVERAGE(OFFSET($CC$3,0,0,'Données projet'!$E$12+1,1))-AVERAGE(OFFSET($H$3,0,0,'Données projet'!$E$12+1,1))</f>
        <v>226.0452828290525</v>
      </c>
      <c r="CE175" s="59">
        <f t="shared" si="148"/>
        <v>179.89696397462069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0.54523131086317855</v>
      </c>
      <c r="CL175" s="21">
        <f>EXP(-LN(2)/25)*CL174+(1-EXP(-LN(2)/25))/(LN(2)/25)*Calculateur!CG175*Calculateur!CI175*VLOOKUP('Données projet'!$B$12,Paramètres!$A$1:$I$89,3,0)*0.475*44/12</f>
        <v>0.21750833886059673</v>
      </c>
      <c r="CM175" s="21">
        <f>EXP(-LN(2)/2)*CM174+(1-EXP(-LN(2)/2))/(LN(2)/2)*CG175*CJ175*VLOOKUP('Données projet'!$B$12,Paramètres!$A$1:$I$89,3,0)*0.475*44/12</f>
        <v>4.6769469009478003E-21</v>
      </c>
      <c r="CN175" s="22">
        <f t="shared" si="172"/>
        <v>0.76273964972377528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482.74318690313885</v>
      </c>
      <c r="CZ175" s="59">
        <f t="shared" si="150"/>
        <v>205.57161411620217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0.68955170979815772</v>
      </c>
      <c r="DG175" s="21">
        <f>EXP(-LN(2)/25)*DG174+(1-EXP(-LN(2)/25))/(LN(2)/25)*Calculateur!DB175*Calculateur!DD175*VLOOKUP('Données projet'!$B$13,Paramètres!$A$1:$I$89,3,0)*0.475*44/12</f>
        <v>0.18387695359598294</v>
      </c>
      <c r="DH175" s="21">
        <f>EXP(-LN(2)/2)*DH174+(1-EXP(-LN(2)/2))/(LN(2)/2)*DB175*DE175*VLOOKUP('Données projet'!$B$13,Paramètres!$A$1:$I$89,3,0)*0.475*44/12</f>
        <v>1.9181045913431065E-21</v>
      </c>
      <c r="DI175" s="22">
        <f t="shared" si="175"/>
        <v>0.8734286633941406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2.2737367544323206E-13</v>
      </c>
      <c r="DP175" s="17">
        <f>DO175*VLOOKUP('Données projet'!$B$14,Paramètres!$A$1:$I$89,3,0)*VLOOKUP('Données projet'!$B$14,Paramètres!$A$1:$I$89,5,0)</f>
        <v>1.0936673788819462E-13</v>
      </c>
      <c r="DQ175" s="13">
        <f t="shared" si="176"/>
        <v>1.6259645746645945E-12</v>
      </c>
      <c r="DR175" s="20">
        <f t="shared" si="177"/>
        <v>3.0223687026961078E-12</v>
      </c>
      <c r="DS175" s="59">
        <f t="shared" si="125"/>
        <v>293.33333333333633</v>
      </c>
      <c r="DT175" s="59">
        <f ca="1">AVERAGE(OFFSET($DS$3,0,0,'Données projet'!$E$14+1,1))-AVERAGE(OFFSET($H$3,0,0,'Données projet'!$E$14+1,1))</f>
        <v>247.11965163963526</v>
      </c>
      <c r="DU175" s="59">
        <f t="shared" si="152"/>
        <v>61.686311966192704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0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-1.0286385077051818E-13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265.50419397354284</v>
      </c>
      <c r="T176" s="59">
        <f t="shared" si="142"/>
        <v>156.67965022779907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0.1962908756650649</v>
      </c>
      <c r="AA176" s="21">
        <f>EXP(-LN(2)/25)*AA175+(1-EXP(-LN(2)/25))/(LN(2)/25)*Calculateur!V176*Calculateur!X176*VLOOKUP('Données projet'!$B$9,Paramètres!$A$1:$I$89,3,0)*0.475*44/12</f>
        <v>7.9592784285117249E-2</v>
      </c>
      <c r="AB176" s="21">
        <f>EXP(-LN(2)/2)*AB175+(1-EXP(-LN(2)/2))/(LN(2)/2)*V176*Y176*VLOOKUP('Données projet'!$B$9,Paramètres!$A$1:$I$89,3,0)*0.475*44/12</f>
        <v>1.8275902229586775E-21</v>
      </c>
      <c r="AC176" s="22">
        <f t="shared" si="163"/>
        <v>0.27588365995018216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-1.1527845344971866E-13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296.43642006376018</v>
      </c>
      <c r="AO176" s="59">
        <f t="shared" si="144"/>
        <v>179.56041631665812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0.21998115376257263</v>
      </c>
      <c r="AV176" s="21">
        <f>EXP(-LN(2)/25)*AV175+(1-EXP(-LN(2)/25))/(LN(2)/25)*Calculateur!AQ176*Calculateur!AS176*VLOOKUP('Données projet'!$B$10,Paramètres!$A$1:$I$89,3,0)*0.475*44/12</f>
        <v>8.9198809974700241E-2</v>
      </c>
      <c r="AW176" s="21">
        <f>EXP(-LN(2)/2)*AW175+(1-EXP(-LN(2)/2))/(LN(2)/2)*AQ176*AT176*VLOOKUP('Données projet'!$B$10,Paramètres!$A$1:$I$89,3,0)*0.475*44/12</f>
        <v>2.0481614567640359E-21</v>
      </c>
      <c r="AX176" s="21">
        <f t="shared" si="166"/>
        <v>0.30917996373727286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5.6843418860808015E-14</v>
      </c>
      <c r="BE176" s="13">
        <f>BD176*VLOOKUP('Données projet'!$B$11,Paramètres!$A$1:$I$89,3,0)*VLOOKUP('Données projet'!$B$11,Paramètres!$A$1:$I$89,5,0)</f>
        <v>3.813056537183002E-14</v>
      </c>
      <c r="BF176" s="13">
        <f t="shared" si="167"/>
        <v>6.4086286045526829E-13</v>
      </c>
      <c r="BG176" s="20">
        <f t="shared" si="168"/>
        <v>1.1825802166488628E-12</v>
      </c>
      <c r="BH176" s="59">
        <f t="shared" si="116"/>
        <v>293.33333333333451</v>
      </c>
      <c r="BI176" s="59">
        <f ca="1">AVERAGE(OFFSET($BH$3,0,0,'Données projet'!$E$11+1,1))-AVERAGE(OFFSET($H$3,0,0,'Données projet'!$E$11+1,1))</f>
        <v>181.32837315090507</v>
      </c>
      <c r="BJ176" s="59">
        <f t="shared" si="146"/>
        <v>175.03267817980338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0.32254501083350207</v>
      </c>
      <c r="BQ176" s="21">
        <f>EXP(-LN(2)/25)*BQ175+(1-EXP(-LN(2)/25))/(LN(2)/25)*Calculateur!BL176*Calculateur!BN176*VLOOKUP('Données projet'!$B$11,Paramètres!$A$1:$I$89,3,0)*0.475*44/12</f>
        <v>0.12905369343957965</v>
      </c>
      <c r="BR176" s="21">
        <f>EXP(-LN(2)/2)*BR175+(1-EXP(-LN(2)/2))/(LN(2)/2)*BL176*BO176*VLOOKUP('Données projet'!$B$11,Paramètres!$A$1:$I$89,3,0)*0.475*44/12</f>
        <v>3.1771013119951374E-22</v>
      </c>
      <c r="BS176" s="22">
        <f t="shared" si="169"/>
        <v>0.45159870427308169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574.49999999999989</v>
      </c>
      <c r="BZ176" s="13">
        <f>BY176*VLOOKUP('Données projet'!$B$12,Paramètres!$A$1:$I$89,3,0)*VLOOKUP('Données projet'!$B$12,Paramètres!$A$1:$I$89,5,0)</f>
        <v>268.86599999999999</v>
      </c>
      <c r="CA176" s="13">
        <f t="shared" si="170"/>
        <v>64.608546947682441</v>
      </c>
      <c r="CB176" s="20">
        <f t="shared" si="171"/>
        <v>580.80150260054677</v>
      </c>
      <c r="CC176" s="59">
        <f t="shared" si="119"/>
        <v>874.13483593388014</v>
      </c>
      <c r="CD176" s="59">
        <f ca="1">AVERAGE(OFFSET($CC$3,0,0,'Données projet'!$E$12+1,1))-AVERAGE(OFFSET($H$3,0,0,'Données projet'!$E$12+1,1))</f>
        <v>226.0452828290525</v>
      </c>
      <c r="CE176" s="59">
        <f t="shared" si="148"/>
        <v>179.89696397462069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0.53453965741541387</v>
      </c>
      <c r="CL176" s="21">
        <f>EXP(-LN(2)/25)*CL175+(1-EXP(-LN(2)/25))/(LN(2)/25)*Calculateur!CG176*Calculateur!CI176*VLOOKUP('Données projet'!$B$12,Paramètres!$A$1:$I$89,3,0)*0.475*44/12</f>
        <v>0.2115605618961873</v>
      </c>
      <c r="CM176" s="21">
        <f>EXP(-LN(2)/2)*CM175+(1-EXP(-LN(2)/2))/(LN(2)/2)*CG176*CJ176*VLOOKUP('Données projet'!$B$12,Paramètres!$A$1:$I$89,3,0)*0.475*44/12</f>
        <v>3.3071008689095978E-21</v>
      </c>
      <c r="CN176" s="22">
        <f t="shared" si="172"/>
        <v>0.7461002193116012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482.74318690313885</v>
      </c>
      <c r="CZ176" s="59">
        <f t="shared" si="150"/>
        <v>205.57161411620217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0.67603002135402945</v>
      </c>
      <c r="DG176" s="21">
        <f>EXP(-LN(2)/25)*DG175+(1-EXP(-LN(2)/25))/(LN(2)/25)*Calculateur!DB176*Calculateur!DD176*VLOOKUP('Données projet'!$B$13,Paramètres!$A$1:$I$89,3,0)*0.475*44/12</f>
        <v>0.17884882863023205</v>
      </c>
      <c r="DH176" s="21">
        <f>EXP(-LN(2)/2)*DH175+(1-EXP(-LN(2)/2))/(LN(2)/2)*DB176*DE176*VLOOKUP('Données projet'!$B$13,Paramètres!$A$1:$I$89,3,0)*0.475*44/12</f>
        <v>1.3563047635637621E-21</v>
      </c>
      <c r="DI176" s="22">
        <f t="shared" si="175"/>
        <v>0.85487884998426145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2.2737367544323206E-13</v>
      </c>
      <c r="DP176" s="17">
        <f>DO176*VLOOKUP('Données projet'!$B$14,Paramètres!$A$1:$I$89,3,0)*VLOOKUP('Données projet'!$B$14,Paramètres!$A$1:$I$89,5,0)</f>
        <v>1.0936673788819462E-13</v>
      </c>
      <c r="DQ176" s="13">
        <f t="shared" si="176"/>
        <v>1.6259645746645945E-12</v>
      </c>
      <c r="DR176" s="20">
        <f t="shared" si="177"/>
        <v>3.0223687026961078E-12</v>
      </c>
      <c r="DS176" s="59">
        <f t="shared" si="125"/>
        <v>293.33333333333633</v>
      </c>
      <c r="DT176" s="59">
        <f ca="1">AVERAGE(OFFSET($DS$3,0,0,'Données projet'!$E$14+1,1))-AVERAGE(OFFSET($H$3,0,0,'Données projet'!$E$14+1,1))</f>
        <v>247.11965163963526</v>
      </c>
      <c r="DU176" s="59">
        <f t="shared" si="152"/>
        <v>61.686311966192704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0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-1.0286385077051818E-13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265.50419397354284</v>
      </c>
      <c r="T177" s="59">
        <f t="shared" si="142"/>
        <v>156.67965022779907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0.1924417313188852</v>
      </c>
      <c r="AA177" s="21">
        <f>EXP(-LN(2)/25)*AA176+(1-EXP(-LN(2)/25))/(LN(2)/25)*Calculateur!V177*Calculateur!X177*VLOOKUP('Données projet'!$B$9,Paramètres!$A$1:$I$89,3,0)*0.475*44/12</f>
        <v>7.741631541323811E-2</v>
      </c>
      <c r="AB177" s="21">
        <f>EXP(-LN(2)/2)*AB176+(1-EXP(-LN(2)/2))/(LN(2)/2)*V177*Y177*VLOOKUP('Données projet'!$B$9,Paramètres!$A$1:$I$89,3,0)*0.475*44/12</f>
        <v>1.2923014398843152E-21</v>
      </c>
      <c r="AC177" s="22">
        <f t="shared" si="163"/>
        <v>0.26985804673212332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-1.1527845344971866E-13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296.43642006376018</v>
      </c>
      <c r="AO177" s="59">
        <f t="shared" si="144"/>
        <v>179.56041631665812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0.21566745751254368</v>
      </c>
      <c r="AV177" s="21">
        <f>EXP(-LN(2)/25)*AV176+(1-EXP(-LN(2)/25))/(LN(2)/25)*Calculateur!AQ177*Calculateur!AS177*VLOOKUP('Données projet'!$B$10,Paramètres!$A$1:$I$89,3,0)*0.475*44/12</f>
        <v>8.6759663825180508E-2</v>
      </c>
      <c r="AW177" s="21">
        <f>EXP(-LN(2)/2)*AW176+(1-EXP(-LN(2)/2))/(LN(2)/2)*AQ177*AT177*VLOOKUP('Données projet'!$B$10,Paramètres!$A$1:$I$89,3,0)*0.475*44/12</f>
        <v>1.4482688550427675E-21</v>
      </c>
      <c r="AX177" s="21">
        <f t="shared" si="166"/>
        <v>0.3024271213377242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5.6843418860808015E-14</v>
      </c>
      <c r="BE177" s="13">
        <f>BD177*VLOOKUP('Données projet'!$B$11,Paramètres!$A$1:$I$89,3,0)*VLOOKUP('Données projet'!$B$11,Paramètres!$A$1:$I$89,5,0)</f>
        <v>3.813056537183002E-14</v>
      </c>
      <c r="BF177" s="13">
        <f t="shared" si="167"/>
        <v>6.4086286045526829E-13</v>
      </c>
      <c r="BG177" s="20">
        <f t="shared" si="168"/>
        <v>1.1825802166488628E-12</v>
      </c>
      <c r="BH177" s="59">
        <f t="shared" si="116"/>
        <v>293.33333333333451</v>
      </c>
      <c r="BI177" s="59">
        <f ca="1">AVERAGE(OFFSET($BH$3,0,0,'Données projet'!$E$11+1,1))-AVERAGE(OFFSET($H$3,0,0,'Données projet'!$E$11+1,1))</f>
        <v>181.32837315090507</v>
      </c>
      <c r="BJ177" s="59">
        <f t="shared" si="146"/>
        <v>175.03267817980338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0.31622009990408795</v>
      </c>
      <c r="BQ177" s="21">
        <f>EXP(-LN(2)/25)*BQ176+(1-EXP(-LN(2)/25))/(LN(2)/25)*Calculateur!BL177*Calculateur!BN177*VLOOKUP('Données projet'!$B$11,Paramètres!$A$1:$I$89,3,0)*0.475*44/12</f>
        <v>0.12552471340583557</v>
      </c>
      <c r="BR177" s="21">
        <f>EXP(-LN(2)/2)*BR176+(1-EXP(-LN(2)/2))/(LN(2)/2)*BL177*BO177*VLOOKUP('Données projet'!$B$11,Paramètres!$A$1:$I$89,3,0)*0.475*44/12</f>
        <v>2.2465498822284386E-22</v>
      </c>
      <c r="BS177" s="22">
        <f t="shared" si="169"/>
        <v>0.44174481330992355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574.49999999999989</v>
      </c>
      <c r="BZ177" s="13">
        <f>BY177*VLOOKUP('Données projet'!$B$12,Paramètres!$A$1:$I$89,3,0)*VLOOKUP('Données projet'!$B$12,Paramètres!$A$1:$I$89,5,0)</f>
        <v>268.86599999999999</v>
      </c>
      <c r="CA177" s="13">
        <f t="shared" si="170"/>
        <v>64.608546947682441</v>
      </c>
      <c r="CB177" s="20">
        <f t="shared" si="171"/>
        <v>580.80150260054677</v>
      </c>
      <c r="CC177" s="59">
        <f t="shared" si="119"/>
        <v>874.13483593388014</v>
      </c>
      <c r="CD177" s="59">
        <f ca="1">AVERAGE(OFFSET($CC$3,0,0,'Données projet'!$E$12+1,1))-AVERAGE(OFFSET($H$3,0,0,'Données projet'!$E$12+1,1))</f>
        <v>226.0452828290525</v>
      </c>
      <c r="CE177" s="59">
        <f t="shared" si="148"/>
        <v>179.89696397462069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0.5240576607704952</v>
      </c>
      <c r="CL177" s="21">
        <f>EXP(-LN(2)/25)*CL176+(1-EXP(-LN(2)/25))/(LN(2)/25)*Calculateur!CG177*Calculateur!CI177*VLOOKUP('Données projet'!$B$12,Paramètres!$A$1:$I$89,3,0)*0.475*44/12</f>
        <v>0.20577542720564965</v>
      </c>
      <c r="CM177" s="21">
        <f>EXP(-LN(2)/2)*CM176+(1-EXP(-LN(2)/2))/(LN(2)/2)*CG177*CJ177*VLOOKUP('Données projet'!$B$12,Paramètres!$A$1:$I$89,3,0)*0.475*44/12</f>
        <v>2.3384734504739005E-21</v>
      </c>
      <c r="CN177" s="22">
        <f t="shared" si="172"/>
        <v>0.72983308797614488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482.74318690313885</v>
      </c>
      <c r="CZ177" s="59">
        <f t="shared" si="150"/>
        <v>205.57161411620217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0.66277348497287503</v>
      </c>
      <c r="DG177" s="21">
        <f>EXP(-LN(2)/25)*DG176+(1-EXP(-LN(2)/25))/(LN(2)/25)*Calculateur!DB177*Calculateur!DD177*VLOOKUP('Données projet'!$B$13,Paramètres!$A$1:$I$89,3,0)*0.475*44/12</f>
        <v>0.17395819800608722</v>
      </c>
      <c r="DH177" s="21">
        <f>EXP(-LN(2)/2)*DH176+(1-EXP(-LN(2)/2))/(LN(2)/2)*DB177*DE177*VLOOKUP('Données projet'!$B$13,Paramètres!$A$1:$I$89,3,0)*0.475*44/12</f>
        <v>9.5905229567155323E-22</v>
      </c>
      <c r="DI177" s="22">
        <f t="shared" si="175"/>
        <v>0.83673168297896228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2.2737367544323206E-13</v>
      </c>
      <c r="DP177" s="17">
        <f>DO177*VLOOKUP('Données projet'!$B$14,Paramètres!$A$1:$I$89,3,0)*VLOOKUP('Données projet'!$B$14,Paramètres!$A$1:$I$89,5,0)</f>
        <v>1.0936673788819462E-13</v>
      </c>
      <c r="DQ177" s="13">
        <f t="shared" si="176"/>
        <v>1.6259645746645945E-12</v>
      </c>
      <c r="DR177" s="20">
        <f t="shared" si="177"/>
        <v>3.0223687026961078E-12</v>
      </c>
      <c r="DS177" s="59">
        <f t="shared" si="125"/>
        <v>293.33333333333633</v>
      </c>
      <c r="DT177" s="59">
        <f ca="1">AVERAGE(OFFSET($DS$3,0,0,'Données projet'!$E$14+1,1))-AVERAGE(OFFSET($H$3,0,0,'Données projet'!$E$14+1,1))</f>
        <v>247.11965163963526</v>
      </c>
      <c r="DU177" s="59">
        <f t="shared" si="152"/>
        <v>61.686311966192704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0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-1.0286385077051818E-13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265.50419397354284</v>
      </c>
      <c r="T178" s="59">
        <f t="shared" si="142"/>
        <v>156.67965022779907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0.18866806634558786</v>
      </c>
      <c r="AA178" s="21">
        <f>EXP(-LN(2)/25)*AA177+(1-EXP(-LN(2)/25))/(LN(2)/25)*Calculateur!V178*Calculateur!X178*VLOOKUP('Données projet'!$B$9,Paramètres!$A$1:$I$89,3,0)*0.475*44/12</f>
        <v>7.5299362197116027E-2</v>
      </c>
      <c r="AB178" s="21">
        <f>EXP(-LN(2)/2)*AB177+(1-EXP(-LN(2)/2))/(LN(2)/2)*V178*Y178*VLOOKUP('Données projet'!$B$9,Paramètres!$A$1:$I$89,3,0)*0.475*44/12</f>
        <v>9.1379511147933877E-22</v>
      </c>
      <c r="AC178" s="22">
        <f t="shared" si="163"/>
        <v>0.26396742854270389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-1.1527845344971866E-13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296.43642006376018</v>
      </c>
      <c r="AO178" s="59">
        <f t="shared" si="144"/>
        <v>179.56041631665812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0.21143835021488289</v>
      </c>
      <c r="AV178" s="21">
        <f>EXP(-LN(2)/25)*AV177+(1-EXP(-LN(2)/25))/(LN(2)/25)*Calculateur!AQ178*Calculateur!AS178*VLOOKUP('Données projet'!$B$10,Paramètres!$A$1:$I$89,3,0)*0.475*44/12</f>
        <v>8.4387216255388517E-2</v>
      </c>
      <c r="AW178" s="21">
        <f>EXP(-LN(2)/2)*AW177+(1-EXP(-LN(2)/2))/(LN(2)/2)*AQ178*AT178*VLOOKUP('Données projet'!$B$10,Paramètres!$A$1:$I$89,3,0)*0.475*44/12</f>
        <v>1.0240807283820179E-21</v>
      </c>
      <c r="AX178" s="21">
        <f t="shared" si="166"/>
        <v>0.29582556647027142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5.6843418860808015E-14</v>
      </c>
      <c r="BE178" s="13">
        <f>BD178*VLOOKUP('Données projet'!$B$11,Paramètres!$A$1:$I$89,3,0)*VLOOKUP('Données projet'!$B$11,Paramètres!$A$1:$I$89,5,0)</f>
        <v>3.813056537183002E-14</v>
      </c>
      <c r="BF178" s="13">
        <f t="shared" si="167"/>
        <v>6.4086286045526829E-13</v>
      </c>
      <c r="BG178" s="20">
        <f t="shared" si="168"/>
        <v>1.1825802166488628E-12</v>
      </c>
      <c r="BH178" s="59">
        <f t="shared" si="116"/>
        <v>293.33333333333451</v>
      </c>
      <c r="BI178" s="59">
        <f ca="1">AVERAGE(OFFSET($BH$3,0,0,'Données projet'!$E$11+1,1))-AVERAGE(OFFSET($H$3,0,0,'Données projet'!$E$11+1,1))</f>
        <v>181.32837315090507</v>
      </c>
      <c r="BJ178" s="59">
        <f t="shared" si="146"/>
        <v>175.03267817980338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0.31001921662018489</v>
      </c>
      <c r="BQ178" s="21">
        <f>EXP(-LN(2)/25)*BQ177+(1-EXP(-LN(2)/25))/(LN(2)/25)*Calculateur!BL178*Calculateur!BN178*VLOOKUP('Données projet'!$B$11,Paramètres!$A$1:$I$89,3,0)*0.475*44/12</f>
        <v>0.12209223351669521</v>
      </c>
      <c r="BR178" s="21">
        <f>EXP(-LN(2)/2)*BR177+(1-EXP(-LN(2)/2))/(LN(2)/2)*BL178*BO178*VLOOKUP('Données projet'!$B$11,Paramètres!$A$1:$I$89,3,0)*0.475*44/12</f>
        <v>1.5885506559975687E-22</v>
      </c>
      <c r="BS178" s="22">
        <f t="shared" si="169"/>
        <v>0.43211145013688013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574.49999999999989</v>
      </c>
      <c r="BZ178" s="13">
        <f>BY178*VLOOKUP('Données projet'!$B$12,Paramètres!$A$1:$I$89,3,0)*VLOOKUP('Données projet'!$B$12,Paramètres!$A$1:$I$89,5,0)</f>
        <v>268.86599999999999</v>
      </c>
      <c r="CA178" s="13">
        <f t="shared" si="170"/>
        <v>64.608546947682441</v>
      </c>
      <c r="CB178" s="20">
        <f t="shared" si="171"/>
        <v>580.80150260054677</v>
      </c>
      <c r="CC178" s="59">
        <f t="shared" si="119"/>
        <v>874.13483593388014</v>
      </c>
      <c r="CD178" s="59">
        <f ca="1">AVERAGE(OFFSET($CC$3,0,0,'Données projet'!$E$12+1,1))-AVERAGE(OFFSET($H$3,0,0,'Données projet'!$E$12+1,1))</f>
        <v>226.0452828290525</v>
      </c>
      <c r="CE178" s="59">
        <f t="shared" si="148"/>
        <v>179.89696397462069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0.51378120968639662</v>
      </c>
      <c r="CL178" s="21">
        <f>EXP(-LN(2)/25)*CL177+(1-EXP(-LN(2)/25))/(LN(2)/25)*Calculateur!CG178*Calculateur!CI178*VLOOKUP('Données projet'!$B$12,Paramètres!$A$1:$I$89,3,0)*0.475*44/12</f>
        <v>0.20014848732745175</v>
      </c>
      <c r="CM178" s="21">
        <f>EXP(-LN(2)/2)*CM177+(1-EXP(-LN(2)/2))/(LN(2)/2)*CG178*CJ178*VLOOKUP('Données projet'!$B$12,Paramètres!$A$1:$I$89,3,0)*0.475*44/12</f>
        <v>1.6535504344547993E-21</v>
      </c>
      <c r="CN178" s="22">
        <f t="shared" si="172"/>
        <v>0.71392969701384834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482.74318690313885</v>
      </c>
      <c r="CZ178" s="59">
        <f t="shared" si="150"/>
        <v>205.57161411620217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0.64977690118446618</v>
      </c>
      <c r="DG178" s="21">
        <f>EXP(-LN(2)/25)*DG177+(1-EXP(-LN(2)/25))/(LN(2)/25)*Calculateur!DB178*Calculateur!DD178*VLOOKUP('Données projet'!$B$13,Paramètres!$A$1:$I$89,3,0)*0.475*44/12</f>
        <v>0.16920130193354671</v>
      </c>
      <c r="DH178" s="21">
        <f>EXP(-LN(2)/2)*DH177+(1-EXP(-LN(2)/2))/(LN(2)/2)*DB178*DE178*VLOOKUP('Données projet'!$B$13,Paramètres!$A$1:$I$89,3,0)*0.475*44/12</f>
        <v>6.7815238178188107E-22</v>
      </c>
      <c r="DI178" s="22">
        <f t="shared" si="175"/>
        <v>0.81897820311801284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2.2737367544323206E-13</v>
      </c>
      <c r="DP178" s="17">
        <f>DO178*VLOOKUP('Données projet'!$B$14,Paramètres!$A$1:$I$89,3,0)*VLOOKUP('Données projet'!$B$14,Paramètres!$A$1:$I$89,5,0)</f>
        <v>1.0936673788819462E-13</v>
      </c>
      <c r="DQ178" s="13">
        <f t="shared" si="176"/>
        <v>1.6259645746645945E-12</v>
      </c>
      <c r="DR178" s="20">
        <f t="shared" si="177"/>
        <v>3.0223687026961078E-12</v>
      </c>
      <c r="DS178" s="59">
        <f t="shared" si="125"/>
        <v>293.33333333333633</v>
      </c>
      <c r="DT178" s="59">
        <f ca="1">AVERAGE(OFFSET($DS$3,0,0,'Données projet'!$E$14+1,1))-AVERAGE(OFFSET($H$3,0,0,'Données projet'!$E$14+1,1))</f>
        <v>247.11965163963526</v>
      </c>
      <c r="DU178" s="59">
        <f t="shared" si="152"/>
        <v>61.686311966192704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0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-1.0286385077051818E-13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265.50419397354284</v>
      </c>
      <c r="T179" s="59">
        <f t="shared" si="142"/>
        <v>156.67965022779907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0.18496840064070852</v>
      </c>
      <c r="AA179" s="21">
        <f>EXP(-LN(2)/25)*AA178+(1-EXP(-LN(2)/25))/(LN(2)/25)*Calculateur!V179*Calculateur!X179*VLOOKUP('Données projet'!$B$9,Paramètres!$A$1:$I$89,3,0)*0.475*44/12</f>
        <v>7.324029717801453E-2</v>
      </c>
      <c r="AB179" s="21">
        <f>EXP(-LN(2)/2)*AB178+(1-EXP(-LN(2)/2))/(LN(2)/2)*V179*Y179*VLOOKUP('Données projet'!$B$9,Paramètres!$A$1:$I$89,3,0)*0.475*44/12</f>
        <v>6.461507199421576E-22</v>
      </c>
      <c r="AC179" s="22">
        <f t="shared" si="163"/>
        <v>0.25820869781872302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-1.1527845344971866E-13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296.43642006376018</v>
      </c>
      <c r="AO179" s="59">
        <f t="shared" si="144"/>
        <v>179.56041631665812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0.20729217313182846</v>
      </c>
      <c r="AV179" s="21">
        <f>EXP(-LN(2)/25)*AV178+(1-EXP(-LN(2)/25))/(LN(2)/25)*Calculateur!AQ179*Calculateur!AS179*VLOOKUP('Données projet'!$B$10,Paramètres!$A$1:$I$89,3,0)*0.475*44/12</f>
        <v>8.2079643389154078E-2</v>
      </c>
      <c r="AW179" s="21">
        <f>EXP(-LN(2)/2)*AW178+(1-EXP(-LN(2)/2))/(LN(2)/2)*AQ179*AT179*VLOOKUP('Données projet'!$B$10,Paramètres!$A$1:$I$89,3,0)*0.475*44/12</f>
        <v>7.2413442752138377E-22</v>
      </c>
      <c r="AX179" s="21">
        <f t="shared" si="166"/>
        <v>0.28937181652098254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5.6843418860808015E-14</v>
      </c>
      <c r="BE179" s="13">
        <f>BD179*VLOOKUP('Données projet'!$B$11,Paramètres!$A$1:$I$89,3,0)*VLOOKUP('Données projet'!$B$11,Paramètres!$A$1:$I$89,5,0)</f>
        <v>3.813056537183002E-14</v>
      </c>
      <c r="BF179" s="13">
        <f t="shared" si="167"/>
        <v>6.4086286045526829E-13</v>
      </c>
      <c r="BG179" s="20">
        <f t="shared" si="168"/>
        <v>1.1825802166488628E-12</v>
      </c>
      <c r="BH179" s="59">
        <f t="shared" si="116"/>
        <v>293.33333333333451</v>
      </c>
      <c r="BI179" s="59">
        <f ca="1">AVERAGE(OFFSET($BH$3,0,0,'Données projet'!$E$11+1,1))-AVERAGE(OFFSET($H$3,0,0,'Données projet'!$E$11+1,1))</f>
        <v>181.32837315090507</v>
      </c>
      <c r="BJ179" s="59">
        <f t="shared" si="146"/>
        <v>175.03267817980338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0.30393992887531379</v>
      </c>
      <c r="BQ179" s="21">
        <f>EXP(-LN(2)/25)*BQ178+(1-EXP(-LN(2)/25))/(LN(2)/25)*Calculateur!BL179*Calculateur!BN179*VLOOKUP('Données projet'!$B$11,Paramètres!$A$1:$I$89,3,0)*0.475*44/12</f>
        <v>0.11875361497062967</v>
      </c>
      <c r="BR179" s="21">
        <f>EXP(-LN(2)/2)*BR178+(1-EXP(-LN(2)/2))/(LN(2)/2)*BL179*BO179*VLOOKUP('Données projet'!$B$11,Paramètres!$A$1:$I$89,3,0)*0.475*44/12</f>
        <v>1.1232749411142193E-22</v>
      </c>
      <c r="BS179" s="22">
        <f t="shared" si="169"/>
        <v>0.42269354384594349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574.49999999999989</v>
      </c>
      <c r="BZ179" s="13">
        <f>BY179*VLOOKUP('Données projet'!$B$12,Paramètres!$A$1:$I$89,3,0)*VLOOKUP('Données projet'!$B$12,Paramètres!$A$1:$I$89,5,0)</f>
        <v>268.86599999999999</v>
      </c>
      <c r="CA179" s="13">
        <f t="shared" si="170"/>
        <v>64.608546947682441</v>
      </c>
      <c r="CB179" s="20">
        <f t="shared" si="171"/>
        <v>580.80150260054677</v>
      </c>
      <c r="CC179" s="59">
        <f t="shared" si="119"/>
        <v>874.13483593388014</v>
      </c>
      <c r="CD179" s="59">
        <f ca="1">AVERAGE(OFFSET($CC$3,0,0,'Données projet'!$E$12+1,1))-AVERAGE(OFFSET($H$3,0,0,'Données projet'!$E$12+1,1))</f>
        <v>226.0452828290525</v>
      </c>
      <c r="CE179" s="59">
        <f t="shared" si="148"/>
        <v>179.89696397462069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0.50370627354004105</v>
      </c>
      <c r="CL179" s="21">
        <f>EXP(-LN(2)/25)*CL178+(1-EXP(-LN(2)/25))/(LN(2)/25)*Calculateur!CG179*Calculateur!CI179*VLOOKUP('Données projet'!$B$12,Paramètres!$A$1:$I$89,3,0)*0.475*44/12</f>
        <v>0.19467541641613106</v>
      </c>
      <c r="CM179" s="21">
        <f>EXP(-LN(2)/2)*CM178+(1-EXP(-LN(2)/2))/(LN(2)/2)*CG179*CJ179*VLOOKUP('Données projet'!$B$12,Paramètres!$A$1:$I$89,3,0)*0.475*44/12</f>
        <v>1.1692367252369504E-21</v>
      </c>
      <c r="CN179" s="22">
        <f t="shared" si="172"/>
        <v>0.69838168995617211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482.74318690313885</v>
      </c>
      <c r="CZ179" s="59">
        <f t="shared" si="150"/>
        <v>205.57161411620217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0.63703517247701469</v>
      </c>
      <c r="DG179" s="21">
        <f>EXP(-LN(2)/25)*DG178+(1-EXP(-LN(2)/25))/(LN(2)/25)*Calculateur!DB179*Calculateur!DD179*VLOOKUP('Données projet'!$B$13,Paramètres!$A$1:$I$89,3,0)*0.475*44/12</f>
        <v>0.16457448343426412</v>
      </c>
      <c r="DH179" s="21">
        <f>EXP(-LN(2)/2)*DH178+(1-EXP(-LN(2)/2))/(LN(2)/2)*DB179*DE179*VLOOKUP('Données projet'!$B$13,Paramètres!$A$1:$I$89,3,0)*0.475*44/12</f>
        <v>4.7952614783577662E-22</v>
      </c>
      <c r="DI179" s="22">
        <f t="shared" si="175"/>
        <v>0.80160965591127886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2.2737367544323206E-13</v>
      </c>
      <c r="DP179" s="17">
        <f>DO179*VLOOKUP('Données projet'!$B$14,Paramètres!$A$1:$I$89,3,0)*VLOOKUP('Données projet'!$B$14,Paramètres!$A$1:$I$89,5,0)</f>
        <v>1.0936673788819462E-13</v>
      </c>
      <c r="DQ179" s="13">
        <f t="shared" si="176"/>
        <v>1.6259645746645945E-12</v>
      </c>
      <c r="DR179" s="20">
        <f t="shared" si="177"/>
        <v>3.0223687026961078E-12</v>
      </c>
      <c r="DS179" s="59">
        <f t="shared" si="125"/>
        <v>293.33333333333633</v>
      </c>
      <c r="DT179" s="59">
        <f ca="1">AVERAGE(OFFSET($DS$3,0,0,'Données projet'!$E$14+1,1))-AVERAGE(OFFSET($H$3,0,0,'Données projet'!$E$14+1,1))</f>
        <v>247.11965163963526</v>
      </c>
      <c r="DU179" s="59">
        <f t="shared" si="152"/>
        <v>61.686311966192704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0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-1.0286385077051818E-13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265.50419397354284</v>
      </c>
      <c r="T180" s="59">
        <f t="shared" si="142"/>
        <v>156.67965022779907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0.1813412831237286</v>
      </c>
      <c r="AA180" s="21">
        <f>EXP(-LN(2)/25)*AA179+(1-EXP(-LN(2)/25))/(LN(2)/25)*Calculateur!V180*Calculateur!X180*VLOOKUP('Données projet'!$B$9,Paramètres!$A$1:$I$89,3,0)*0.475*44/12</f>
        <v>7.1237537400141882E-2</v>
      </c>
      <c r="AB180" s="21">
        <f>EXP(-LN(2)/2)*AB179+(1-EXP(-LN(2)/2))/(LN(2)/2)*V180*Y180*VLOOKUP('Données projet'!$B$9,Paramètres!$A$1:$I$89,3,0)*0.475*44/12</f>
        <v>4.5689755573966939E-22</v>
      </c>
      <c r="AC180" s="22">
        <f t="shared" si="163"/>
        <v>0.25257882052387048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-1.1527845344971866E-13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296.43642006376018</v>
      </c>
      <c r="AO180" s="59">
        <f t="shared" si="144"/>
        <v>179.56041631665812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0.20322730005245443</v>
      </c>
      <c r="AV180" s="21">
        <f>EXP(-LN(2)/25)*AV179+(1-EXP(-LN(2)/25))/(LN(2)/25)*Calculateur!AQ180*Calculateur!AS180*VLOOKUP('Données projet'!$B$10,Paramètres!$A$1:$I$89,3,0)*0.475*44/12</f>
        <v>7.9835171224296814E-2</v>
      </c>
      <c r="AW180" s="21">
        <f>EXP(-LN(2)/2)*AW179+(1-EXP(-LN(2)/2))/(LN(2)/2)*AQ180*AT180*VLOOKUP('Données projet'!$B$10,Paramètres!$A$1:$I$89,3,0)*0.475*44/12</f>
        <v>5.1204036419100896E-22</v>
      </c>
      <c r="AX180" s="21">
        <f t="shared" si="166"/>
        <v>0.28306247127675122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5.6843418860808015E-14</v>
      </c>
      <c r="BE180" s="13">
        <f>BD180*VLOOKUP('Données projet'!$B$11,Paramètres!$A$1:$I$89,3,0)*VLOOKUP('Données projet'!$B$11,Paramètres!$A$1:$I$89,5,0)</f>
        <v>3.813056537183002E-14</v>
      </c>
      <c r="BF180" s="13">
        <f t="shared" si="167"/>
        <v>6.4086286045526829E-13</v>
      </c>
      <c r="BG180" s="20">
        <f t="shared" si="168"/>
        <v>1.1825802166488628E-12</v>
      </c>
      <c r="BH180" s="59">
        <f t="shared" si="116"/>
        <v>293.33333333333451</v>
      </c>
      <c r="BI180" s="59">
        <f ca="1">AVERAGE(OFFSET($BH$3,0,0,'Données projet'!$E$11+1,1))-AVERAGE(OFFSET($H$3,0,0,'Données projet'!$E$11+1,1))</f>
        <v>181.32837315090507</v>
      </c>
      <c r="BJ180" s="59">
        <f t="shared" si="146"/>
        <v>175.03267817980338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0.29797985225512025</v>
      </c>
      <c r="BQ180" s="21">
        <f>EXP(-LN(2)/25)*BQ179+(1-EXP(-LN(2)/25))/(LN(2)/25)*Calculateur!BL180*Calculateur!BN180*VLOOKUP('Données projet'!$B$11,Paramètres!$A$1:$I$89,3,0)*0.475*44/12</f>
        <v>0.1155062911242766</v>
      </c>
      <c r="BR180" s="21">
        <f>EXP(-LN(2)/2)*BR179+(1-EXP(-LN(2)/2))/(LN(2)/2)*BL180*BO180*VLOOKUP('Données projet'!$B$11,Paramètres!$A$1:$I$89,3,0)*0.475*44/12</f>
        <v>7.9427532799878434E-23</v>
      </c>
      <c r="BS180" s="22">
        <f t="shared" si="169"/>
        <v>0.41348614337939682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574.49999999999989</v>
      </c>
      <c r="BZ180" s="13">
        <f>BY180*VLOOKUP('Données projet'!$B$12,Paramètres!$A$1:$I$89,3,0)*VLOOKUP('Données projet'!$B$12,Paramètres!$A$1:$I$89,5,0)</f>
        <v>268.86599999999999</v>
      </c>
      <c r="CA180" s="13">
        <f t="shared" si="170"/>
        <v>64.608546947682441</v>
      </c>
      <c r="CB180" s="20">
        <f t="shared" si="171"/>
        <v>580.80150260054677</v>
      </c>
      <c r="CC180" s="59">
        <f t="shared" si="119"/>
        <v>874.13483593388014</v>
      </c>
      <c r="CD180" s="59">
        <f ca="1">AVERAGE(OFFSET($CC$3,0,0,'Données projet'!$E$12+1,1))-AVERAGE(OFFSET($H$3,0,0,'Données projet'!$E$12+1,1))</f>
        <v>226.0452828290525</v>
      </c>
      <c r="CE180" s="59">
        <f t="shared" si="148"/>
        <v>179.89696397462069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0.49382890074641123</v>
      </c>
      <c r="CL180" s="21">
        <f>EXP(-LN(2)/25)*CL179+(1-EXP(-LN(2)/25))/(LN(2)/25)*Calculateur!CG180*Calculateur!CI180*VLOOKUP('Données projet'!$B$12,Paramètres!$A$1:$I$89,3,0)*0.475*44/12</f>
        <v>0.18935200691669674</v>
      </c>
      <c r="CM180" s="21">
        <f>EXP(-LN(2)/2)*CM179+(1-EXP(-LN(2)/2))/(LN(2)/2)*CG180*CJ180*VLOOKUP('Données projet'!$B$12,Paramètres!$A$1:$I$89,3,0)*0.475*44/12</f>
        <v>8.2677521722739973E-22</v>
      </c>
      <c r="CN180" s="22">
        <f t="shared" si="172"/>
        <v>0.68318090766310791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482.74318690313885</v>
      </c>
      <c r="CZ180" s="59">
        <f t="shared" si="150"/>
        <v>205.57161411620217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0.6245433012978292</v>
      </c>
      <c r="DG180" s="21">
        <f>EXP(-LN(2)/25)*DG179+(1-EXP(-LN(2)/25))/(LN(2)/25)*Calculateur!DB180*Calculateur!DD180*VLOOKUP('Données projet'!$B$13,Paramètres!$A$1:$I$89,3,0)*0.475*44/12</f>
        <v>0.16007418553015823</v>
      </c>
      <c r="DH180" s="21">
        <f>EXP(-LN(2)/2)*DH179+(1-EXP(-LN(2)/2))/(LN(2)/2)*DB180*DE180*VLOOKUP('Données projet'!$B$13,Paramètres!$A$1:$I$89,3,0)*0.475*44/12</f>
        <v>3.3907619089094054E-22</v>
      </c>
      <c r="DI180" s="22">
        <f t="shared" si="175"/>
        <v>0.78461748682798738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2.2737367544323206E-13</v>
      </c>
      <c r="DP180" s="17">
        <f>DO180*VLOOKUP('Données projet'!$B$14,Paramètres!$A$1:$I$89,3,0)*VLOOKUP('Données projet'!$B$14,Paramètres!$A$1:$I$89,5,0)</f>
        <v>1.0936673788819462E-13</v>
      </c>
      <c r="DQ180" s="13">
        <f t="shared" si="176"/>
        <v>1.6259645746645945E-12</v>
      </c>
      <c r="DR180" s="20">
        <f t="shared" si="177"/>
        <v>3.0223687026961078E-12</v>
      </c>
      <c r="DS180" s="59">
        <f t="shared" si="125"/>
        <v>293.33333333333633</v>
      </c>
      <c r="DT180" s="59">
        <f ca="1">AVERAGE(OFFSET($DS$3,0,0,'Données projet'!$E$14+1,1))-AVERAGE(OFFSET($H$3,0,0,'Données projet'!$E$14+1,1))</f>
        <v>247.11965163963526</v>
      </c>
      <c r="DU180" s="59">
        <f t="shared" si="152"/>
        <v>61.686311966192704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0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-1.0286385077051818E-13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265.50419397354284</v>
      </c>
      <c r="T181" s="59">
        <f t="shared" si="142"/>
        <v>156.67965022779907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0.17778529116893343</v>
      </c>
      <c r="AA181" s="21">
        <f>EXP(-LN(2)/25)*AA180+(1-EXP(-LN(2)/25))/(LN(2)/25)*Calculateur!V181*Calculateur!X181*VLOOKUP('Données projet'!$B$9,Paramètres!$A$1:$I$89,3,0)*0.475*44/12</f>
        <v>6.9289543193715719E-2</v>
      </c>
      <c r="AB181" s="21">
        <f>EXP(-LN(2)/2)*AB180+(1-EXP(-LN(2)/2))/(LN(2)/2)*V181*Y181*VLOOKUP('Données projet'!$B$9,Paramètres!$A$1:$I$89,3,0)*0.475*44/12</f>
        <v>3.230753599710788E-22</v>
      </c>
      <c r="AC181" s="22">
        <f t="shared" si="163"/>
        <v>0.24707483436264915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-1.1527845344971866E-13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296.43642006376018</v>
      </c>
      <c r="AO181" s="59">
        <f t="shared" si="144"/>
        <v>179.56041631665812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0.19924213665483914</v>
      </c>
      <c r="AV181" s="21">
        <f>EXP(-LN(2)/25)*AV180+(1-EXP(-LN(2)/25))/(LN(2)/25)*Calculateur!AQ181*Calculateur!AS181*VLOOKUP('Données projet'!$B$10,Paramètres!$A$1:$I$89,3,0)*0.475*44/12</f>
        <v>7.7652074268819232E-2</v>
      </c>
      <c r="AW181" s="21">
        <f>EXP(-LN(2)/2)*AW180+(1-EXP(-LN(2)/2))/(LN(2)/2)*AQ181*AT181*VLOOKUP('Données projet'!$B$10,Paramètres!$A$1:$I$89,3,0)*0.475*44/12</f>
        <v>3.6206721376069189E-22</v>
      </c>
      <c r="AX181" s="21">
        <f t="shared" si="166"/>
        <v>0.2768942109236584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5.6843418860808015E-14</v>
      </c>
      <c r="BE181" s="13">
        <f>BD181*VLOOKUP('Données projet'!$B$11,Paramètres!$A$1:$I$89,3,0)*VLOOKUP('Données projet'!$B$11,Paramètres!$A$1:$I$89,5,0)</f>
        <v>3.813056537183002E-14</v>
      </c>
      <c r="BF181" s="13">
        <f t="shared" si="167"/>
        <v>6.4086286045526829E-13</v>
      </c>
      <c r="BG181" s="20">
        <f t="shared" si="168"/>
        <v>1.1825802166488628E-12</v>
      </c>
      <c r="BH181" s="59">
        <f t="shared" si="116"/>
        <v>293.33333333333451</v>
      </c>
      <c r="BI181" s="59">
        <f ca="1">AVERAGE(OFFSET($BH$3,0,0,'Données projet'!$E$11+1,1))-AVERAGE(OFFSET($H$3,0,0,'Données projet'!$E$11+1,1))</f>
        <v>181.32837315090507</v>
      </c>
      <c r="BJ181" s="59">
        <f t="shared" si="146"/>
        <v>175.03267817980338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0.29213664910216092</v>
      </c>
      <c r="BQ181" s="21">
        <f>EXP(-LN(2)/25)*BQ180+(1-EXP(-LN(2)/25))/(LN(2)/25)*Calculateur!BL181*Calculateur!BN181*VLOOKUP('Données projet'!$B$11,Paramètres!$A$1:$I$89,3,0)*0.475*44/12</f>
        <v>0.11234776551927141</v>
      </c>
      <c r="BR181" s="21">
        <f>EXP(-LN(2)/2)*BR180+(1-EXP(-LN(2)/2))/(LN(2)/2)*BL181*BO181*VLOOKUP('Données projet'!$B$11,Paramètres!$A$1:$I$89,3,0)*0.475*44/12</f>
        <v>5.6163747055710965E-23</v>
      </c>
      <c r="BS181" s="22">
        <f t="shared" si="169"/>
        <v>0.40448441462143231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574.49999999999989</v>
      </c>
      <c r="BZ181" s="13">
        <f>BY181*VLOOKUP('Données projet'!$B$12,Paramètres!$A$1:$I$89,3,0)*VLOOKUP('Données projet'!$B$12,Paramètres!$A$1:$I$89,5,0)</f>
        <v>268.86599999999999</v>
      </c>
      <c r="CA181" s="13">
        <f t="shared" si="170"/>
        <v>64.608546947682441</v>
      </c>
      <c r="CB181" s="20">
        <f t="shared" si="171"/>
        <v>580.80150260054677</v>
      </c>
      <c r="CC181" s="59">
        <f t="shared" si="119"/>
        <v>874.13483593388014</v>
      </c>
      <c r="CD181" s="59">
        <f ca="1">AVERAGE(OFFSET($CC$3,0,0,'Données projet'!$E$12+1,1))-AVERAGE(OFFSET($H$3,0,0,'Données projet'!$E$12+1,1))</f>
        <v>226.0452828290525</v>
      </c>
      <c r="CE181" s="59">
        <f t="shared" si="148"/>
        <v>179.89696397462069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0.48414521720866194</v>
      </c>
      <c r="CL181" s="21">
        <f>EXP(-LN(2)/25)*CL180+(1-EXP(-LN(2)/25))/(LN(2)/25)*Calculateur!CG181*Calculateur!CI181*VLOOKUP('Données projet'!$B$12,Paramètres!$A$1:$I$89,3,0)*0.475*44/12</f>
        <v>0.18417416632997038</v>
      </c>
      <c r="CM181" s="21">
        <f>EXP(-LN(2)/2)*CM180+(1-EXP(-LN(2)/2))/(LN(2)/2)*CG181*CJ181*VLOOKUP('Données projet'!$B$12,Paramètres!$A$1:$I$89,3,0)*0.475*44/12</f>
        <v>5.8461836261847531E-22</v>
      </c>
      <c r="CN181" s="22">
        <f t="shared" si="172"/>
        <v>0.66831938353863229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482.74318690313885</v>
      </c>
      <c r="CZ181" s="59">
        <f t="shared" si="150"/>
        <v>205.57161411620217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0.61229638809317843</v>
      </c>
      <c r="DG181" s="21">
        <f>EXP(-LN(2)/25)*DG180+(1-EXP(-LN(2)/25))/(LN(2)/25)*Calculateur!DB181*Calculateur!DD181*VLOOKUP('Données projet'!$B$13,Paramètres!$A$1:$I$89,3,0)*0.475*44/12</f>
        <v>0.15569694850890048</v>
      </c>
      <c r="DH181" s="21">
        <f>EXP(-LN(2)/2)*DH180+(1-EXP(-LN(2)/2))/(LN(2)/2)*DB181*DE181*VLOOKUP('Données projet'!$B$13,Paramètres!$A$1:$I$89,3,0)*0.475*44/12</f>
        <v>2.3976307391788831E-22</v>
      </c>
      <c r="DI181" s="22">
        <f t="shared" si="175"/>
        <v>0.76799333660207891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2.2737367544323206E-13</v>
      </c>
      <c r="DP181" s="17">
        <f>DO181*VLOOKUP('Données projet'!$B$14,Paramètres!$A$1:$I$89,3,0)*VLOOKUP('Données projet'!$B$14,Paramètres!$A$1:$I$89,5,0)</f>
        <v>1.0936673788819462E-13</v>
      </c>
      <c r="DQ181" s="13">
        <f t="shared" si="176"/>
        <v>1.6259645746645945E-12</v>
      </c>
      <c r="DR181" s="20">
        <f t="shared" si="177"/>
        <v>3.0223687026961078E-12</v>
      </c>
      <c r="DS181" s="59">
        <f t="shared" si="125"/>
        <v>293.33333333333633</v>
      </c>
      <c r="DT181" s="59">
        <f ca="1">AVERAGE(OFFSET($DS$3,0,0,'Données projet'!$E$14+1,1))-AVERAGE(OFFSET($H$3,0,0,'Données projet'!$E$14+1,1))</f>
        <v>247.11965163963526</v>
      </c>
      <c r="DU181" s="59">
        <f t="shared" si="152"/>
        <v>61.686311966192704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0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-1.0286385077051818E-13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265.50419397354284</v>
      </c>
      <c r="T182" s="59">
        <f t="shared" si="142"/>
        <v>156.67965022779907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0.17429903004743086</v>
      </c>
      <c r="AA182" s="21">
        <f>EXP(-LN(2)/25)*AA181+(1-EXP(-LN(2)/25))/(LN(2)/25)*Calculateur!V182*Calculateur!X182*VLOOKUP('Données projet'!$B$9,Paramètres!$A$1:$I$89,3,0)*0.475*44/12</f>
        <v>6.7394816991304854E-2</v>
      </c>
      <c r="AB182" s="21">
        <f>EXP(-LN(2)/2)*AB181+(1-EXP(-LN(2)/2))/(LN(2)/2)*V182*Y182*VLOOKUP('Données projet'!$B$9,Paramètres!$A$1:$I$89,3,0)*0.475*44/12</f>
        <v>2.2844877786983469E-22</v>
      </c>
      <c r="AC182" s="22">
        <f t="shared" si="163"/>
        <v>0.2416938470387357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-1.1527845344971866E-13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296.43642006376018</v>
      </c>
      <c r="AO182" s="59">
        <f t="shared" si="144"/>
        <v>179.56041631665812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0.19533511988074143</v>
      </c>
      <c r="AV182" s="21">
        <f>EXP(-LN(2)/25)*AV181+(1-EXP(-LN(2)/25))/(LN(2)/25)*Calculateur!AQ182*Calculateur!AS182*VLOOKUP('Données projet'!$B$10,Paramètres!$A$1:$I$89,3,0)*0.475*44/12</f>
        <v>7.5528674214393257E-2</v>
      </c>
      <c r="AW182" s="21">
        <f>EXP(-LN(2)/2)*AW181+(1-EXP(-LN(2)/2))/(LN(2)/2)*AQ182*AT182*VLOOKUP('Données projet'!$B$10,Paramètres!$A$1:$I$89,3,0)*0.475*44/12</f>
        <v>2.5602018209550448E-22</v>
      </c>
      <c r="AX182" s="21">
        <f t="shared" si="166"/>
        <v>0.27086379409513467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5.6843418860808015E-14</v>
      </c>
      <c r="BE182" s="13">
        <f>BD182*VLOOKUP('Données projet'!$B$11,Paramètres!$A$1:$I$89,3,0)*VLOOKUP('Données projet'!$B$11,Paramètres!$A$1:$I$89,5,0)</f>
        <v>3.813056537183002E-14</v>
      </c>
      <c r="BF182" s="13">
        <f t="shared" si="167"/>
        <v>6.4086286045526829E-13</v>
      </c>
      <c r="BG182" s="20">
        <f t="shared" si="168"/>
        <v>1.1825802166488628E-12</v>
      </c>
      <c r="BH182" s="59">
        <f t="shared" si="116"/>
        <v>293.33333333333451</v>
      </c>
      <c r="BI182" s="59">
        <f ca="1">AVERAGE(OFFSET($BH$3,0,0,'Données projet'!$E$11+1,1))-AVERAGE(OFFSET($H$3,0,0,'Données projet'!$E$11+1,1))</f>
        <v>181.32837315090507</v>
      </c>
      <c r="BJ182" s="59">
        <f t="shared" si="146"/>
        <v>175.03267817980338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0.28640802759902911</v>
      </c>
      <c r="BQ182" s="21">
        <f>EXP(-LN(2)/25)*BQ181+(1-EXP(-LN(2)/25))/(LN(2)/25)*Calculateur!BL182*Calculateur!BN182*VLOOKUP('Données projet'!$B$11,Paramètres!$A$1:$I$89,3,0)*0.475*44/12</f>
        <v>0.10927560996303472</v>
      </c>
      <c r="BR182" s="21">
        <f>EXP(-LN(2)/2)*BR181+(1-EXP(-LN(2)/2))/(LN(2)/2)*BL182*BO182*VLOOKUP('Données projet'!$B$11,Paramètres!$A$1:$I$89,3,0)*0.475*44/12</f>
        <v>3.9713766399939217E-23</v>
      </c>
      <c r="BS182" s="22">
        <f t="shared" si="169"/>
        <v>0.39568363756206382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574.49999999999989</v>
      </c>
      <c r="BZ182" s="13">
        <f>BY182*VLOOKUP('Données projet'!$B$12,Paramètres!$A$1:$I$89,3,0)*VLOOKUP('Données projet'!$B$12,Paramètres!$A$1:$I$89,5,0)</f>
        <v>268.86599999999999</v>
      </c>
      <c r="CA182" s="13">
        <f t="shared" si="170"/>
        <v>64.608546947682441</v>
      </c>
      <c r="CB182" s="20">
        <f t="shared" si="171"/>
        <v>580.80150260054677</v>
      </c>
      <c r="CC182" s="59">
        <f t="shared" si="119"/>
        <v>874.13483593388014</v>
      </c>
      <c r="CD182" s="59">
        <f ca="1">AVERAGE(OFFSET($CC$3,0,0,'Données projet'!$E$12+1,1))-AVERAGE(OFFSET($H$3,0,0,'Données projet'!$E$12+1,1))</f>
        <v>226.0452828290525</v>
      </c>
      <c r="CE182" s="59">
        <f t="shared" si="148"/>
        <v>179.89696397462069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0.47465142479862416</v>
      </c>
      <c r="CL182" s="21">
        <f>EXP(-LN(2)/25)*CL181+(1-EXP(-LN(2)/25))/(LN(2)/25)*Calculateur!CG182*Calculateur!CI182*VLOOKUP('Données projet'!$B$12,Paramètres!$A$1:$I$89,3,0)*0.475*44/12</f>
        <v>0.17913791406637888</v>
      </c>
      <c r="CM182" s="21">
        <f>EXP(-LN(2)/2)*CM181+(1-EXP(-LN(2)/2))/(LN(2)/2)*CG182*CJ182*VLOOKUP('Données projet'!$B$12,Paramètres!$A$1:$I$89,3,0)*0.475*44/12</f>
        <v>4.1338760861369996E-22</v>
      </c>
      <c r="CN182" s="22">
        <f t="shared" si="172"/>
        <v>0.65378933886500301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482.74318690313885</v>
      </c>
      <c r="CZ182" s="59">
        <f t="shared" si="150"/>
        <v>205.57161411620217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0.60028962938659147</v>
      </c>
      <c r="DG182" s="21">
        <f>EXP(-LN(2)/25)*DG181+(1-EXP(-LN(2)/25))/(LN(2)/25)*Calculateur!DB182*Calculateur!DD182*VLOOKUP('Données projet'!$B$13,Paramètres!$A$1:$I$89,3,0)*0.475*44/12</f>
        <v>0.15143940726417793</v>
      </c>
      <c r="DH182" s="21">
        <f>EXP(-LN(2)/2)*DH181+(1-EXP(-LN(2)/2))/(LN(2)/2)*DB182*DE182*VLOOKUP('Données projet'!$B$13,Paramètres!$A$1:$I$89,3,0)*0.475*44/12</f>
        <v>1.6953809544547027E-22</v>
      </c>
      <c r="DI182" s="22">
        <f t="shared" si="175"/>
        <v>0.7517290366507694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2.2737367544323206E-13</v>
      </c>
      <c r="DP182" s="17">
        <f>DO182*VLOOKUP('Données projet'!$B$14,Paramètres!$A$1:$I$89,3,0)*VLOOKUP('Données projet'!$B$14,Paramètres!$A$1:$I$89,5,0)</f>
        <v>1.0936673788819462E-13</v>
      </c>
      <c r="DQ182" s="13">
        <f t="shared" si="176"/>
        <v>1.6259645746645945E-12</v>
      </c>
      <c r="DR182" s="20">
        <f t="shared" si="177"/>
        <v>3.0223687026961078E-12</v>
      </c>
      <c r="DS182" s="59">
        <f t="shared" si="125"/>
        <v>293.33333333333633</v>
      </c>
      <c r="DT182" s="59">
        <f ca="1">AVERAGE(OFFSET($DS$3,0,0,'Données projet'!$E$14+1,1))-AVERAGE(OFFSET($H$3,0,0,'Données projet'!$E$14+1,1))</f>
        <v>247.11965163963526</v>
      </c>
      <c r="DU182" s="59">
        <f t="shared" si="152"/>
        <v>61.686311966192704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0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-1.0286385077051818E-13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265.50419397354284</v>
      </c>
      <c r="T183" s="59">
        <f t="shared" si="142"/>
        <v>156.67965022779907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0.17088113238011163</v>
      </c>
      <c r="AA183" s="21">
        <f>EXP(-LN(2)/25)*AA182+(1-EXP(-LN(2)/25))/(LN(2)/25)*Calculateur!V183*Calculateur!X183*VLOOKUP('Données projet'!$B$9,Paramètres!$A$1:$I$89,3,0)*0.475*44/12</f>
        <v>6.5551902176538224E-2</v>
      </c>
      <c r="AB183" s="21">
        <f>EXP(-LN(2)/2)*AB182+(1-EXP(-LN(2)/2))/(LN(2)/2)*V183*Y183*VLOOKUP('Données projet'!$B$9,Paramètres!$A$1:$I$89,3,0)*0.475*44/12</f>
        <v>1.615376799855394E-22</v>
      </c>
      <c r="AC183" s="22">
        <f t="shared" si="163"/>
        <v>0.23643303455664985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-1.1527845344971866E-13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296.43642006376018</v>
      </c>
      <c r="AO183" s="59">
        <f t="shared" si="144"/>
        <v>179.56041631665812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0.19150471732253885</v>
      </c>
      <c r="AV183" s="21">
        <f>EXP(-LN(2)/25)*AV182+(1-EXP(-LN(2)/25))/(LN(2)/25)*Calculateur!AQ183*Calculateur!AS183*VLOOKUP('Données projet'!$B$10,Paramètres!$A$1:$I$89,3,0)*0.475*44/12</f>
        <v>7.3463338646120313E-2</v>
      </c>
      <c r="AW183" s="21">
        <f>EXP(-LN(2)/2)*AW182+(1-EXP(-LN(2)/2))/(LN(2)/2)*AQ183*AT183*VLOOKUP('Données projet'!$B$10,Paramètres!$A$1:$I$89,3,0)*0.475*44/12</f>
        <v>1.8103360688034594E-22</v>
      </c>
      <c r="AX183" s="21">
        <f t="shared" si="166"/>
        <v>0.26496805596865913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5.6843418860808015E-14</v>
      </c>
      <c r="BE183" s="13">
        <f>BD183*VLOOKUP('Données projet'!$B$11,Paramètres!$A$1:$I$89,3,0)*VLOOKUP('Données projet'!$B$11,Paramètres!$A$1:$I$89,5,0)</f>
        <v>3.813056537183002E-14</v>
      </c>
      <c r="BF183" s="13">
        <f t="shared" si="167"/>
        <v>6.4086286045526829E-13</v>
      </c>
      <c r="BG183" s="20">
        <f t="shared" si="168"/>
        <v>1.1825802166488628E-12</v>
      </c>
      <c r="BH183" s="59">
        <f t="shared" si="116"/>
        <v>293.33333333333451</v>
      </c>
      <c r="BI183" s="59">
        <f ca="1">AVERAGE(OFFSET($BH$3,0,0,'Données projet'!$E$11+1,1))-AVERAGE(OFFSET($H$3,0,0,'Données projet'!$E$11+1,1))</f>
        <v>181.32837315090507</v>
      </c>
      <c r="BJ183" s="59">
        <f t="shared" si="146"/>
        <v>175.03267817980338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0.28079174086945963</v>
      </c>
      <c r="BQ183" s="21">
        <f>EXP(-LN(2)/25)*BQ182+(1-EXP(-LN(2)/25))/(LN(2)/25)*Calculateur!BL183*Calculateur!BN183*VLOOKUP('Données projet'!$B$11,Paramètres!$A$1:$I$89,3,0)*0.475*44/12</f>
        <v>0.10628746266204096</v>
      </c>
      <c r="BR183" s="21">
        <f>EXP(-LN(2)/2)*BR182+(1-EXP(-LN(2)/2))/(LN(2)/2)*BL183*BO183*VLOOKUP('Données projet'!$B$11,Paramètres!$A$1:$I$89,3,0)*0.475*44/12</f>
        <v>2.8081873527855483E-23</v>
      </c>
      <c r="BS183" s="22">
        <f t="shared" si="169"/>
        <v>0.3870792035315006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574.49999999999989</v>
      </c>
      <c r="BZ183" s="13">
        <f>BY183*VLOOKUP('Données projet'!$B$12,Paramètres!$A$1:$I$89,3,0)*VLOOKUP('Données projet'!$B$12,Paramètres!$A$1:$I$89,5,0)</f>
        <v>268.86599999999999</v>
      </c>
      <c r="CA183" s="13">
        <f t="shared" si="170"/>
        <v>64.608546947682441</v>
      </c>
      <c r="CB183" s="20">
        <f t="shared" si="171"/>
        <v>580.80150260054677</v>
      </c>
      <c r="CC183" s="59">
        <f t="shared" si="119"/>
        <v>874.13483593388014</v>
      </c>
      <c r="CD183" s="59">
        <f ca="1">AVERAGE(OFFSET($CC$3,0,0,'Données projet'!$E$12+1,1))-AVERAGE(OFFSET($H$3,0,0,'Données projet'!$E$12+1,1))</f>
        <v>226.0452828290525</v>
      </c>
      <c r="CE183" s="59">
        <f t="shared" si="148"/>
        <v>179.89696397462069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0.46534379986710567</v>
      </c>
      <c r="CL183" s="21">
        <f>EXP(-LN(2)/25)*CL182+(1-EXP(-LN(2)/25))/(LN(2)/25)*Calculateur!CG183*Calculateur!CI183*VLOOKUP('Données projet'!$B$12,Paramètres!$A$1:$I$89,3,0)*0.475*44/12</f>
        <v>0.17423937838578027</v>
      </c>
      <c r="CM183" s="21">
        <f>EXP(-LN(2)/2)*CM182+(1-EXP(-LN(2)/2))/(LN(2)/2)*CG183*CJ183*VLOOKUP('Données projet'!$B$12,Paramètres!$A$1:$I$89,3,0)*0.475*44/12</f>
        <v>2.923091813092377E-22</v>
      </c>
      <c r="CN183" s="22">
        <f t="shared" si="172"/>
        <v>0.63958317825288591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482.74318690313885</v>
      </c>
      <c r="CZ183" s="59">
        <f t="shared" si="150"/>
        <v>205.57161411620217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0.58851831589484094</v>
      </c>
      <c r="DG183" s="21">
        <f>EXP(-LN(2)/25)*DG182+(1-EXP(-LN(2)/25))/(LN(2)/25)*Calculateur!DB183*Calculateur!DD183*VLOOKUP('Données projet'!$B$13,Paramètres!$A$1:$I$89,3,0)*0.475*44/12</f>
        <v>0.14729828870868666</v>
      </c>
      <c r="DH183" s="21">
        <f>EXP(-LN(2)/2)*DH182+(1-EXP(-LN(2)/2))/(LN(2)/2)*DB183*DE183*VLOOKUP('Données projet'!$B$13,Paramètres!$A$1:$I$89,3,0)*0.475*44/12</f>
        <v>1.1988153695894415E-22</v>
      </c>
      <c r="DI183" s="22">
        <f t="shared" si="175"/>
        <v>0.7358166046035276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2.2737367544323206E-13</v>
      </c>
      <c r="DP183" s="17">
        <f>DO183*VLOOKUP('Données projet'!$B$14,Paramètres!$A$1:$I$89,3,0)*VLOOKUP('Données projet'!$B$14,Paramètres!$A$1:$I$89,5,0)</f>
        <v>1.0936673788819462E-13</v>
      </c>
      <c r="DQ183" s="13">
        <f t="shared" si="176"/>
        <v>1.6259645746645945E-12</v>
      </c>
      <c r="DR183" s="20">
        <f t="shared" si="177"/>
        <v>3.0223687026961078E-12</v>
      </c>
      <c r="DS183" s="59">
        <f t="shared" si="125"/>
        <v>293.33333333333633</v>
      </c>
      <c r="DT183" s="59">
        <f ca="1">AVERAGE(OFFSET($DS$3,0,0,'Données projet'!$E$14+1,1))-AVERAGE(OFFSET($H$3,0,0,'Données projet'!$E$14+1,1))</f>
        <v>247.11965163963526</v>
      </c>
      <c r="DU183" s="59">
        <f t="shared" si="152"/>
        <v>61.686311966192704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0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-1.0286385077051818E-13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265.50419397354284</v>
      </c>
      <c r="T184" s="59">
        <f t="shared" si="142"/>
        <v>156.67965022779907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0.1675302576013368</v>
      </c>
      <c r="AA184" s="21">
        <f>EXP(-LN(2)/25)*AA183+(1-EXP(-LN(2)/25))/(LN(2)/25)*Calculateur!V184*Calculateur!X184*VLOOKUP('Données projet'!$B$9,Paramètres!$A$1:$I$89,3,0)*0.475*44/12</f>
        <v>6.3759381964296077E-2</v>
      </c>
      <c r="AB184" s="21">
        <f>EXP(-LN(2)/2)*AB183+(1-EXP(-LN(2)/2))/(LN(2)/2)*V184*Y184*VLOOKUP('Données projet'!$B$9,Paramètres!$A$1:$I$89,3,0)*0.475*44/12</f>
        <v>1.1422438893491735E-22</v>
      </c>
      <c r="AC184" s="22">
        <f t="shared" si="163"/>
        <v>0.23128963956563287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-1.1527845344971866E-13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296.43642006376018</v>
      </c>
      <c r="AO184" s="59">
        <f t="shared" si="144"/>
        <v>179.56041631665812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0.18774942662218777</v>
      </c>
      <c r="AV184" s="21">
        <f>EXP(-LN(2)/25)*AV183+(1-EXP(-LN(2)/25))/(LN(2)/25)*Calculateur!AQ184*Calculateur!AS184*VLOOKUP('Données projet'!$B$10,Paramètres!$A$1:$I$89,3,0)*0.475*44/12</f>
        <v>7.1454479787573077E-2</v>
      </c>
      <c r="AW184" s="21">
        <f>EXP(-LN(2)/2)*AW183+(1-EXP(-LN(2)/2))/(LN(2)/2)*AQ184*AT184*VLOOKUP('Données projet'!$B$10,Paramètres!$A$1:$I$89,3,0)*0.475*44/12</f>
        <v>1.2801009104775224E-22</v>
      </c>
      <c r="AX184" s="21">
        <f t="shared" si="166"/>
        <v>0.25920390640976088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5.6843418860808015E-14</v>
      </c>
      <c r="BE184" s="13">
        <f>BD184*VLOOKUP('Données projet'!$B$11,Paramètres!$A$1:$I$89,3,0)*VLOOKUP('Données projet'!$B$11,Paramètres!$A$1:$I$89,5,0)</f>
        <v>3.813056537183002E-14</v>
      </c>
      <c r="BF184" s="13">
        <f t="shared" si="167"/>
        <v>6.4086286045526829E-13</v>
      </c>
      <c r="BG184" s="20">
        <f t="shared" si="168"/>
        <v>1.1825802166488628E-12</v>
      </c>
      <c r="BH184" s="59">
        <f t="shared" si="116"/>
        <v>293.33333333333451</v>
      </c>
      <c r="BI184" s="59">
        <f ca="1">AVERAGE(OFFSET($BH$3,0,0,'Données projet'!$E$11+1,1))-AVERAGE(OFFSET($H$3,0,0,'Données projet'!$E$11+1,1))</f>
        <v>181.32837315090507</v>
      </c>
      <c r="BJ184" s="59">
        <f t="shared" si="146"/>
        <v>175.03267817980338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0.27528558609706033</v>
      </c>
      <c r="BQ184" s="21">
        <f>EXP(-LN(2)/25)*BQ183+(1-EXP(-LN(2)/25))/(LN(2)/25)*Calculateur!BL184*Calculateur!BN184*VLOOKUP('Données projet'!$B$11,Paramètres!$A$1:$I$89,3,0)*0.475*44/12</f>
        <v>0.10338102640613271</v>
      </c>
      <c r="BR184" s="21">
        <f>EXP(-LN(2)/2)*BR183+(1-EXP(-LN(2)/2))/(LN(2)/2)*BL184*BO184*VLOOKUP('Données projet'!$B$11,Paramètres!$A$1:$I$89,3,0)*0.475*44/12</f>
        <v>1.9856883199969608E-23</v>
      </c>
      <c r="BS184" s="22">
        <f t="shared" si="169"/>
        <v>0.37866661250319306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574.49999999999989</v>
      </c>
      <c r="BZ184" s="13">
        <f>BY184*VLOOKUP('Données projet'!$B$12,Paramètres!$A$1:$I$89,3,0)*VLOOKUP('Données projet'!$B$12,Paramètres!$A$1:$I$89,5,0)</f>
        <v>268.86599999999999</v>
      </c>
      <c r="CA184" s="13">
        <f t="shared" si="170"/>
        <v>64.608546947682441</v>
      </c>
      <c r="CB184" s="20">
        <f t="shared" si="171"/>
        <v>580.80150260054677</v>
      </c>
      <c r="CC184" s="59">
        <f t="shared" si="119"/>
        <v>874.13483593388014</v>
      </c>
      <c r="CD184" s="59">
        <f ca="1">AVERAGE(OFFSET($CC$3,0,0,'Données projet'!$E$12+1,1))-AVERAGE(OFFSET($H$3,0,0,'Données projet'!$E$12+1,1))</f>
        <v>226.0452828290525</v>
      </c>
      <c r="CE184" s="59">
        <f t="shared" si="148"/>
        <v>179.89696397462069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0.45621869178340357</v>
      </c>
      <c r="CL184" s="21">
        <f>EXP(-LN(2)/25)*CL183+(1-EXP(-LN(2)/25))/(LN(2)/25)*Calculateur!CG184*Calculateur!CI184*VLOOKUP('Données projet'!$B$12,Paramètres!$A$1:$I$89,3,0)*0.475*44/12</f>
        <v>0.16947479342097044</v>
      </c>
      <c r="CM184" s="21">
        <f>EXP(-LN(2)/2)*CM183+(1-EXP(-LN(2)/2))/(LN(2)/2)*CG184*CJ184*VLOOKUP('Données projet'!$B$12,Paramètres!$A$1:$I$89,3,0)*0.475*44/12</f>
        <v>2.0669380430685E-22</v>
      </c>
      <c r="CN184" s="22">
        <f t="shared" si="172"/>
        <v>0.62569348520437407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482.74318690313885</v>
      </c>
      <c r="CZ184" s="59">
        <f t="shared" si="150"/>
        <v>205.57161411620217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0.57697783068087138</v>
      </c>
      <c r="DG184" s="21">
        <f>EXP(-LN(2)/25)*DG183+(1-EXP(-LN(2)/25))/(LN(2)/25)*Calculateur!DB184*Calculateur!DD184*VLOOKUP('Données projet'!$B$13,Paramètres!$A$1:$I$89,3,0)*0.475*44/12</f>
        <v>0.14327040925786727</v>
      </c>
      <c r="DH184" s="21">
        <f>EXP(-LN(2)/2)*DH183+(1-EXP(-LN(2)/2))/(LN(2)/2)*DB184*DE184*VLOOKUP('Données projet'!$B$13,Paramètres!$A$1:$I$89,3,0)*0.475*44/12</f>
        <v>8.4769047722735134E-23</v>
      </c>
      <c r="DI184" s="22">
        <f t="shared" si="175"/>
        <v>0.72024823993873865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2.2737367544323206E-13</v>
      </c>
      <c r="DP184" s="17">
        <f>DO184*VLOOKUP('Données projet'!$B$14,Paramètres!$A$1:$I$89,3,0)*VLOOKUP('Données projet'!$B$14,Paramètres!$A$1:$I$89,5,0)</f>
        <v>1.0936673788819462E-13</v>
      </c>
      <c r="DQ184" s="13">
        <f t="shared" si="176"/>
        <v>1.6259645746645945E-12</v>
      </c>
      <c r="DR184" s="20">
        <f t="shared" si="177"/>
        <v>3.0223687026961078E-12</v>
      </c>
      <c r="DS184" s="59">
        <f t="shared" si="125"/>
        <v>293.33333333333633</v>
      </c>
      <c r="DT184" s="59">
        <f ca="1">AVERAGE(OFFSET($DS$3,0,0,'Données projet'!$E$14+1,1))-AVERAGE(OFFSET($H$3,0,0,'Données projet'!$E$14+1,1))</f>
        <v>247.11965163963526</v>
      </c>
      <c r="DU184" s="59">
        <f t="shared" si="152"/>
        <v>61.686311966192704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0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-1.0286385077051818E-13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265.50419397354284</v>
      </c>
      <c r="T185" s="59">
        <f t="shared" si="142"/>
        <v>156.67965022779907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0.16424509143314195</v>
      </c>
      <c r="AA185" s="21">
        <f>EXP(-LN(2)/25)*AA184+(1-EXP(-LN(2)/25))/(LN(2)/25)*Calculateur!V185*Calculateur!X185*VLOOKUP('Données projet'!$B$9,Paramètres!$A$1:$I$89,3,0)*0.475*44/12</f>
        <v>6.2015878311522228E-2</v>
      </c>
      <c r="AB185" s="21">
        <f>EXP(-LN(2)/2)*AB184+(1-EXP(-LN(2)/2))/(LN(2)/2)*V185*Y185*VLOOKUP('Données projet'!$B$9,Paramètres!$A$1:$I$89,3,0)*0.475*44/12</f>
        <v>8.0768839992769701E-23</v>
      </c>
      <c r="AC185" s="22">
        <f t="shared" si="163"/>
        <v>0.22626096974466417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-1.1527845344971866E-13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296.43642006376018</v>
      </c>
      <c r="AO185" s="59">
        <f t="shared" si="144"/>
        <v>179.56041631665812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0.1840677748819694</v>
      </c>
      <c r="AV185" s="21">
        <f>EXP(-LN(2)/25)*AV184+(1-EXP(-LN(2)/25))/(LN(2)/25)*Calculateur!AQ185*Calculateur!AS185*VLOOKUP('Données projet'!$B$10,Paramètres!$A$1:$I$89,3,0)*0.475*44/12</f>
        <v>6.9500553280154115E-2</v>
      </c>
      <c r="AW185" s="21">
        <f>EXP(-LN(2)/2)*AW184+(1-EXP(-LN(2)/2))/(LN(2)/2)*AQ185*AT185*VLOOKUP('Données projet'!$B$10,Paramètres!$A$1:$I$89,3,0)*0.475*44/12</f>
        <v>9.0516803440172971E-23</v>
      </c>
      <c r="AX185" s="21">
        <f t="shared" si="166"/>
        <v>0.25356832816212349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5.6843418860808015E-14</v>
      </c>
      <c r="BE185" s="13">
        <f>BD185*VLOOKUP('Données projet'!$B$11,Paramètres!$A$1:$I$89,3,0)*VLOOKUP('Données projet'!$B$11,Paramètres!$A$1:$I$89,5,0)</f>
        <v>3.813056537183002E-14</v>
      </c>
      <c r="BF185" s="13">
        <f t="shared" si="167"/>
        <v>6.4086286045526829E-13</v>
      </c>
      <c r="BG185" s="20">
        <f t="shared" si="168"/>
        <v>1.1825802166488628E-12</v>
      </c>
      <c r="BH185" s="59">
        <f t="shared" si="116"/>
        <v>293.33333333333451</v>
      </c>
      <c r="BI185" s="59">
        <f ca="1">AVERAGE(OFFSET($BH$3,0,0,'Données projet'!$E$11+1,1))-AVERAGE(OFFSET($H$3,0,0,'Données projet'!$E$11+1,1))</f>
        <v>181.32837315090507</v>
      </c>
      <c r="BJ185" s="59">
        <f t="shared" si="146"/>
        <v>175.03267817980338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0.26988740366132502</v>
      </c>
      <c r="BQ185" s="21">
        <f>EXP(-LN(2)/25)*BQ184+(1-EXP(-LN(2)/25))/(LN(2)/25)*Calculateur!BL185*Calculateur!BN185*VLOOKUP('Données projet'!$B$11,Paramètres!$A$1:$I$89,3,0)*0.475*44/12</f>
        <v>0.10055406680248512</v>
      </c>
      <c r="BR185" s="21">
        <f>EXP(-LN(2)/2)*BR184+(1-EXP(-LN(2)/2))/(LN(2)/2)*BL185*BO185*VLOOKUP('Données projet'!$B$11,Paramètres!$A$1:$I$89,3,0)*0.475*44/12</f>
        <v>1.4040936763927741E-23</v>
      </c>
      <c r="BS185" s="22">
        <f t="shared" si="169"/>
        <v>0.37044147046381015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574.49999999999989</v>
      </c>
      <c r="BZ185" s="13">
        <f>BY185*VLOOKUP('Données projet'!$B$12,Paramètres!$A$1:$I$89,3,0)*VLOOKUP('Données projet'!$B$12,Paramètres!$A$1:$I$89,5,0)</f>
        <v>268.86599999999999</v>
      </c>
      <c r="CA185" s="13">
        <f t="shared" si="170"/>
        <v>64.608546947682441</v>
      </c>
      <c r="CB185" s="20">
        <f t="shared" si="171"/>
        <v>580.80150260054677</v>
      </c>
      <c r="CC185" s="59">
        <f t="shared" si="119"/>
        <v>874.13483593388014</v>
      </c>
      <c r="CD185" s="59">
        <f ca="1">AVERAGE(OFFSET($CC$3,0,0,'Données projet'!$E$12+1,1))-AVERAGE(OFFSET($H$3,0,0,'Données projet'!$E$12+1,1))</f>
        <v>226.0452828290525</v>
      </c>
      <c r="CE185" s="59">
        <f t="shared" si="148"/>
        <v>179.89696397462069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0.44727252150345653</v>
      </c>
      <c r="CL185" s="21">
        <f>EXP(-LN(2)/25)*CL184+(1-EXP(-LN(2)/25))/(LN(2)/25)*Calculateur!CG185*Calculateur!CI185*VLOOKUP('Données projet'!$B$12,Paramètres!$A$1:$I$89,3,0)*0.475*44/12</f>
        <v>0.16484049628258196</v>
      </c>
      <c r="CM185" s="21">
        <f>EXP(-LN(2)/2)*CM184+(1-EXP(-LN(2)/2))/(LN(2)/2)*CG185*CJ185*VLOOKUP('Données projet'!$B$12,Paramètres!$A$1:$I$89,3,0)*0.475*44/12</f>
        <v>1.4615459065461888E-22</v>
      </c>
      <c r="CN185" s="22">
        <f t="shared" si="172"/>
        <v>0.61211301778603855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482.74318690313885</v>
      </c>
      <c r="CZ185" s="59">
        <f t="shared" si="150"/>
        <v>205.57161411620217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0.56566364734294683</v>
      </c>
      <c r="DG185" s="21">
        <f>EXP(-LN(2)/25)*DG184+(1-EXP(-LN(2)/25))/(LN(2)/25)*Calculateur!DB185*Calculateur!DD185*VLOOKUP('Données projet'!$B$13,Paramètres!$A$1:$I$89,3,0)*0.475*44/12</f>
        <v>0.13935267238244753</v>
      </c>
      <c r="DH185" s="21">
        <f>EXP(-LN(2)/2)*DH184+(1-EXP(-LN(2)/2))/(LN(2)/2)*DB185*DE185*VLOOKUP('Données projet'!$B$13,Paramètres!$A$1:$I$89,3,0)*0.475*44/12</f>
        <v>5.9940768479472077E-23</v>
      </c>
      <c r="DI185" s="22">
        <f t="shared" si="175"/>
        <v>0.70501631972539436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2.2737367544323206E-13</v>
      </c>
      <c r="DP185" s="17">
        <f>DO185*VLOOKUP('Données projet'!$B$14,Paramètres!$A$1:$I$89,3,0)*VLOOKUP('Données projet'!$B$14,Paramètres!$A$1:$I$89,5,0)</f>
        <v>1.0936673788819462E-13</v>
      </c>
      <c r="DQ185" s="13">
        <f t="shared" si="176"/>
        <v>1.6259645746645945E-12</v>
      </c>
      <c r="DR185" s="20">
        <f t="shared" si="177"/>
        <v>3.0223687026961078E-12</v>
      </c>
      <c r="DS185" s="59">
        <f t="shared" si="125"/>
        <v>293.33333333333633</v>
      </c>
      <c r="DT185" s="59">
        <f ca="1">AVERAGE(OFFSET($DS$3,0,0,'Données projet'!$E$14+1,1))-AVERAGE(OFFSET($H$3,0,0,'Données projet'!$E$14+1,1))</f>
        <v>247.11965163963526</v>
      </c>
      <c r="DU185" s="59">
        <f t="shared" si="152"/>
        <v>61.686311966192704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0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-1.0286385077051818E-13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265.50419397354284</v>
      </c>
      <c r="T186" s="59">
        <f t="shared" si="142"/>
        <v>156.67965022779907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0.16102434536975188</v>
      </c>
      <c r="AA186" s="21">
        <f>EXP(-LN(2)/25)*AA185+(1-EXP(-LN(2)/25))/(LN(2)/25)*Calculateur!V186*Calculateur!X186*VLOOKUP('Données projet'!$B$9,Paramètres!$A$1:$I$89,3,0)*0.475*44/12</f>
        <v>6.032005085782035E-2</v>
      </c>
      <c r="AB186" s="21">
        <f>EXP(-LN(2)/2)*AB185+(1-EXP(-LN(2)/2))/(LN(2)/2)*V186*Y186*VLOOKUP('Données projet'!$B$9,Paramètres!$A$1:$I$89,3,0)*0.475*44/12</f>
        <v>5.7112194467458673E-23</v>
      </c>
      <c r="AC186" s="22">
        <f t="shared" si="163"/>
        <v>0.22134439622757224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-1.1527845344971866E-13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296.43642006376018</v>
      </c>
      <c r="AO186" s="59">
        <f t="shared" si="144"/>
        <v>179.56041631665812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0.18045831808679089</v>
      </c>
      <c r="AV186" s="21">
        <f>EXP(-LN(2)/25)*AV185+(1-EXP(-LN(2)/25))/(LN(2)/25)*Calculateur!AQ186*Calculateur!AS186*VLOOKUP('Données projet'!$B$10,Paramètres!$A$1:$I$89,3,0)*0.475*44/12</f>
        <v>6.7600056995833047E-2</v>
      </c>
      <c r="AW186" s="21">
        <f>EXP(-LN(2)/2)*AW185+(1-EXP(-LN(2)/2))/(LN(2)/2)*AQ186*AT186*VLOOKUP('Données projet'!$B$10,Paramètres!$A$1:$I$89,3,0)*0.475*44/12</f>
        <v>6.400504552387612E-23</v>
      </c>
      <c r="AX186" s="21">
        <f t="shared" si="166"/>
        <v>0.24805837508262393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5.6843418860808015E-14</v>
      </c>
      <c r="BE186" s="13">
        <f>BD186*VLOOKUP('Données projet'!$B$11,Paramètres!$A$1:$I$89,3,0)*VLOOKUP('Données projet'!$B$11,Paramètres!$A$1:$I$89,5,0)</f>
        <v>3.813056537183002E-14</v>
      </c>
      <c r="BF186" s="13">
        <f t="shared" si="167"/>
        <v>6.4086286045526829E-13</v>
      </c>
      <c r="BG186" s="20">
        <f t="shared" si="168"/>
        <v>1.1825802166488628E-12</v>
      </c>
      <c r="BH186" s="59">
        <f t="shared" si="116"/>
        <v>293.33333333333451</v>
      </c>
      <c r="BI186" s="59">
        <f ca="1">AVERAGE(OFFSET($BH$3,0,0,'Données projet'!$E$11+1,1))-AVERAGE(OFFSET($H$3,0,0,'Données projet'!$E$11+1,1))</f>
        <v>181.32837315090507</v>
      </c>
      <c r="BJ186" s="59">
        <f t="shared" si="146"/>
        <v>175.03267817980338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0.26459507629058826</v>
      </c>
      <c r="BQ186" s="21">
        <f>EXP(-LN(2)/25)*BQ185+(1-EXP(-LN(2)/25))/(LN(2)/25)*Calculateur!BL186*Calculateur!BN186*VLOOKUP('Données projet'!$B$11,Paramètres!$A$1:$I$89,3,0)*0.475*44/12</f>
        <v>9.7804410557862612E-2</v>
      </c>
      <c r="BR186" s="21">
        <f>EXP(-LN(2)/2)*BR185+(1-EXP(-LN(2)/2))/(LN(2)/2)*BL186*BO186*VLOOKUP('Données projet'!$B$11,Paramètres!$A$1:$I$89,3,0)*0.475*44/12</f>
        <v>9.9284415999848042E-24</v>
      </c>
      <c r="BS186" s="22">
        <f t="shared" si="169"/>
        <v>0.36239948684845086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574.49999999999989</v>
      </c>
      <c r="BZ186" s="13">
        <f>BY186*VLOOKUP('Données projet'!$B$12,Paramètres!$A$1:$I$89,3,0)*VLOOKUP('Données projet'!$B$12,Paramètres!$A$1:$I$89,5,0)</f>
        <v>268.86599999999999</v>
      </c>
      <c r="CA186" s="13">
        <f t="shared" si="170"/>
        <v>64.608546947682441</v>
      </c>
      <c r="CB186" s="20">
        <f t="shared" si="171"/>
        <v>580.80150260054677</v>
      </c>
      <c r="CC186" s="59">
        <f t="shared" si="119"/>
        <v>874.13483593388014</v>
      </c>
      <c r="CD186" s="59">
        <f ca="1">AVERAGE(OFFSET($CC$3,0,0,'Données projet'!$E$12+1,1))-AVERAGE(OFFSET($H$3,0,0,'Données projet'!$E$12+1,1))</f>
        <v>226.0452828290525</v>
      </c>
      <c r="CE186" s="59">
        <f t="shared" si="148"/>
        <v>179.89696397462069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0.43850178016607416</v>
      </c>
      <c r="CL186" s="21">
        <f>EXP(-LN(2)/25)*CL185+(1-EXP(-LN(2)/25))/(LN(2)/25)*Calculateur!CG186*Calculateur!CI186*VLOOKUP('Données projet'!$B$12,Paramètres!$A$1:$I$89,3,0)*0.475*44/12</f>
        <v>0.16033292424314979</v>
      </c>
      <c r="CM186" s="21">
        <f>EXP(-LN(2)/2)*CM185+(1-EXP(-LN(2)/2))/(LN(2)/2)*CG186*CJ186*VLOOKUP('Données projet'!$B$12,Paramètres!$A$1:$I$89,3,0)*0.475*44/12</f>
        <v>1.0334690215342503E-22</v>
      </c>
      <c r="CN186" s="22">
        <f t="shared" si="172"/>
        <v>0.59883470440922393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482.74318690313885</v>
      </c>
      <c r="CZ186" s="59">
        <f t="shared" si="150"/>
        <v>205.57161411620217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0.55457132823930855</v>
      </c>
      <c r="DG186" s="21">
        <f>EXP(-LN(2)/25)*DG185+(1-EXP(-LN(2)/25))/(LN(2)/25)*Calculateur!DB186*Calculateur!DD186*VLOOKUP('Données projet'!$B$13,Paramètres!$A$1:$I$89,3,0)*0.475*44/12</f>
        <v>0.13554206622791096</v>
      </c>
      <c r="DH186" s="21">
        <f>EXP(-LN(2)/2)*DH185+(1-EXP(-LN(2)/2))/(LN(2)/2)*DB186*DE186*VLOOKUP('Données projet'!$B$13,Paramètres!$A$1:$I$89,3,0)*0.475*44/12</f>
        <v>4.2384523861367567E-23</v>
      </c>
      <c r="DI186" s="22">
        <f t="shared" si="175"/>
        <v>0.69011339446721953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2.2737367544323206E-13</v>
      </c>
      <c r="DP186" s="17">
        <f>DO186*VLOOKUP('Données projet'!$B$14,Paramètres!$A$1:$I$89,3,0)*VLOOKUP('Données projet'!$B$14,Paramètres!$A$1:$I$89,5,0)</f>
        <v>1.0936673788819462E-13</v>
      </c>
      <c r="DQ186" s="13">
        <f t="shared" si="176"/>
        <v>1.6259645746645945E-12</v>
      </c>
      <c r="DR186" s="20">
        <f t="shared" si="177"/>
        <v>3.0223687026961078E-12</v>
      </c>
      <c r="DS186" s="59">
        <f t="shared" si="125"/>
        <v>293.33333333333633</v>
      </c>
      <c r="DT186" s="59">
        <f ca="1">AVERAGE(OFFSET($DS$3,0,0,'Données projet'!$E$14+1,1))-AVERAGE(OFFSET($H$3,0,0,'Données projet'!$E$14+1,1))</f>
        <v>247.11965163963526</v>
      </c>
      <c r="DU186" s="59">
        <f t="shared" si="152"/>
        <v>61.686311966192704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0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-1.0286385077051818E-13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265.50419397354284</v>
      </c>
      <c r="T187" s="59">
        <f t="shared" si="142"/>
        <v>156.67965022779907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0.15786675617220378</v>
      </c>
      <c r="AA187" s="21">
        <f>EXP(-LN(2)/25)*AA186+(1-EXP(-LN(2)/25))/(LN(2)/25)*Calculateur!V187*Calculateur!X187*VLOOKUP('Données projet'!$B$9,Paramètres!$A$1:$I$89,3,0)*0.475*44/12</f>
        <v>5.8670595895019641E-2</v>
      </c>
      <c r="AB187" s="21">
        <f>EXP(-LN(2)/2)*AB186+(1-EXP(-LN(2)/2))/(LN(2)/2)*V187*Y187*VLOOKUP('Données projet'!$B$9,Paramètres!$A$1:$I$89,3,0)*0.475*44/12</f>
        <v>4.038441999638485E-23</v>
      </c>
      <c r="AC187" s="22">
        <f t="shared" si="163"/>
        <v>0.21653735206722341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-1.1527845344971866E-13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296.43642006376018</v>
      </c>
      <c r="AO187" s="59">
        <f t="shared" si="144"/>
        <v>179.56041631665812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0.17691964053781456</v>
      </c>
      <c r="AV187" s="21">
        <f>EXP(-LN(2)/25)*AV186+(1-EXP(-LN(2)/25))/(LN(2)/25)*Calculateur!AQ187*Calculateur!AS187*VLOOKUP('Données projet'!$B$10,Paramètres!$A$1:$I$89,3,0)*0.475*44/12</f>
        <v>6.5751529882349502E-2</v>
      </c>
      <c r="AW187" s="21">
        <f>EXP(-LN(2)/2)*AW186+(1-EXP(-LN(2)/2))/(LN(2)/2)*AQ187*AT187*VLOOKUP('Données projet'!$B$10,Paramètres!$A$1:$I$89,3,0)*0.475*44/12</f>
        <v>4.5258401720086486E-23</v>
      </c>
      <c r="AX187" s="21">
        <f t="shared" si="166"/>
        <v>0.24267117042016406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5.6843418860808015E-14</v>
      </c>
      <c r="BE187" s="13">
        <f>BD187*VLOOKUP('Données projet'!$B$11,Paramètres!$A$1:$I$89,3,0)*VLOOKUP('Données projet'!$B$11,Paramètres!$A$1:$I$89,5,0)</f>
        <v>3.813056537183002E-14</v>
      </c>
      <c r="BF187" s="13">
        <f t="shared" si="167"/>
        <v>6.4086286045526829E-13</v>
      </c>
      <c r="BG187" s="20">
        <f t="shared" si="168"/>
        <v>1.1825802166488628E-12</v>
      </c>
      <c r="BH187" s="59">
        <f t="shared" si="116"/>
        <v>293.33333333333451</v>
      </c>
      <c r="BI187" s="59">
        <f ca="1">AVERAGE(OFFSET($BH$3,0,0,'Données projet'!$E$11+1,1))-AVERAGE(OFFSET($H$3,0,0,'Données projet'!$E$11+1,1))</f>
        <v>181.32837315090507</v>
      </c>
      <c r="BJ187" s="59">
        <f t="shared" si="146"/>
        <v>175.03267817980338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0.25940652823159072</v>
      </c>
      <c r="BQ187" s="21">
        <f>EXP(-LN(2)/25)*BQ186+(1-EXP(-LN(2)/25))/(LN(2)/25)*Calculateur!BL187*Calculateur!BN187*VLOOKUP('Données projet'!$B$11,Paramètres!$A$1:$I$89,3,0)*0.475*44/12</f>
        <v>9.5129943807847436E-2</v>
      </c>
      <c r="BR187" s="21">
        <f>EXP(-LN(2)/2)*BR186+(1-EXP(-LN(2)/2))/(LN(2)/2)*BL187*BO187*VLOOKUP('Données projet'!$B$11,Paramètres!$A$1:$I$89,3,0)*0.475*44/12</f>
        <v>7.0204683819638707E-24</v>
      </c>
      <c r="BS187" s="22">
        <f t="shared" si="169"/>
        <v>0.35453647203943817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574.49999999999989</v>
      </c>
      <c r="BZ187" s="13">
        <f>BY187*VLOOKUP('Données projet'!$B$12,Paramètres!$A$1:$I$89,3,0)*VLOOKUP('Données projet'!$B$12,Paramètres!$A$1:$I$89,5,0)</f>
        <v>268.86599999999999</v>
      </c>
      <c r="CA187" s="13">
        <f t="shared" si="170"/>
        <v>64.608546947682441</v>
      </c>
      <c r="CB187" s="20">
        <f t="shared" si="171"/>
        <v>580.80150260054677</v>
      </c>
      <c r="CC187" s="59">
        <f t="shared" si="119"/>
        <v>874.13483593388014</v>
      </c>
      <c r="CD187" s="59">
        <f ca="1">AVERAGE(OFFSET($CC$3,0,0,'Données projet'!$E$12+1,1))-AVERAGE(OFFSET($H$3,0,0,'Données projet'!$E$12+1,1))</f>
        <v>226.0452828290525</v>
      </c>
      <c r="CE187" s="59">
        <f t="shared" si="148"/>
        <v>179.89696397462069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0.42990302771669392</v>
      </c>
      <c r="CL187" s="21">
        <f>EXP(-LN(2)/25)*CL186+(1-EXP(-LN(2)/25))/(LN(2)/25)*Calculateur!CG187*Calculateur!CI187*VLOOKUP('Données projet'!$B$12,Paramètres!$A$1:$I$89,3,0)*0.475*44/12</f>
        <v>0.15594861199817883</v>
      </c>
      <c r="CM187" s="21">
        <f>EXP(-LN(2)/2)*CM186+(1-EXP(-LN(2)/2))/(LN(2)/2)*CG187*CJ187*VLOOKUP('Données projet'!$B$12,Paramètres!$A$1:$I$89,3,0)*0.475*44/12</f>
        <v>7.307729532730945E-23</v>
      </c>
      <c r="CN187" s="22">
        <f t="shared" si="172"/>
        <v>0.58585163971487275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482.74318690313885</v>
      </c>
      <c r="CZ187" s="59">
        <f t="shared" si="150"/>
        <v>205.57161411620217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0.54369652274764602</v>
      </c>
      <c r="DG187" s="21">
        <f>EXP(-LN(2)/25)*DG186+(1-EXP(-LN(2)/25))/(LN(2)/25)*Calculateur!DB187*Calculateur!DD187*VLOOKUP('Données projet'!$B$13,Paramètres!$A$1:$I$89,3,0)*0.475*44/12</f>
        <v>0.13183566129906124</v>
      </c>
      <c r="DH187" s="21">
        <f>EXP(-LN(2)/2)*DH186+(1-EXP(-LN(2)/2))/(LN(2)/2)*DB187*DE187*VLOOKUP('Données projet'!$B$13,Paramètres!$A$1:$I$89,3,0)*0.475*44/12</f>
        <v>2.9970384239736038E-23</v>
      </c>
      <c r="DI187" s="22">
        <f t="shared" si="175"/>
        <v>0.67553218404670723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2.2737367544323206E-13</v>
      </c>
      <c r="DP187" s="17">
        <f>DO187*VLOOKUP('Données projet'!$B$14,Paramètres!$A$1:$I$89,3,0)*VLOOKUP('Données projet'!$B$14,Paramètres!$A$1:$I$89,5,0)</f>
        <v>1.0936673788819462E-13</v>
      </c>
      <c r="DQ187" s="13">
        <f t="shared" si="176"/>
        <v>1.6259645746645945E-12</v>
      </c>
      <c r="DR187" s="20">
        <f t="shared" si="177"/>
        <v>3.0223687026961078E-12</v>
      </c>
      <c r="DS187" s="59">
        <f t="shared" si="125"/>
        <v>293.33333333333633</v>
      </c>
      <c r="DT187" s="59">
        <f ca="1">AVERAGE(OFFSET($DS$3,0,0,'Données projet'!$E$14+1,1))-AVERAGE(OFFSET($H$3,0,0,'Données projet'!$E$14+1,1))</f>
        <v>247.11965163963526</v>
      </c>
      <c r="DU187" s="59">
        <f t="shared" si="152"/>
        <v>61.686311966192704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0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-1.0286385077051818E-13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265.50419397354284</v>
      </c>
      <c r="T188" s="59">
        <f t="shared" si="142"/>
        <v>156.67965022779907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0.15477108537288037</v>
      </c>
      <c r="AA188" s="21">
        <f>EXP(-LN(2)/25)*AA187+(1-EXP(-LN(2)/25))/(LN(2)/25)*Calculateur!V188*Calculateur!X188*VLOOKUP('Données projet'!$B$9,Paramètres!$A$1:$I$89,3,0)*0.475*44/12</f>
        <v>5.7066245364917785E-2</v>
      </c>
      <c r="AB188" s="21">
        <f>EXP(-LN(2)/2)*AB187+(1-EXP(-LN(2)/2))/(LN(2)/2)*V188*Y188*VLOOKUP('Données projet'!$B$9,Paramètres!$A$1:$I$89,3,0)*0.475*44/12</f>
        <v>2.8556097233729337E-23</v>
      </c>
      <c r="AC188" s="22">
        <f t="shared" si="163"/>
        <v>0.21183733073779815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-1.1527845344971866E-13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296.43642006376018</v>
      </c>
      <c r="AO188" s="59">
        <f t="shared" si="144"/>
        <v>179.56041631665812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0.17345035429719349</v>
      </c>
      <c r="AV188" s="21">
        <f>EXP(-LN(2)/25)*AV187+(1-EXP(-LN(2)/25))/(LN(2)/25)*Calculateur!AQ188*Calculateur!AS188*VLOOKUP('Données projet'!$B$10,Paramètres!$A$1:$I$89,3,0)*0.475*44/12</f>
        <v>6.3953550839993975E-2</v>
      </c>
      <c r="AW188" s="21">
        <f>EXP(-LN(2)/2)*AW187+(1-EXP(-LN(2)/2))/(LN(2)/2)*AQ188*AT188*VLOOKUP('Données projet'!$B$10,Paramètres!$A$1:$I$89,3,0)*0.475*44/12</f>
        <v>3.200252276193806E-23</v>
      </c>
      <c r="AX188" s="21">
        <f t="shared" si="166"/>
        <v>0.23740390513718745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5.6843418860808015E-14</v>
      </c>
      <c r="BE188" s="13">
        <f>BD188*VLOOKUP('Données projet'!$B$11,Paramètres!$A$1:$I$89,3,0)*VLOOKUP('Données projet'!$B$11,Paramètres!$A$1:$I$89,5,0)</f>
        <v>3.813056537183002E-14</v>
      </c>
      <c r="BF188" s="13">
        <f t="shared" si="167"/>
        <v>6.4086286045526829E-13</v>
      </c>
      <c r="BG188" s="20">
        <f t="shared" si="168"/>
        <v>1.1825802166488628E-12</v>
      </c>
      <c r="BH188" s="59">
        <f t="shared" si="116"/>
        <v>293.33333333333451</v>
      </c>
      <c r="BI188" s="59">
        <f ca="1">AVERAGE(OFFSET($BH$3,0,0,'Données projet'!$E$11+1,1))-AVERAGE(OFFSET($H$3,0,0,'Données projet'!$E$11+1,1))</f>
        <v>181.32837315090507</v>
      </c>
      <c r="BJ188" s="59">
        <f t="shared" si="146"/>
        <v>175.03267817980338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0.2543197244353283</v>
      </c>
      <c r="BQ188" s="21">
        <f>EXP(-LN(2)/25)*BQ187+(1-EXP(-LN(2)/25))/(LN(2)/25)*Calculateur!BL188*Calculateur!BN188*VLOOKUP('Données projet'!$B$11,Paramètres!$A$1:$I$89,3,0)*0.475*44/12</f>
        <v>9.2528610491755522E-2</v>
      </c>
      <c r="BR188" s="21">
        <f>EXP(-LN(2)/2)*BR187+(1-EXP(-LN(2)/2))/(LN(2)/2)*BL188*BO188*VLOOKUP('Données projet'!$B$11,Paramètres!$A$1:$I$89,3,0)*0.475*44/12</f>
        <v>4.9642207999924021E-24</v>
      </c>
      <c r="BS188" s="22">
        <f t="shared" si="169"/>
        <v>0.34684833492708383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574.49999999999989</v>
      </c>
      <c r="BZ188" s="13">
        <f>BY188*VLOOKUP('Données projet'!$B$12,Paramètres!$A$1:$I$89,3,0)*VLOOKUP('Données projet'!$B$12,Paramètres!$A$1:$I$89,5,0)</f>
        <v>268.86599999999999</v>
      </c>
      <c r="CA188" s="13">
        <f t="shared" si="170"/>
        <v>64.608546947682441</v>
      </c>
      <c r="CB188" s="20">
        <f t="shared" si="171"/>
        <v>580.80150260054677</v>
      </c>
      <c r="CC188" s="59">
        <f t="shared" si="119"/>
        <v>874.13483593388014</v>
      </c>
      <c r="CD188" s="59">
        <f ca="1">AVERAGE(OFFSET($CC$3,0,0,'Données projet'!$E$12+1,1))-AVERAGE(OFFSET($H$3,0,0,'Données projet'!$E$12+1,1))</f>
        <v>226.0452828290525</v>
      </c>
      <c r="CE188" s="59">
        <f t="shared" si="148"/>
        <v>179.89696397462069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0.4214728915581249</v>
      </c>
      <c r="CL188" s="21">
        <f>EXP(-LN(2)/25)*CL187+(1-EXP(-LN(2)/25))/(LN(2)/25)*Calculateur!CG188*Calculateur!CI188*VLOOKUP('Données projet'!$B$12,Paramètres!$A$1:$I$89,3,0)*0.475*44/12</f>
        <v>0.15168418900210756</v>
      </c>
      <c r="CM188" s="21">
        <f>EXP(-LN(2)/2)*CM187+(1-EXP(-LN(2)/2))/(LN(2)/2)*CG188*CJ188*VLOOKUP('Données projet'!$B$12,Paramètres!$A$1:$I$89,3,0)*0.475*44/12</f>
        <v>5.1673451076712519E-23</v>
      </c>
      <c r="CN188" s="22">
        <f t="shared" si="172"/>
        <v>0.5731570805602324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482.74318690313885</v>
      </c>
      <c r="CZ188" s="59">
        <f t="shared" si="150"/>
        <v>205.57161411620217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0.53303496555869856</v>
      </c>
      <c r="DG188" s="21">
        <f>EXP(-LN(2)/25)*DG187+(1-EXP(-LN(2)/25))/(LN(2)/25)*Calculateur!DB188*Calculateur!DD188*VLOOKUP('Données projet'!$B$13,Paramètres!$A$1:$I$89,3,0)*0.475*44/12</f>
        <v>0.1282306082079023</v>
      </c>
      <c r="DH188" s="21">
        <f>EXP(-LN(2)/2)*DH187+(1-EXP(-LN(2)/2))/(LN(2)/2)*DB188*DE188*VLOOKUP('Données projet'!$B$13,Paramètres!$A$1:$I$89,3,0)*0.475*44/12</f>
        <v>2.1192261930683784E-23</v>
      </c>
      <c r="DI188" s="22">
        <f t="shared" si="175"/>
        <v>0.66126557376660089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2.2737367544323206E-13</v>
      </c>
      <c r="DP188" s="17">
        <f>DO188*VLOOKUP('Données projet'!$B$14,Paramètres!$A$1:$I$89,3,0)*VLOOKUP('Données projet'!$B$14,Paramètres!$A$1:$I$89,5,0)</f>
        <v>1.0936673788819462E-13</v>
      </c>
      <c r="DQ188" s="13">
        <f t="shared" si="176"/>
        <v>1.6259645746645945E-12</v>
      </c>
      <c r="DR188" s="20">
        <f t="shared" si="177"/>
        <v>3.0223687026961078E-12</v>
      </c>
      <c r="DS188" s="59">
        <f t="shared" si="125"/>
        <v>293.33333333333633</v>
      </c>
      <c r="DT188" s="59">
        <f ca="1">AVERAGE(OFFSET($DS$3,0,0,'Données projet'!$E$14+1,1))-AVERAGE(OFFSET($H$3,0,0,'Données projet'!$E$14+1,1))</f>
        <v>247.11965163963526</v>
      </c>
      <c r="DU188" s="59">
        <f t="shared" si="152"/>
        <v>61.686311966192704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0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-1.0286385077051818E-13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265.50419397354284</v>
      </c>
      <c r="T189" s="59">
        <f t="shared" si="142"/>
        <v>156.67965022779907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0.15173611878975893</v>
      </c>
      <c r="AA189" s="21">
        <f>EXP(-LN(2)/25)*AA188+(1-EXP(-LN(2)/25))/(LN(2)/25)*Calculateur!V189*Calculateur!X189*VLOOKUP('Données projet'!$B$9,Paramètres!$A$1:$I$89,3,0)*0.475*44/12</f>
        <v>5.5505765884430694E-2</v>
      </c>
      <c r="AB189" s="21">
        <f>EXP(-LN(2)/2)*AB188+(1-EXP(-LN(2)/2))/(LN(2)/2)*V189*Y189*VLOOKUP('Données projet'!$B$9,Paramètres!$A$1:$I$89,3,0)*0.475*44/12</f>
        <v>2.0192209998192425E-23</v>
      </c>
      <c r="AC189" s="22">
        <f t="shared" si="163"/>
        <v>0.20724188467418964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-1.1527845344971866E-13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296.43642006376018</v>
      </c>
      <c r="AO189" s="59">
        <f t="shared" si="144"/>
        <v>179.56041631665812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0.17004909864369533</v>
      </c>
      <c r="AV189" s="21">
        <f>EXP(-LN(2)/25)*AV188+(1-EXP(-LN(2)/25))/(LN(2)/25)*Calculateur!AQ189*Calculateur!AS189*VLOOKUP('Données projet'!$B$10,Paramètres!$A$1:$I$89,3,0)*0.475*44/12</f>
        <v>6.2204737629103266E-2</v>
      </c>
      <c r="AW189" s="21">
        <f>EXP(-LN(2)/2)*AW188+(1-EXP(-LN(2)/2))/(LN(2)/2)*AQ189*AT189*VLOOKUP('Données projet'!$B$10,Paramètres!$A$1:$I$89,3,0)*0.475*44/12</f>
        <v>2.2629200860043243E-23</v>
      </c>
      <c r="AX189" s="21">
        <f t="shared" si="166"/>
        <v>0.23225383627279861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5.6843418860808015E-14</v>
      </c>
      <c r="BE189" s="13">
        <f>BD189*VLOOKUP('Données projet'!$B$11,Paramètres!$A$1:$I$89,3,0)*VLOOKUP('Données projet'!$B$11,Paramètres!$A$1:$I$89,5,0)</f>
        <v>3.813056537183002E-14</v>
      </c>
      <c r="BF189" s="13">
        <f t="shared" si="167"/>
        <v>6.4086286045526829E-13</v>
      </c>
      <c r="BG189" s="20">
        <f t="shared" si="168"/>
        <v>1.1825802166488628E-12</v>
      </c>
      <c r="BH189" s="59">
        <f t="shared" si="116"/>
        <v>293.33333333333451</v>
      </c>
      <c r="BI189" s="59">
        <f ca="1">AVERAGE(OFFSET($BH$3,0,0,'Données projet'!$E$11+1,1))-AVERAGE(OFFSET($H$3,0,0,'Données projet'!$E$11+1,1))</f>
        <v>181.32837315090507</v>
      </c>
      <c r="BJ189" s="59">
        <f t="shared" si="146"/>
        <v>175.03267817980338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0.24933266975886662</v>
      </c>
      <c r="BQ189" s="21">
        <f>EXP(-LN(2)/25)*BQ188+(1-EXP(-LN(2)/25))/(LN(2)/25)*Calculateur!BL189*Calculateur!BN189*VLOOKUP('Données projet'!$B$11,Paramètres!$A$1:$I$89,3,0)*0.475*44/12</f>
        <v>8.999841077199032E-2</v>
      </c>
      <c r="BR189" s="21">
        <f>EXP(-LN(2)/2)*BR188+(1-EXP(-LN(2)/2))/(LN(2)/2)*BL189*BO189*VLOOKUP('Données projet'!$B$11,Paramètres!$A$1:$I$89,3,0)*0.475*44/12</f>
        <v>3.5102341909819353E-24</v>
      </c>
      <c r="BS189" s="22">
        <f t="shared" si="169"/>
        <v>0.33933108053085692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574.49999999999989</v>
      </c>
      <c r="BZ189" s="13">
        <f>BY189*VLOOKUP('Données projet'!$B$12,Paramètres!$A$1:$I$89,3,0)*VLOOKUP('Données projet'!$B$12,Paramètres!$A$1:$I$89,5,0)</f>
        <v>268.86599999999999</v>
      </c>
      <c r="CA189" s="13">
        <f t="shared" si="170"/>
        <v>64.608546947682441</v>
      </c>
      <c r="CB189" s="20">
        <f t="shared" si="171"/>
        <v>580.80150260054677</v>
      </c>
      <c r="CC189" s="59">
        <f t="shared" si="119"/>
        <v>874.13483593388014</v>
      </c>
      <c r="CD189" s="59">
        <f ca="1">AVERAGE(OFFSET($CC$3,0,0,'Données projet'!$E$12+1,1))-AVERAGE(OFFSET($H$3,0,0,'Données projet'!$E$12+1,1))</f>
        <v>226.0452828290525</v>
      </c>
      <c r="CE189" s="59">
        <f t="shared" si="148"/>
        <v>179.89696397462069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0.41320806522775005</v>
      </c>
      <c r="CL189" s="21">
        <f>EXP(-LN(2)/25)*CL188+(1-EXP(-LN(2)/25))/(LN(2)/25)*Calculateur!CG189*Calculateur!CI189*VLOOKUP('Données projet'!$B$12,Paramètres!$A$1:$I$89,3,0)*0.475*44/12</f>
        <v>0.1475363768771201</v>
      </c>
      <c r="CM189" s="21">
        <f>EXP(-LN(2)/2)*CM188+(1-EXP(-LN(2)/2))/(LN(2)/2)*CG189*CJ189*VLOOKUP('Données projet'!$B$12,Paramètres!$A$1:$I$89,3,0)*0.475*44/12</f>
        <v>3.6538647663654731E-23</v>
      </c>
      <c r="CN189" s="22">
        <f t="shared" si="172"/>
        <v>0.56074444210487018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482.74318690313885</v>
      </c>
      <c r="CZ189" s="59">
        <f t="shared" si="150"/>
        <v>205.57161411620217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0.52258247500331867</v>
      </c>
      <c r="DG189" s="21">
        <f>EXP(-LN(2)/25)*DG188+(1-EXP(-LN(2)/25))/(LN(2)/25)*Calculateur!DB189*Calculateur!DD189*VLOOKUP('Données projet'!$B$13,Paramètres!$A$1:$I$89,3,0)*0.475*44/12</f>
        <v>0.1247241354831026</v>
      </c>
      <c r="DH189" s="21">
        <f>EXP(-LN(2)/2)*DH188+(1-EXP(-LN(2)/2))/(LN(2)/2)*DB189*DE189*VLOOKUP('Données projet'!$B$13,Paramètres!$A$1:$I$89,3,0)*0.475*44/12</f>
        <v>1.4985192119868019E-23</v>
      </c>
      <c r="DI189" s="22">
        <f t="shared" si="175"/>
        <v>0.64730661048642124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2.2737367544323206E-13</v>
      </c>
      <c r="DP189" s="17">
        <f>DO189*VLOOKUP('Données projet'!$B$14,Paramètres!$A$1:$I$89,3,0)*VLOOKUP('Données projet'!$B$14,Paramètres!$A$1:$I$89,5,0)</f>
        <v>1.0936673788819462E-13</v>
      </c>
      <c r="DQ189" s="13">
        <f t="shared" si="176"/>
        <v>1.6259645746645945E-12</v>
      </c>
      <c r="DR189" s="20">
        <f t="shared" si="177"/>
        <v>3.0223687026961078E-12</v>
      </c>
      <c r="DS189" s="59">
        <f t="shared" si="125"/>
        <v>293.33333333333633</v>
      </c>
      <c r="DT189" s="59">
        <f ca="1">AVERAGE(OFFSET($DS$3,0,0,'Données projet'!$E$14+1,1))-AVERAGE(OFFSET($H$3,0,0,'Données projet'!$E$14+1,1))</f>
        <v>247.11965163963526</v>
      </c>
      <c r="DU189" s="59">
        <f t="shared" si="152"/>
        <v>61.686311966192704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0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-1.0286385077051818E-13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265.50419397354284</v>
      </c>
      <c r="T190" s="59">
        <f t="shared" si="142"/>
        <v>156.67965022779907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0.14876066605018567</v>
      </c>
      <c r="AA190" s="21">
        <f>EXP(-LN(2)/25)*AA189+(1-EXP(-LN(2)/25))/(LN(2)/25)*Calculateur!V190*Calculateur!X190*VLOOKUP('Données projet'!$B$9,Paramètres!$A$1:$I$89,3,0)*0.475*44/12</f>
        <v>5.3987957797399566E-2</v>
      </c>
      <c r="AB190" s="21">
        <f>EXP(-LN(2)/2)*AB189+(1-EXP(-LN(2)/2))/(LN(2)/2)*V190*Y190*VLOOKUP('Données projet'!$B$9,Paramètres!$A$1:$I$89,3,0)*0.475*44/12</f>
        <v>1.4278048616864668E-23</v>
      </c>
      <c r="AC190" s="22">
        <f t="shared" si="163"/>
        <v>0.20274862384758524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-1.1527845344971866E-13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296.43642006376018</v>
      </c>
      <c r="AO190" s="59">
        <f t="shared" si="144"/>
        <v>179.56041631665812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0.16671453953900117</v>
      </c>
      <c r="AV190" s="21">
        <f>EXP(-LN(2)/25)*AV189+(1-EXP(-LN(2)/25))/(LN(2)/25)*Calculateur!AQ190*Calculateur!AS190*VLOOKUP('Données projet'!$B$10,Paramètres!$A$1:$I$89,3,0)*0.475*44/12</f>
        <v>6.0503745807430453E-2</v>
      </c>
      <c r="AW190" s="21">
        <f>EXP(-LN(2)/2)*AW189+(1-EXP(-LN(2)/2))/(LN(2)/2)*AQ190*AT190*VLOOKUP('Données projet'!$B$10,Paramètres!$A$1:$I$89,3,0)*0.475*44/12</f>
        <v>1.600126138096903E-23</v>
      </c>
      <c r="AX190" s="21">
        <f t="shared" si="166"/>
        <v>0.22721828534643163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5.6843418860808015E-14</v>
      </c>
      <c r="BE190" s="13">
        <f>BD190*VLOOKUP('Données projet'!$B$11,Paramètres!$A$1:$I$89,3,0)*VLOOKUP('Données projet'!$B$11,Paramètres!$A$1:$I$89,5,0)</f>
        <v>3.813056537183002E-14</v>
      </c>
      <c r="BF190" s="13">
        <f t="shared" si="167"/>
        <v>6.4086286045526829E-13</v>
      </c>
      <c r="BG190" s="20">
        <f t="shared" si="168"/>
        <v>1.1825802166488628E-12</v>
      </c>
      <c r="BH190" s="59">
        <f t="shared" si="116"/>
        <v>293.33333333333451</v>
      </c>
      <c r="BI190" s="59">
        <f ca="1">AVERAGE(OFFSET($BH$3,0,0,'Données projet'!$E$11+1,1))-AVERAGE(OFFSET($H$3,0,0,'Données projet'!$E$11+1,1))</f>
        <v>181.32837315090507</v>
      </c>
      <c r="BJ190" s="59">
        <f t="shared" si="146"/>
        <v>175.03267817980338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0.24444340818280735</v>
      </c>
      <c r="BQ190" s="21">
        <f>EXP(-LN(2)/25)*BQ189+(1-EXP(-LN(2)/25))/(LN(2)/25)*Calculateur!BL190*Calculateur!BN190*VLOOKUP('Données projet'!$B$11,Paramètres!$A$1:$I$89,3,0)*0.475*44/12</f>
        <v>8.7537399496619511E-2</v>
      </c>
      <c r="BR190" s="21">
        <f>EXP(-LN(2)/2)*BR189+(1-EXP(-LN(2)/2))/(LN(2)/2)*BL190*BO190*VLOOKUP('Données projet'!$B$11,Paramètres!$A$1:$I$89,3,0)*0.475*44/12</f>
        <v>2.4821103999962011E-24</v>
      </c>
      <c r="BS190" s="22">
        <f t="shared" si="169"/>
        <v>0.33198080767942684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574.49999999999989</v>
      </c>
      <c r="BZ190" s="13">
        <f>BY190*VLOOKUP('Données projet'!$B$12,Paramètres!$A$1:$I$89,3,0)*VLOOKUP('Données projet'!$B$12,Paramètres!$A$1:$I$89,5,0)</f>
        <v>268.86599999999999</v>
      </c>
      <c r="CA190" s="13">
        <f t="shared" si="170"/>
        <v>64.608546947682441</v>
      </c>
      <c r="CB190" s="20">
        <f t="shared" si="171"/>
        <v>580.80150260054677</v>
      </c>
      <c r="CC190" s="59">
        <f t="shared" si="119"/>
        <v>874.13483593388014</v>
      </c>
      <c r="CD190" s="59">
        <f ca="1">AVERAGE(OFFSET($CC$3,0,0,'Données projet'!$E$12+1,1))-AVERAGE(OFFSET($H$3,0,0,'Données projet'!$E$12+1,1))</f>
        <v>226.0452828290525</v>
      </c>
      <c r="CE190" s="59">
        <f t="shared" si="148"/>
        <v>179.89696397462069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0.40510530710066756</v>
      </c>
      <c r="CL190" s="21">
        <f>EXP(-LN(2)/25)*CL189+(1-EXP(-LN(2)/25))/(LN(2)/25)*Calculateur!CG190*Calculateur!CI190*VLOOKUP('Données projet'!$B$12,Paramètres!$A$1:$I$89,3,0)*0.475*44/12</f>
        <v>0.14350198689281438</v>
      </c>
      <c r="CM190" s="21">
        <f>EXP(-LN(2)/2)*CM189+(1-EXP(-LN(2)/2))/(LN(2)/2)*CG190*CJ190*VLOOKUP('Données projet'!$B$12,Paramètres!$A$1:$I$89,3,0)*0.475*44/12</f>
        <v>2.5836725538356262E-23</v>
      </c>
      <c r="CN190" s="22">
        <f t="shared" si="172"/>
        <v>0.54860729399348196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482.74318690313885</v>
      </c>
      <c r="CZ190" s="59">
        <f t="shared" si="150"/>
        <v>205.57161411620217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0.51233495141233998</v>
      </c>
      <c r="DG190" s="21">
        <f>EXP(-LN(2)/25)*DG189+(1-EXP(-LN(2)/25))/(LN(2)/25)*Calculateur!DB190*Calculateur!DD190*VLOOKUP('Données projet'!$B$13,Paramètres!$A$1:$I$89,3,0)*0.475*44/12</f>
        <v>0.12131354743935993</v>
      </c>
      <c r="DH190" s="21">
        <f>EXP(-LN(2)/2)*DH189+(1-EXP(-LN(2)/2))/(LN(2)/2)*DB190*DE190*VLOOKUP('Données projet'!$B$13,Paramètres!$A$1:$I$89,3,0)*0.475*44/12</f>
        <v>1.0596130965341892E-23</v>
      </c>
      <c r="DI190" s="22">
        <f t="shared" si="175"/>
        <v>0.63364849885169994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2.2737367544323206E-13</v>
      </c>
      <c r="DP190" s="17">
        <f>DO190*VLOOKUP('Données projet'!$B$14,Paramètres!$A$1:$I$89,3,0)*VLOOKUP('Données projet'!$B$14,Paramètres!$A$1:$I$89,5,0)</f>
        <v>1.0936673788819462E-13</v>
      </c>
      <c r="DQ190" s="13">
        <f t="shared" si="176"/>
        <v>1.6259645746645945E-12</v>
      </c>
      <c r="DR190" s="20">
        <f t="shared" si="177"/>
        <v>3.0223687026961078E-12</v>
      </c>
      <c r="DS190" s="59">
        <f t="shared" si="125"/>
        <v>293.33333333333633</v>
      </c>
      <c r="DT190" s="59">
        <f ca="1">AVERAGE(OFFSET($DS$3,0,0,'Données projet'!$E$14+1,1))-AVERAGE(OFFSET($H$3,0,0,'Données projet'!$E$14+1,1))</f>
        <v>247.11965163963526</v>
      </c>
      <c r="DU190" s="59">
        <f t="shared" si="152"/>
        <v>61.686311966192704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0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-1.0286385077051818E-13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265.50419397354284</v>
      </c>
      <c r="T191" s="59">
        <f t="shared" si="142"/>
        <v>156.67965022779907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0.14584356012398847</v>
      </c>
      <c r="AA191" s="21">
        <f>EXP(-LN(2)/25)*AA190+(1-EXP(-LN(2)/25))/(LN(2)/25)*Calculateur!V191*Calculateur!X191*VLOOKUP('Données projet'!$B$9,Paramètres!$A$1:$I$89,3,0)*0.475*44/12</f>
        <v>5.2511654252326366E-2</v>
      </c>
      <c r="AB191" s="21">
        <f>EXP(-LN(2)/2)*AB190+(1-EXP(-LN(2)/2))/(LN(2)/2)*V191*Y191*VLOOKUP('Données projet'!$B$9,Paramètres!$A$1:$I$89,3,0)*0.475*44/12</f>
        <v>1.0096104999096213E-23</v>
      </c>
      <c r="AC191" s="22">
        <f t="shared" si="163"/>
        <v>0.19835521437631484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-1.1527845344971866E-13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296.43642006376018</v>
      </c>
      <c r="AO191" s="59">
        <f t="shared" si="144"/>
        <v>179.56041631665812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0.16344536910446983</v>
      </c>
      <c r="AV191" s="21">
        <f>EXP(-LN(2)/25)*AV190+(1-EXP(-LN(2)/25))/(LN(2)/25)*Calculateur!AQ191*Calculateur!AS191*VLOOKUP('Données projet'!$B$10,Paramètres!$A$1:$I$89,3,0)*0.475*44/12</f>
        <v>5.884926769657256E-2</v>
      </c>
      <c r="AW191" s="21">
        <f>EXP(-LN(2)/2)*AW190+(1-EXP(-LN(2)/2))/(LN(2)/2)*AQ191*AT191*VLOOKUP('Données projet'!$B$10,Paramètres!$A$1:$I$89,3,0)*0.475*44/12</f>
        <v>1.1314600430021621E-23</v>
      </c>
      <c r="AX191" s="21">
        <f t="shared" si="166"/>
        <v>0.22229463680104239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5.6843418860808015E-14</v>
      </c>
      <c r="BE191" s="13">
        <f>BD191*VLOOKUP('Données projet'!$B$11,Paramètres!$A$1:$I$89,3,0)*VLOOKUP('Données projet'!$B$11,Paramètres!$A$1:$I$89,5,0)</f>
        <v>3.813056537183002E-14</v>
      </c>
      <c r="BF191" s="13">
        <f t="shared" si="167"/>
        <v>6.4086286045526829E-13</v>
      </c>
      <c r="BG191" s="20">
        <f t="shared" si="168"/>
        <v>1.1825802166488628E-12</v>
      </c>
      <c r="BH191" s="59">
        <f t="shared" si="116"/>
        <v>293.33333333333451</v>
      </c>
      <c r="BI191" s="59">
        <f ca="1">AVERAGE(OFFSET($BH$3,0,0,'Données projet'!$E$11+1,1))-AVERAGE(OFFSET($H$3,0,0,'Données projet'!$E$11+1,1))</f>
        <v>181.32837315090507</v>
      </c>
      <c r="BJ191" s="59">
        <f t="shared" si="146"/>
        <v>175.03267817980338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0.23965002204409952</v>
      </c>
      <c r="BQ191" s="21">
        <f>EXP(-LN(2)/25)*BQ190+(1-EXP(-LN(2)/25))/(LN(2)/25)*Calculateur!BL191*Calculateur!BN191*VLOOKUP('Données projet'!$B$11,Paramètres!$A$1:$I$89,3,0)*0.475*44/12</f>
        <v>8.5143684703992681E-2</v>
      </c>
      <c r="BR191" s="21">
        <f>EXP(-LN(2)/2)*BR190+(1-EXP(-LN(2)/2))/(LN(2)/2)*BL191*BO191*VLOOKUP('Données projet'!$B$11,Paramètres!$A$1:$I$89,3,0)*0.475*44/12</f>
        <v>1.7551170954909677E-24</v>
      </c>
      <c r="BS191" s="22">
        <f t="shared" si="169"/>
        <v>0.32479370674809221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574.49999999999989</v>
      </c>
      <c r="BZ191" s="13">
        <f>BY191*VLOOKUP('Données projet'!$B$12,Paramètres!$A$1:$I$89,3,0)*VLOOKUP('Données projet'!$B$12,Paramètres!$A$1:$I$89,5,0)</f>
        <v>268.86599999999999</v>
      </c>
      <c r="CA191" s="13">
        <f t="shared" si="170"/>
        <v>64.608546947682441</v>
      </c>
      <c r="CB191" s="20">
        <f t="shared" si="171"/>
        <v>580.80150260054677</v>
      </c>
      <c r="CC191" s="59">
        <f t="shared" si="119"/>
        <v>874.13483593388014</v>
      </c>
      <c r="CD191" s="59">
        <f ca="1">AVERAGE(OFFSET($CC$3,0,0,'Données projet'!$E$12+1,1))-AVERAGE(OFFSET($H$3,0,0,'Données projet'!$E$12+1,1))</f>
        <v>226.0452828290525</v>
      </c>
      <c r="CE191" s="59">
        <f t="shared" si="148"/>
        <v>179.89696397462069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0.39716143911826268</v>
      </c>
      <c r="CL191" s="21">
        <f>EXP(-LN(2)/25)*CL190+(1-EXP(-LN(2)/25))/(LN(2)/25)*Calculateur!CG191*Calculateur!CI191*VLOOKUP('Données projet'!$B$12,Paramètres!$A$1:$I$89,3,0)*0.475*44/12</f>
        <v>0.13957791751478885</v>
      </c>
      <c r="CM191" s="21">
        <f>EXP(-LN(2)/2)*CM190+(1-EXP(-LN(2)/2))/(LN(2)/2)*CG191*CJ191*VLOOKUP('Données projet'!$B$12,Paramètres!$A$1:$I$89,3,0)*0.475*44/12</f>
        <v>1.8269323831827368E-23</v>
      </c>
      <c r="CN191" s="22">
        <f t="shared" si="172"/>
        <v>0.5367393566330515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482.74318690313885</v>
      </c>
      <c r="CZ191" s="59">
        <f t="shared" si="150"/>
        <v>205.57161411620217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0.50228837550860816</v>
      </c>
      <c r="DG191" s="21">
        <f>EXP(-LN(2)/25)*DG190+(1-EXP(-LN(2)/25))/(LN(2)/25)*Calculateur!DB191*Calculateur!DD191*VLOOKUP('Données projet'!$B$13,Paramètres!$A$1:$I$89,3,0)*0.475*44/12</f>
        <v>0.11799622210502844</v>
      </c>
      <c r="DH191" s="21">
        <f>EXP(-LN(2)/2)*DH190+(1-EXP(-LN(2)/2))/(LN(2)/2)*DB191*DE191*VLOOKUP('Données projet'!$B$13,Paramètres!$A$1:$I$89,3,0)*0.475*44/12</f>
        <v>7.4925960599340096E-24</v>
      </c>
      <c r="DI191" s="22">
        <f t="shared" si="175"/>
        <v>0.62028459761363663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2.2737367544323206E-13</v>
      </c>
      <c r="DP191" s="17">
        <f>DO191*VLOOKUP('Données projet'!$B$14,Paramètres!$A$1:$I$89,3,0)*VLOOKUP('Données projet'!$B$14,Paramètres!$A$1:$I$89,5,0)</f>
        <v>1.0936673788819462E-13</v>
      </c>
      <c r="DQ191" s="13">
        <f t="shared" si="176"/>
        <v>1.6259645746645945E-12</v>
      </c>
      <c r="DR191" s="20">
        <f t="shared" si="177"/>
        <v>3.0223687026961078E-12</v>
      </c>
      <c r="DS191" s="59">
        <f t="shared" si="125"/>
        <v>293.33333333333633</v>
      </c>
      <c r="DT191" s="59">
        <f ca="1">AVERAGE(OFFSET($DS$3,0,0,'Données projet'!$E$14+1,1))-AVERAGE(OFFSET($H$3,0,0,'Données projet'!$E$14+1,1))</f>
        <v>247.11965163963526</v>
      </c>
      <c r="DU191" s="59">
        <f t="shared" si="152"/>
        <v>61.686311966192704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0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-1.0286385077051818E-13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265.50419397354284</v>
      </c>
      <c r="T192" s="59">
        <f t="shared" si="142"/>
        <v>156.67965022779907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0.14298365686574507</v>
      </c>
      <c r="AA192" s="21">
        <f>EXP(-LN(2)/25)*AA191+(1-EXP(-LN(2)/25))/(LN(2)/25)*Calculateur!V192*Calculateur!X192*VLOOKUP('Données projet'!$B$9,Paramètres!$A$1:$I$89,3,0)*0.475*44/12</f>
        <v>5.1075720305328622E-2</v>
      </c>
      <c r="AB192" s="21">
        <f>EXP(-LN(2)/2)*AB191+(1-EXP(-LN(2)/2))/(LN(2)/2)*V192*Y192*VLOOKUP('Données projet'!$B$9,Paramètres!$A$1:$I$89,3,0)*0.475*44/12</f>
        <v>7.1390243084323342E-24</v>
      </c>
      <c r="AC192" s="22">
        <f t="shared" si="163"/>
        <v>0.19405937717107369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-1.1527845344971866E-13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296.43642006376018</v>
      </c>
      <c r="AO192" s="59">
        <f t="shared" si="144"/>
        <v>179.56041631665812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0.16024030510816259</v>
      </c>
      <c r="AV192" s="21">
        <f>EXP(-LN(2)/25)*AV191+(1-EXP(-LN(2)/25))/(LN(2)/25)*Calculateur!AQ192*Calculateur!AS192*VLOOKUP('Données projet'!$B$10,Paramètres!$A$1:$I$89,3,0)*0.475*44/12</f>
        <v>5.7240031376661296E-2</v>
      </c>
      <c r="AW192" s="21">
        <f>EXP(-LN(2)/2)*AW191+(1-EXP(-LN(2)/2))/(LN(2)/2)*AQ192*AT192*VLOOKUP('Données projet'!$B$10,Paramètres!$A$1:$I$89,3,0)*0.475*44/12</f>
        <v>8.000630690484515E-24</v>
      </c>
      <c r="AX192" s="21">
        <f t="shared" si="166"/>
        <v>0.2174803364848239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5.6843418860808015E-14</v>
      </c>
      <c r="BE192" s="13">
        <f>BD192*VLOOKUP('Données projet'!$B$11,Paramètres!$A$1:$I$89,3,0)*VLOOKUP('Données projet'!$B$11,Paramètres!$A$1:$I$89,5,0)</f>
        <v>3.813056537183002E-14</v>
      </c>
      <c r="BF192" s="13">
        <f t="shared" si="167"/>
        <v>6.4086286045526829E-13</v>
      </c>
      <c r="BG192" s="20">
        <f t="shared" si="168"/>
        <v>1.1825802166488628E-12</v>
      </c>
      <c r="BH192" s="59">
        <f t="shared" si="116"/>
        <v>293.33333333333451</v>
      </c>
      <c r="BI192" s="59">
        <f ca="1">AVERAGE(OFFSET($BH$3,0,0,'Données projet'!$E$11+1,1))-AVERAGE(OFFSET($H$3,0,0,'Données projet'!$E$11+1,1))</f>
        <v>181.32837315090507</v>
      </c>
      <c r="BJ192" s="59">
        <f t="shared" si="146"/>
        <v>175.03267817980338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0.23495063128389487</v>
      </c>
      <c r="BQ192" s="21">
        <f>EXP(-LN(2)/25)*BQ191+(1-EXP(-LN(2)/25))/(LN(2)/25)*Calculateur!BL192*Calculateur!BN192*VLOOKUP('Données projet'!$B$11,Paramètres!$A$1:$I$89,3,0)*0.475*44/12</f>
        <v>8.2815426168250217E-2</v>
      </c>
      <c r="BR192" s="21">
        <f>EXP(-LN(2)/2)*BR191+(1-EXP(-LN(2)/2))/(LN(2)/2)*BL192*BO192*VLOOKUP('Données projet'!$B$11,Paramètres!$A$1:$I$89,3,0)*0.475*44/12</f>
        <v>1.2410551999981005E-24</v>
      </c>
      <c r="BS192" s="22">
        <f t="shared" si="169"/>
        <v>0.31776605745214509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574.49999999999989</v>
      </c>
      <c r="BZ192" s="13">
        <f>BY192*VLOOKUP('Données projet'!$B$12,Paramètres!$A$1:$I$89,3,0)*VLOOKUP('Données projet'!$B$12,Paramètres!$A$1:$I$89,5,0)</f>
        <v>268.86599999999999</v>
      </c>
      <c r="CA192" s="13">
        <f t="shared" si="170"/>
        <v>64.608546947682441</v>
      </c>
      <c r="CB192" s="20">
        <f t="shared" si="171"/>
        <v>580.80150260054677</v>
      </c>
      <c r="CC192" s="59">
        <f t="shared" si="119"/>
        <v>874.13483593388014</v>
      </c>
      <c r="CD192" s="59">
        <f ca="1">AVERAGE(OFFSET($CC$3,0,0,'Données projet'!$E$12+1,1))-AVERAGE(OFFSET($H$3,0,0,'Données projet'!$E$12+1,1))</f>
        <v>226.0452828290525</v>
      </c>
      <c r="CE192" s="59">
        <f t="shared" si="148"/>
        <v>179.89696397462069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0.38937334554171177</v>
      </c>
      <c r="CL192" s="21">
        <f>EXP(-LN(2)/25)*CL191+(1-EXP(-LN(2)/25))/(LN(2)/25)*Calculateur!CG192*Calculateur!CI192*VLOOKUP('Données projet'!$B$12,Paramètres!$A$1:$I$89,3,0)*0.475*44/12</f>
        <v>0.13576115202026326</v>
      </c>
      <c r="CM192" s="21">
        <f>EXP(-LN(2)/2)*CM191+(1-EXP(-LN(2)/2))/(LN(2)/2)*CG192*CJ192*VLOOKUP('Données projet'!$B$12,Paramètres!$A$1:$I$89,3,0)*0.475*44/12</f>
        <v>1.2918362769178134E-23</v>
      </c>
      <c r="CN192" s="22">
        <f t="shared" si="172"/>
        <v>0.52513449756197506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482.74318690313885</v>
      </c>
      <c r="CZ192" s="59">
        <f t="shared" si="150"/>
        <v>205.57161411620217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0.49243880683054231</v>
      </c>
      <c r="DG192" s="21">
        <f>EXP(-LN(2)/25)*DG191+(1-EXP(-LN(2)/25))/(LN(2)/25)*Calculateur!DB192*Calculateur!DD192*VLOOKUP('Données projet'!$B$13,Paramètres!$A$1:$I$89,3,0)*0.475*44/12</f>
        <v>0.1147696092064148</v>
      </c>
      <c r="DH192" s="21">
        <f>EXP(-LN(2)/2)*DH191+(1-EXP(-LN(2)/2))/(LN(2)/2)*DB192*DE192*VLOOKUP('Données projet'!$B$13,Paramètres!$A$1:$I$89,3,0)*0.475*44/12</f>
        <v>5.2980654826709459E-24</v>
      </c>
      <c r="DI192" s="22">
        <f t="shared" si="175"/>
        <v>0.60720841603695708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2.2737367544323206E-13</v>
      </c>
      <c r="DP192" s="17">
        <f>DO192*VLOOKUP('Données projet'!$B$14,Paramètres!$A$1:$I$89,3,0)*VLOOKUP('Données projet'!$B$14,Paramètres!$A$1:$I$89,5,0)</f>
        <v>1.0936673788819462E-13</v>
      </c>
      <c r="DQ192" s="13">
        <f t="shared" si="176"/>
        <v>1.6259645746645945E-12</v>
      </c>
      <c r="DR192" s="20">
        <f t="shared" si="177"/>
        <v>3.0223687026961078E-12</v>
      </c>
      <c r="DS192" s="59">
        <f t="shared" si="125"/>
        <v>293.33333333333633</v>
      </c>
      <c r="DT192" s="59">
        <f ca="1">AVERAGE(OFFSET($DS$3,0,0,'Données projet'!$E$14+1,1))-AVERAGE(OFFSET($H$3,0,0,'Données projet'!$E$14+1,1))</f>
        <v>247.11965163963526</v>
      </c>
      <c r="DU192" s="59">
        <f t="shared" si="152"/>
        <v>61.686311966192704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0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-1.0286385077051818E-13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265.50419397354284</v>
      </c>
      <c r="T193" s="59">
        <f t="shared" si="142"/>
        <v>156.67965022779907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0.14017983456602709</v>
      </c>
      <c r="AA193" s="21">
        <f>EXP(-LN(2)/25)*AA192+(1-EXP(-LN(2)/25))/(LN(2)/25)*Calculateur!V193*Calculateur!X193*VLOOKUP('Données projet'!$B$9,Paramètres!$A$1:$I$89,3,0)*0.475*44/12</f>
        <v>4.9679052047624017E-2</v>
      </c>
      <c r="AB193" s="21">
        <f>EXP(-LN(2)/2)*AB192+(1-EXP(-LN(2)/2))/(LN(2)/2)*V193*Y193*VLOOKUP('Données projet'!$B$9,Paramètres!$A$1:$I$89,3,0)*0.475*44/12</f>
        <v>5.0480524995481063E-24</v>
      </c>
      <c r="AC193" s="22">
        <f t="shared" si="163"/>
        <v>0.18985888661365111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-1.1527845344971866E-13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296.43642006376018</v>
      </c>
      <c r="AO193" s="59">
        <f t="shared" si="144"/>
        <v>179.56041631665812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0.15709809046192691</v>
      </c>
      <c r="AV193" s="21">
        <f>EXP(-LN(2)/25)*AV192+(1-EXP(-LN(2)/25))/(LN(2)/25)*Calculateur!AQ193*Calculateur!AS193*VLOOKUP('Données projet'!$B$10,Paramètres!$A$1:$I$89,3,0)*0.475*44/12</f>
        <v>5.5674799708544068E-2</v>
      </c>
      <c r="AW193" s="21">
        <f>EXP(-LN(2)/2)*AW192+(1-EXP(-LN(2)/2))/(LN(2)/2)*AQ193*AT193*VLOOKUP('Données projet'!$B$10,Paramètres!$A$1:$I$89,3,0)*0.475*44/12</f>
        <v>5.6573002150108107E-24</v>
      </c>
      <c r="AX193" s="21">
        <f t="shared" si="166"/>
        <v>0.21277289017047096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5.6843418860808015E-14</v>
      </c>
      <c r="BE193" s="13">
        <f>BD193*VLOOKUP('Données projet'!$B$11,Paramètres!$A$1:$I$89,3,0)*VLOOKUP('Données projet'!$B$11,Paramètres!$A$1:$I$89,5,0)</f>
        <v>3.813056537183002E-14</v>
      </c>
      <c r="BF193" s="13">
        <f t="shared" si="167"/>
        <v>6.4086286045526829E-13</v>
      </c>
      <c r="BG193" s="20">
        <f t="shared" si="168"/>
        <v>1.1825802166488628E-12</v>
      </c>
      <c r="BH193" s="59">
        <f t="shared" si="116"/>
        <v>293.33333333333451</v>
      </c>
      <c r="BI193" s="59">
        <f ca="1">AVERAGE(OFFSET($BH$3,0,0,'Données projet'!$E$11+1,1))-AVERAGE(OFFSET($H$3,0,0,'Données projet'!$E$11+1,1))</f>
        <v>181.32837315090507</v>
      </c>
      <c r="BJ193" s="59">
        <f t="shared" si="146"/>
        <v>175.03267817980338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0.2303433927101525</v>
      </c>
      <c r="BQ193" s="21">
        <f>EXP(-LN(2)/25)*BQ192+(1-EXP(-LN(2)/25))/(LN(2)/25)*Calculateur!BL193*Calculateur!BN193*VLOOKUP('Données projet'!$B$11,Paramètres!$A$1:$I$89,3,0)*0.475*44/12</f>
        <v>8.0550833984605427E-2</v>
      </c>
      <c r="BR193" s="21">
        <f>EXP(-LN(2)/2)*BR192+(1-EXP(-LN(2)/2))/(LN(2)/2)*BL193*BO193*VLOOKUP('Données projet'!$B$11,Paramètres!$A$1:$I$89,3,0)*0.475*44/12</f>
        <v>8.7755854774548383E-25</v>
      </c>
      <c r="BS193" s="22">
        <f t="shared" si="169"/>
        <v>0.31089422669475791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574.49999999999989</v>
      </c>
      <c r="BZ193" s="13">
        <f>BY193*VLOOKUP('Données projet'!$B$12,Paramètres!$A$1:$I$89,3,0)*VLOOKUP('Données projet'!$B$12,Paramètres!$A$1:$I$89,5,0)</f>
        <v>268.86599999999999</v>
      </c>
      <c r="CA193" s="13">
        <f t="shared" si="170"/>
        <v>64.608546947682441</v>
      </c>
      <c r="CB193" s="20">
        <f t="shared" si="171"/>
        <v>580.80150260054677</v>
      </c>
      <c r="CC193" s="59">
        <f t="shared" si="119"/>
        <v>874.13483593388014</v>
      </c>
      <c r="CD193" s="59">
        <f ca="1">AVERAGE(OFFSET($CC$3,0,0,'Données projet'!$E$12+1,1))-AVERAGE(OFFSET($H$3,0,0,'Données projet'!$E$12+1,1))</f>
        <v>226.0452828290525</v>
      </c>
      <c r="CE193" s="59">
        <f t="shared" si="148"/>
        <v>179.89696397462069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0.38173797172992896</v>
      </c>
      <c r="CL193" s="21">
        <f>EXP(-LN(2)/25)*CL192+(1-EXP(-LN(2)/25))/(LN(2)/25)*Calculateur!CG193*Calculateur!CI193*VLOOKUP('Données projet'!$B$12,Paramètres!$A$1:$I$89,3,0)*0.475*44/12</f>
        <v>0.13204875617890047</v>
      </c>
      <c r="CM193" s="21">
        <f>EXP(-LN(2)/2)*CM192+(1-EXP(-LN(2)/2))/(LN(2)/2)*CG193*CJ193*VLOOKUP('Données projet'!$B$12,Paramètres!$A$1:$I$89,3,0)*0.475*44/12</f>
        <v>9.1346619159136856E-24</v>
      </c>
      <c r="CN193" s="22">
        <f t="shared" si="172"/>
        <v>0.5137867279088294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482.74318690313885</v>
      </c>
      <c r="CZ193" s="59">
        <f t="shared" si="150"/>
        <v>205.57161411620217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0.48278238218660963</v>
      </c>
      <c r="DG193" s="21">
        <f>EXP(-LN(2)/25)*DG192+(1-EXP(-LN(2)/25))/(LN(2)/25)*Calculateur!DB193*Calculateur!DD193*VLOOKUP('Données projet'!$B$13,Paramètres!$A$1:$I$89,3,0)*0.475*44/12</f>
        <v>0.11163122820719394</v>
      </c>
      <c r="DH193" s="21">
        <f>EXP(-LN(2)/2)*DH192+(1-EXP(-LN(2)/2))/(LN(2)/2)*DB193*DE193*VLOOKUP('Données projet'!$B$13,Paramètres!$A$1:$I$89,3,0)*0.475*44/12</f>
        <v>3.7462980299670048E-24</v>
      </c>
      <c r="DI193" s="22">
        <f t="shared" si="175"/>
        <v>0.59441361039380358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2.2737367544323206E-13</v>
      </c>
      <c r="DP193" s="17">
        <f>DO193*VLOOKUP('Données projet'!$B$14,Paramètres!$A$1:$I$89,3,0)*VLOOKUP('Données projet'!$B$14,Paramètres!$A$1:$I$89,5,0)</f>
        <v>1.0936673788819462E-13</v>
      </c>
      <c r="DQ193" s="13">
        <f t="shared" si="176"/>
        <v>1.6259645746645945E-12</v>
      </c>
      <c r="DR193" s="20">
        <f t="shared" si="177"/>
        <v>3.0223687026961078E-12</v>
      </c>
      <c r="DS193" s="59">
        <f t="shared" si="125"/>
        <v>293.33333333333633</v>
      </c>
      <c r="DT193" s="59">
        <f ca="1">AVERAGE(OFFSET($DS$3,0,0,'Données projet'!$E$14+1,1))-AVERAGE(OFFSET($H$3,0,0,'Données projet'!$E$14+1,1))</f>
        <v>247.11965163963526</v>
      </c>
      <c r="DU193" s="59">
        <f t="shared" si="152"/>
        <v>61.686311966192704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0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-1.0286385077051818E-13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265.50419397354284</v>
      </c>
      <c r="T194" s="59">
        <f t="shared" si="142"/>
        <v>156.67965022779907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0.13743099351144383</v>
      </c>
      <c r="AA194" s="21">
        <f>EXP(-LN(2)/25)*AA193+(1-EXP(-LN(2)/25))/(LN(2)/25)*Calculateur!V194*Calculateur!X194*VLOOKUP('Données projet'!$B$9,Paramètres!$A$1:$I$89,3,0)*0.475*44/12</f>
        <v>4.8320575756873936E-2</v>
      </c>
      <c r="AB194" s="21">
        <f>EXP(-LN(2)/2)*AB193+(1-EXP(-LN(2)/2))/(LN(2)/2)*V194*Y194*VLOOKUP('Données projet'!$B$9,Paramètres!$A$1:$I$89,3,0)*0.475*44/12</f>
        <v>3.5695121542161671E-24</v>
      </c>
      <c r="AC194" s="22">
        <f t="shared" si="163"/>
        <v>0.18575156926831776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-1.1527845344971866E-13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296.43642006376018</v>
      </c>
      <c r="AO194" s="59">
        <f t="shared" si="144"/>
        <v>179.56041631665812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0.15401749272834223</v>
      </c>
      <c r="AV194" s="21">
        <f>EXP(-LN(2)/25)*AV193+(1-EXP(-LN(2)/25))/(LN(2)/25)*Calculateur!AQ194*Calculateur!AS194*VLOOKUP('Données projet'!$B$10,Paramètres!$A$1:$I$89,3,0)*0.475*44/12</f>
        <v>5.4152369382703458E-2</v>
      </c>
      <c r="AW194" s="21">
        <f>EXP(-LN(2)/2)*AW193+(1-EXP(-LN(2)/2))/(LN(2)/2)*AQ194*AT194*VLOOKUP('Données projet'!$B$10,Paramètres!$A$1:$I$89,3,0)*0.475*44/12</f>
        <v>4.0003153452422575E-24</v>
      </c>
      <c r="AX194" s="21">
        <f t="shared" si="166"/>
        <v>0.20816986211104568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5.6843418860808015E-14</v>
      </c>
      <c r="BE194" s="13">
        <f>BD194*VLOOKUP('Données projet'!$B$11,Paramètres!$A$1:$I$89,3,0)*VLOOKUP('Données projet'!$B$11,Paramètres!$A$1:$I$89,5,0)</f>
        <v>3.813056537183002E-14</v>
      </c>
      <c r="BF194" s="13">
        <f t="shared" si="167"/>
        <v>6.4086286045526829E-13</v>
      </c>
      <c r="BG194" s="20">
        <f t="shared" si="168"/>
        <v>1.1825802166488628E-12</v>
      </c>
      <c r="BH194" s="59">
        <f t="shared" si="116"/>
        <v>293.33333333333451</v>
      </c>
      <c r="BI194" s="59">
        <f ca="1">AVERAGE(OFFSET($BH$3,0,0,'Données projet'!$E$11+1,1))-AVERAGE(OFFSET($H$3,0,0,'Données projet'!$E$11+1,1))</f>
        <v>181.32837315090507</v>
      </c>
      <c r="BJ194" s="59">
        <f t="shared" si="146"/>
        <v>175.03267817980338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0.22582649927470316</v>
      </c>
      <c r="BQ194" s="21">
        <f>EXP(-LN(2)/25)*BQ193+(1-EXP(-LN(2)/25))/(LN(2)/25)*Calculateur!BL194*Calculateur!BN194*VLOOKUP('Données projet'!$B$11,Paramètres!$A$1:$I$89,3,0)*0.475*44/12</f>
        <v>7.834816719331214E-2</v>
      </c>
      <c r="BR194" s="21">
        <f>EXP(-LN(2)/2)*BR193+(1-EXP(-LN(2)/2))/(LN(2)/2)*BL194*BO194*VLOOKUP('Données projet'!$B$11,Paramètres!$A$1:$I$89,3,0)*0.475*44/12</f>
        <v>6.2052759999905026E-25</v>
      </c>
      <c r="BS194" s="22">
        <f t="shared" si="169"/>
        <v>0.30417466646801528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574.49999999999989</v>
      </c>
      <c r="BZ194" s="13">
        <f>BY194*VLOOKUP('Données projet'!$B$12,Paramètres!$A$1:$I$89,3,0)*VLOOKUP('Données projet'!$B$12,Paramètres!$A$1:$I$89,5,0)</f>
        <v>268.86599999999999</v>
      </c>
      <c r="CA194" s="13">
        <f t="shared" si="170"/>
        <v>64.608546947682441</v>
      </c>
      <c r="CB194" s="20">
        <f t="shared" si="171"/>
        <v>580.80150260054677</v>
      </c>
      <c r="CC194" s="59">
        <f t="shared" si="119"/>
        <v>874.13483593388014</v>
      </c>
      <c r="CD194" s="59">
        <f ca="1">AVERAGE(OFFSET($CC$3,0,0,'Données projet'!$E$12+1,1))-AVERAGE(OFFSET($H$3,0,0,'Données projet'!$E$12+1,1))</f>
        <v>226.0452828290525</v>
      </c>
      <c r="CE194" s="59">
        <f t="shared" si="148"/>
        <v>179.89696397462069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0.37425232294147703</v>
      </c>
      <c r="CL194" s="21">
        <f>EXP(-LN(2)/25)*CL193+(1-EXP(-LN(2)/25))/(LN(2)/25)*Calculateur!CG194*Calculateur!CI194*VLOOKUP('Données projet'!$B$12,Paramètres!$A$1:$I$89,3,0)*0.475*44/12</f>
        <v>0.12843787599704615</v>
      </c>
      <c r="CM194" s="21">
        <f>EXP(-LN(2)/2)*CM193+(1-EXP(-LN(2)/2))/(LN(2)/2)*CG194*CJ194*VLOOKUP('Données projet'!$B$12,Paramètres!$A$1:$I$89,3,0)*0.475*44/12</f>
        <v>6.4591813845890678E-24</v>
      </c>
      <c r="CN194" s="22">
        <f t="shared" si="172"/>
        <v>0.50269019893852318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482.74318690313885</v>
      </c>
      <c r="CZ194" s="59">
        <f t="shared" si="150"/>
        <v>205.57161411620217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0.47331531414010702</v>
      </c>
      <c r="DG194" s="21">
        <f>EXP(-LN(2)/25)*DG193+(1-EXP(-LN(2)/25))/(LN(2)/25)*Calculateur!DB194*Calculateur!DD194*VLOOKUP('Données projet'!$B$13,Paramètres!$A$1:$I$89,3,0)*0.475*44/12</f>
        <v>0.10857866640143707</v>
      </c>
      <c r="DH194" s="21">
        <f>EXP(-LN(2)/2)*DH193+(1-EXP(-LN(2)/2))/(LN(2)/2)*DB194*DE194*VLOOKUP('Données projet'!$B$13,Paramètres!$A$1:$I$89,3,0)*0.475*44/12</f>
        <v>2.6490327413354729E-24</v>
      </c>
      <c r="DI194" s="22">
        <f t="shared" si="175"/>
        <v>0.58189398054154406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2.2737367544323206E-13</v>
      </c>
      <c r="DP194" s="17">
        <f>DO194*VLOOKUP('Données projet'!$B$14,Paramètres!$A$1:$I$89,3,0)*VLOOKUP('Données projet'!$B$14,Paramètres!$A$1:$I$89,5,0)</f>
        <v>1.0936673788819462E-13</v>
      </c>
      <c r="DQ194" s="13">
        <f t="shared" si="176"/>
        <v>1.6259645746645945E-12</v>
      </c>
      <c r="DR194" s="20">
        <f t="shared" si="177"/>
        <v>3.0223687026961078E-12</v>
      </c>
      <c r="DS194" s="59">
        <f t="shared" si="125"/>
        <v>293.33333333333633</v>
      </c>
      <c r="DT194" s="59">
        <f ca="1">AVERAGE(OFFSET($DS$3,0,0,'Données projet'!$E$14+1,1))-AVERAGE(OFFSET($H$3,0,0,'Données projet'!$E$14+1,1))</f>
        <v>247.11965163963526</v>
      </c>
      <c r="DU194" s="59">
        <f t="shared" si="152"/>
        <v>61.686311966192704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0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-1.0286385077051818E-13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265.50419397354284</v>
      </c>
      <c r="T195" s="59">
        <f t="shared" si="142"/>
        <v>156.67965022779907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0.13473605555331347</v>
      </c>
      <c r="AA195" s="21">
        <f>EXP(-LN(2)/25)*AA194+(1-EXP(-LN(2)/25))/(LN(2)/25)*Calculateur!V195*Calculateur!X195*VLOOKUP('Données projet'!$B$9,Paramètres!$A$1:$I$89,3,0)*0.475*44/12</f>
        <v>4.6999247071733578E-2</v>
      </c>
      <c r="AB195" s="21">
        <f>EXP(-LN(2)/2)*AB194+(1-EXP(-LN(2)/2))/(LN(2)/2)*V195*Y195*VLOOKUP('Données projet'!$B$9,Paramètres!$A$1:$I$89,3,0)*0.475*44/12</f>
        <v>2.5240262497740531E-24</v>
      </c>
      <c r="AC195" s="22">
        <f t="shared" si="163"/>
        <v>0.18173530262504706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-1.1527845344971866E-13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296.43642006376018</v>
      </c>
      <c r="AO195" s="59">
        <f t="shared" si="144"/>
        <v>179.56041631665812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0.15099730363733405</v>
      </c>
      <c r="AV195" s="21">
        <f>EXP(-LN(2)/25)*AV194+(1-EXP(-LN(2)/25))/(LN(2)/25)*Calculateur!AQ195*Calculateur!AS195*VLOOKUP('Données projet'!$B$10,Paramètres!$A$1:$I$89,3,0)*0.475*44/12</f>
        <v>5.2671569994184091E-2</v>
      </c>
      <c r="AW195" s="21">
        <f>EXP(-LN(2)/2)*AW194+(1-EXP(-LN(2)/2))/(LN(2)/2)*AQ195*AT195*VLOOKUP('Données projet'!$B$10,Paramètres!$A$1:$I$89,3,0)*0.475*44/12</f>
        <v>2.8286501075054054E-24</v>
      </c>
      <c r="AX195" s="21">
        <f t="shared" si="166"/>
        <v>0.20366887363151814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5.6843418860808015E-14</v>
      </c>
      <c r="BE195" s="13">
        <f>BD195*VLOOKUP('Données projet'!$B$11,Paramètres!$A$1:$I$89,3,0)*VLOOKUP('Données projet'!$B$11,Paramètres!$A$1:$I$89,5,0)</f>
        <v>3.813056537183002E-14</v>
      </c>
      <c r="BF195" s="13">
        <f t="shared" si="167"/>
        <v>6.4086286045526829E-13</v>
      </c>
      <c r="BG195" s="20">
        <f t="shared" si="168"/>
        <v>1.1825802166488628E-12</v>
      </c>
      <c r="BH195" s="59">
        <f t="shared" si="116"/>
        <v>293.33333333333451</v>
      </c>
      <c r="BI195" s="59">
        <f ca="1">AVERAGE(OFFSET($BH$3,0,0,'Données projet'!$E$11+1,1))-AVERAGE(OFFSET($H$3,0,0,'Données projet'!$E$11+1,1))</f>
        <v>181.32837315090507</v>
      </c>
      <c r="BJ195" s="59">
        <f t="shared" si="146"/>
        <v>175.03267817980338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0.22139817936449005</v>
      </c>
      <c r="BQ195" s="21">
        <f>EXP(-LN(2)/25)*BQ194+(1-EXP(-LN(2)/25))/(LN(2)/25)*Calculateur!BL195*Calculateur!BN195*VLOOKUP('Données projet'!$B$11,Paramètres!$A$1:$I$89,3,0)*0.475*44/12</f>
        <v>7.6205732441259971E-2</v>
      </c>
      <c r="BR195" s="21">
        <f>EXP(-LN(2)/2)*BR194+(1-EXP(-LN(2)/2))/(LN(2)/2)*BL195*BO195*VLOOKUP('Données projet'!$B$11,Paramètres!$A$1:$I$89,3,0)*0.475*44/12</f>
        <v>4.3877927387274192E-25</v>
      </c>
      <c r="BS195" s="22">
        <f t="shared" si="169"/>
        <v>0.29760391180575002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574.49999999999989</v>
      </c>
      <c r="BZ195" s="13">
        <f>BY195*VLOOKUP('Données projet'!$B$12,Paramètres!$A$1:$I$89,3,0)*VLOOKUP('Données projet'!$B$12,Paramètres!$A$1:$I$89,5,0)</f>
        <v>268.86599999999999</v>
      </c>
      <c r="CA195" s="13">
        <f t="shared" si="170"/>
        <v>64.608546947682441</v>
      </c>
      <c r="CB195" s="20">
        <f t="shared" si="171"/>
        <v>580.80150260054677</v>
      </c>
      <c r="CC195" s="59">
        <f t="shared" si="119"/>
        <v>874.13483593388014</v>
      </c>
      <c r="CD195" s="59">
        <f ca="1">AVERAGE(OFFSET($CC$3,0,0,'Données projet'!$E$12+1,1))-AVERAGE(OFFSET($H$3,0,0,'Données projet'!$E$12+1,1))</f>
        <v>226.0452828290525</v>
      </c>
      <c r="CE195" s="59">
        <f t="shared" si="148"/>
        <v>179.89696397462069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0.36691346315997175</v>
      </c>
      <c r="CL195" s="21">
        <f>EXP(-LN(2)/25)*CL194+(1-EXP(-LN(2)/25))/(LN(2)/25)*Calculateur!CG195*Calculateur!CI195*VLOOKUP('Données projet'!$B$12,Paramètres!$A$1:$I$89,3,0)*0.475*44/12</f>
        <v>0.12492573552365258</v>
      </c>
      <c r="CM195" s="21">
        <f>EXP(-LN(2)/2)*CM194+(1-EXP(-LN(2)/2))/(LN(2)/2)*CG195*CJ195*VLOOKUP('Données projet'!$B$12,Paramètres!$A$1:$I$89,3,0)*0.475*44/12</f>
        <v>4.5673309579568435E-24</v>
      </c>
      <c r="CN195" s="22">
        <f t="shared" si="172"/>
        <v>0.49183919868362436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482.74318690313885</v>
      </c>
      <c r="CZ195" s="59">
        <f t="shared" si="150"/>
        <v>205.57161411620217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0.46403388952365499</v>
      </c>
      <c r="DG195" s="21">
        <f>EXP(-LN(2)/25)*DG194+(1-EXP(-LN(2)/25))/(LN(2)/25)*Calculateur!DB195*Calculateur!DD195*VLOOKUP('Données projet'!$B$13,Paramètres!$A$1:$I$89,3,0)*0.475*44/12</f>
        <v>0.10560957705878586</v>
      </c>
      <c r="DH195" s="21">
        <f>EXP(-LN(2)/2)*DH194+(1-EXP(-LN(2)/2))/(LN(2)/2)*DB195*DE195*VLOOKUP('Données projet'!$B$13,Paramètres!$A$1:$I$89,3,0)*0.475*44/12</f>
        <v>1.8731490149835024E-24</v>
      </c>
      <c r="DI195" s="22">
        <f t="shared" si="175"/>
        <v>0.56964346658244081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2.2737367544323206E-13</v>
      </c>
      <c r="DP195" s="17">
        <f>DO195*VLOOKUP('Données projet'!$B$14,Paramètres!$A$1:$I$89,3,0)*VLOOKUP('Données projet'!$B$14,Paramètres!$A$1:$I$89,5,0)</f>
        <v>1.0936673788819462E-13</v>
      </c>
      <c r="DQ195" s="13">
        <f t="shared" si="176"/>
        <v>1.6259645746645945E-12</v>
      </c>
      <c r="DR195" s="20">
        <f t="shared" si="177"/>
        <v>3.0223687026961078E-12</v>
      </c>
      <c r="DS195" s="59">
        <f t="shared" si="125"/>
        <v>293.33333333333633</v>
      </c>
      <c r="DT195" s="59">
        <f ca="1">AVERAGE(OFFSET($DS$3,0,0,'Données projet'!$E$14+1,1))-AVERAGE(OFFSET($H$3,0,0,'Données projet'!$E$14+1,1))</f>
        <v>247.11965163963526</v>
      </c>
      <c r="DU195" s="59">
        <f t="shared" si="152"/>
        <v>61.686311966192704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0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-1.0286385077051818E-13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265.50419397354284</v>
      </c>
      <c r="T196" s="59">
        <f t="shared" si="142"/>
        <v>156.67965022779907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0.1320939636847922</v>
      </c>
      <c r="AA196" s="21">
        <f>EXP(-LN(2)/25)*AA195+(1-EXP(-LN(2)/25))/(LN(2)/25)*Calculateur!V196*Calculateur!X196*VLOOKUP('Données projet'!$B$9,Paramètres!$A$1:$I$89,3,0)*0.475*44/12</f>
        <v>4.5714050188974037E-2</v>
      </c>
      <c r="AB196" s="21">
        <f>EXP(-LN(2)/2)*AB195+(1-EXP(-LN(2)/2))/(LN(2)/2)*V196*Y196*VLOOKUP('Données projet'!$B$9,Paramètres!$A$1:$I$89,3,0)*0.475*44/12</f>
        <v>1.7847560771080835E-24</v>
      </c>
      <c r="AC196" s="22">
        <f t="shared" si="163"/>
        <v>0.17780801387376624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-1.1527845344971866E-13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296.43642006376018</v>
      </c>
      <c r="AO196" s="59">
        <f t="shared" si="144"/>
        <v>179.56041631665812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0.14803633861226709</v>
      </c>
      <c r="AV196" s="21">
        <f>EXP(-LN(2)/25)*AV195+(1-EXP(-LN(2)/25))/(LN(2)/25)*Calculateur!AQ196*Calculateur!AS196*VLOOKUP('Données projet'!$B$10,Paramètres!$A$1:$I$89,3,0)*0.475*44/12</f>
        <v>5.123126314281564E-2</v>
      </c>
      <c r="AW196" s="21">
        <f>EXP(-LN(2)/2)*AW195+(1-EXP(-LN(2)/2))/(LN(2)/2)*AQ196*AT196*VLOOKUP('Données projet'!$B$10,Paramètres!$A$1:$I$89,3,0)*0.475*44/12</f>
        <v>2.0001576726211288E-24</v>
      </c>
      <c r="AX196" s="21">
        <f t="shared" si="166"/>
        <v>0.19926760175508273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5.6843418860808015E-14</v>
      </c>
      <c r="BE196" s="13">
        <f>BD196*VLOOKUP('Données projet'!$B$11,Paramètres!$A$1:$I$89,3,0)*VLOOKUP('Données projet'!$B$11,Paramètres!$A$1:$I$89,5,0)</f>
        <v>3.813056537183002E-14</v>
      </c>
      <c r="BF196" s="13">
        <f t="shared" si="167"/>
        <v>6.4086286045526829E-13</v>
      </c>
      <c r="BG196" s="20">
        <f t="shared" si="168"/>
        <v>1.1825802166488628E-12</v>
      </c>
      <c r="BH196" s="59">
        <f t="shared" ref="BH196:BH203" si="194">BG196+(AY196+AZ196)*44/12</f>
        <v>293.33333333333451</v>
      </c>
      <c r="BI196" s="59">
        <f ca="1">AVERAGE(OFFSET($BH$3,0,0,'Données projet'!$E$11+1,1))-AVERAGE(OFFSET($H$3,0,0,'Données projet'!$E$11+1,1))</f>
        <v>181.32837315090507</v>
      </c>
      <c r="BJ196" s="59">
        <f t="shared" si="146"/>
        <v>175.03267817980338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0.21705669610670777</v>
      </c>
      <c r="BQ196" s="21">
        <f>EXP(-LN(2)/25)*BQ195+(1-EXP(-LN(2)/25))/(LN(2)/25)*Calculateur!BL196*Calculateur!BN196*VLOOKUP('Données projet'!$B$11,Paramètres!$A$1:$I$89,3,0)*0.475*44/12</f>
        <v>7.4121882680168422E-2</v>
      </c>
      <c r="BR196" s="21">
        <f>EXP(-LN(2)/2)*BR195+(1-EXP(-LN(2)/2))/(LN(2)/2)*BL196*BO196*VLOOKUP('Données projet'!$B$11,Paramètres!$A$1:$I$89,3,0)*0.475*44/12</f>
        <v>3.1026379999952513E-25</v>
      </c>
      <c r="BS196" s="22">
        <f t="shared" si="169"/>
        <v>0.2911785787868762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574.49999999999989</v>
      </c>
      <c r="BZ196" s="13">
        <f>BY196*VLOOKUP('Données projet'!$B$12,Paramètres!$A$1:$I$89,3,0)*VLOOKUP('Données projet'!$B$12,Paramètres!$A$1:$I$89,5,0)</f>
        <v>268.86599999999999</v>
      </c>
      <c r="CA196" s="13">
        <f t="shared" si="170"/>
        <v>64.608546947682441</v>
      </c>
      <c r="CB196" s="20">
        <f t="shared" si="171"/>
        <v>580.80150260054677</v>
      </c>
      <c r="CC196" s="59">
        <f t="shared" ref="CC196:CC203" si="195">CB196+(BT196+BU196)*44/12</f>
        <v>874.13483593388014</v>
      </c>
      <c r="CD196" s="59">
        <f ca="1">AVERAGE(OFFSET($CC$3,0,0,'Données projet'!$E$12+1,1))-AVERAGE(OFFSET($H$3,0,0,'Données projet'!$E$12+1,1))</f>
        <v>226.0452828290525</v>
      </c>
      <c r="CE196" s="59">
        <f t="shared" si="148"/>
        <v>179.89696397462069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0.3597185139425193</v>
      </c>
      <c r="CL196" s="21">
        <f>EXP(-LN(2)/25)*CL195+(1-EXP(-LN(2)/25))/(LN(2)/25)*Calculateur!CG196*Calculateur!CI196*VLOOKUP('Données projet'!$B$12,Paramètres!$A$1:$I$89,3,0)*0.475*44/12</f>
        <v>0.12150963471619938</v>
      </c>
      <c r="CM196" s="21">
        <f>EXP(-LN(2)/2)*CM195+(1-EXP(-LN(2)/2))/(LN(2)/2)*CG196*CJ196*VLOOKUP('Données projet'!$B$12,Paramètres!$A$1:$I$89,3,0)*0.475*44/12</f>
        <v>3.2295906922945346E-24</v>
      </c>
      <c r="CN196" s="22">
        <f t="shared" si="172"/>
        <v>0.48122814865871866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482.74318690313885</v>
      </c>
      <c r="CZ196" s="59">
        <f t="shared" si="150"/>
        <v>205.57161411620217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0.45493446798282156</v>
      </c>
      <c r="DG196" s="21">
        <f>EXP(-LN(2)/25)*DG195+(1-EXP(-LN(2)/25))/(LN(2)/25)*Calculateur!DB196*Calculateur!DD196*VLOOKUP('Données projet'!$B$13,Paramètres!$A$1:$I$89,3,0)*0.475*44/12</f>
        <v>0.10272167762034708</v>
      </c>
      <c r="DH196" s="21">
        <f>EXP(-LN(2)/2)*DH195+(1-EXP(-LN(2)/2))/(LN(2)/2)*DB196*DE196*VLOOKUP('Données projet'!$B$13,Paramètres!$A$1:$I$89,3,0)*0.475*44/12</f>
        <v>1.3245163706677365E-24</v>
      </c>
      <c r="DI196" s="22">
        <f t="shared" si="175"/>
        <v>0.55765614560316867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2.2737367544323206E-13</v>
      </c>
      <c r="DP196" s="17">
        <f>DO196*VLOOKUP('Données projet'!$B$14,Paramètres!$A$1:$I$89,3,0)*VLOOKUP('Données projet'!$B$14,Paramètres!$A$1:$I$89,5,0)</f>
        <v>1.0936673788819462E-13</v>
      </c>
      <c r="DQ196" s="13">
        <f t="shared" si="176"/>
        <v>1.6259645746645945E-12</v>
      </c>
      <c r="DR196" s="20">
        <f t="shared" si="177"/>
        <v>3.0223687026961078E-12</v>
      </c>
      <c r="DS196" s="59">
        <f t="shared" ref="DS196:DS203" si="197">DR196+(DJ196+DK196)*44/12</f>
        <v>293.33333333333633</v>
      </c>
      <c r="DT196" s="59">
        <f ca="1">AVERAGE(OFFSET($DS$3,0,0,'Données projet'!$E$14+1,1))-AVERAGE(OFFSET($H$3,0,0,'Données projet'!$E$14+1,1))</f>
        <v>247.11965163963526</v>
      </c>
      <c r="DU196" s="59">
        <f t="shared" si="152"/>
        <v>61.686311966192704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0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-1.0286385077051818E-13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265.50419397354284</v>
      </c>
      <c r="T197" s="59">
        <f t="shared" ref="T197:T203" si="204">$T$3</f>
        <v>156.67965022779907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0.12950368162629572</v>
      </c>
      <c r="AA197" s="21">
        <f>EXP(-LN(2)/25)*AA196+(1-EXP(-LN(2)/25))/(LN(2)/25)*Calculateur!V197*Calculateur!X197*VLOOKUP('Données projet'!$B$9,Paramètres!$A$1:$I$89,3,0)*0.475*44/12</f>
        <v>4.4463997082559124E-2</v>
      </c>
      <c r="AB197" s="21">
        <f>EXP(-LN(2)/2)*AB196+(1-EXP(-LN(2)/2))/(LN(2)/2)*V197*Y197*VLOOKUP('Données projet'!$B$9,Paramètres!$A$1:$I$89,3,0)*0.475*44/12</f>
        <v>1.2620131248870266E-24</v>
      </c>
      <c r="AC197" s="22">
        <f t="shared" si="163"/>
        <v>0.17396767870885485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-1.1527845344971866E-13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296.43642006376018</v>
      </c>
      <c r="AO197" s="59">
        <f t="shared" ref="AO197:AO203" si="205">$AO$3</f>
        <v>179.56041631665812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0.14513343630533138</v>
      </c>
      <c r="AV197" s="21">
        <f>EXP(-LN(2)/25)*AV196+(1-EXP(-LN(2)/25))/(LN(2)/25)*Calculateur!AQ197*Calculateur!AS197*VLOOKUP('Données projet'!$B$10,Paramètres!$A$1:$I$89,3,0)*0.475*44/12</f>
        <v>4.9830341558040309E-2</v>
      </c>
      <c r="AW197" s="21">
        <f>EXP(-LN(2)/2)*AW196+(1-EXP(-LN(2)/2))/(LN(2)/2)*AQ197*AT197*VLOOKUP('Données projet'!$B$10,Paramètres!$A$1:$I$89,3,0)*0.475*44/12</f>
        <v>1.4143250537527027E-24</v>
      </c>
      <c r="AX197" s="21">
        <f t="shared" si="166"/>
        <v>0.19496377786337168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5.6843418860808015E-14</v>
      </c>
      <c r="BE197" s="13">
        <f>BD197*VLOOKUP('Données projet'!$B$11,Paramètres!$A$1:$I$89,3,0)*VLOOKUP('Données projet'!$B$11,Paramètres!$A$1:$I$89,5,0)</f>
        <v>3.813056537183002E-14</v>
      </c>
      <c r="BF197" s="13">
        <f t="shared" si="167"/>
        <v>6.4086286045526829E-13</v>
      </c>
      <c r="BG197" s="20">
        <f t="shared" si="168"/>
        <v>1.1825802166488628E-12</v>
      </c>
      <c r="BH197" s="59">
        <f t="shared" si="194"/>
        <v>293.33333333333451</v>
      </c>
      <c r="BI197" s="59">
        <f ca="1">AVERAGE(OFFSET($BH$3,0,0,'Données projet'!$E$11+1,1))-AVERAGE(OFFSET($H$3,0,0,'Données projet'!$E$11+1,1))</f>
        <v>181.32837315090507</v>
      </c>
      <c r="BJ197" s="59">
        <f t="shared" ref="BJ197:BJ203" si="206">$BJ$3</f>
        <v>175.03267817980338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0.21280034668756728</v>
      </c>
      <c r="BQ197" s="21">
        <f>EXP(-LN(2)/25)*BQ196+(1-EXP(-LN(2)/25))/(LN(2)/25)*Calculateur!BL197*Calculateur!BN197*VLOOKUP('Données projet'!$B$11,Paramètres!$A$1:$I$89,3,0)*0.475*44/12</f>
        <v>7.2095015900378812E-2</v>
      </c>
      <c r="BR197" s="21">
        <f>EXP(-LN(2)/2)*BR196+(1-EXP(-LN(2)/2))/(LN(2)/2)*BL197*BO197*VLOOKUP('Données projet'!$B$11,Paramètres!$A$1:$I$89,3,0)*0.475*44/12</f>
        <v>2.1938963693637096E-25</v>
      </c>
      <c r="BS197" s="22">
        <f t="shared" si="169"/>
        <v>0.28489536258794612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574.49999999999989</v>
      </c>
      <c r="BZ197" s="13">
        <f>BY197*VLOOKUP('Données projet'!$B$12,Paramètres!$A$1:$I$89,3,0)*VLOOKUP('Données projet'!$B$12,Paramètres!$A$1:$I$89,5,0)</f>
        <v>268.86599999999999</v>
      </c>
      <c r="CA197" s="13">
        <f t="shared" si="170"/>
        <v>64.608546947682441</v>
      </c>
      <c r="CB197" s="20">
        <f t="shared" si="171"/>
        <v>580.80150260054677</v>
      </c>
      <c r="CC197" s="59">
        <f t="shared" si="195"/>
        <v>874.13483593388014</v>
      </c>
      <c r="CD197" s="59">
        <f ca="1">AVERAGE(OFFSET($CC$3,0,0,'Données projet'!$E$12+1,1))-AVERAGE(OFFSET($H$3,0,0,'Données projet'!$E$12+1,1))</f>
        <v>226.0452828290525</v>
      </c>
      <c r="CE197" s="59">
        <f t="shared" ref="CE197:CE203" si="207">$CE$3</f>
        <v>179.89696397462069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0.35266465329073537</v>
      </c>
      <c r="CL197" s="21">
        <f>EXP(-LN(2)/25)*CL196+(1-EXP(-LN(2)/25))/(LN(2)/25)*Calculateur!CG197*Calculateur!CI197*VLOOKUP('Données projet'!$B$12,Paramètres!$A$1:$I$89,3,0)*0.475*44/12</f>
        <v>0.11818694736497093</v>
      </c>
      <c r="CM197" s="21">
        <f>EXP(-LN(2)/2)*CM196+(1-EXP(-LN(2)/2))/(LN(2)/2)*CG197*CJ197*VLOOKUP('Données projet'!$B$12,Paramètres!$A$1:$I$89,3,0)*0.475*44/12</f>
        <v>2.2836654789784221E-24</v>
      </c>
      <c r="CN197" s="22">
        <f t="shared" si="172"/>
        <v>0.4708516006557063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482.74318690313885</v>
      </c>
      <c r="CZ197" s="59">
        <f t="shared" ref="CZ197:CZ203" si="208">$CZ$3</f>
        <v>205.57161411620217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0.44601348054830475</v>
      </c>
      <c r="DG197" s="21">
        <f>EXP(-LN(2)/25)*DG196+(1-EXP(-LN(2)/25))/(LN(2)/25)*Calculateur!DB197*Calculateur!DD197*VLOOKUP('Données projet'!$B$13,Paramètres!$A$1:$I$89,3,0)*0.475*44/12</f>
        <v>9.9912747943920438E-2</v>
      </c>
      <c r="DH197" s="21">
        <f>EXP(-LN(2)/2)*DH196+(1-EXP(-LN(2)/2))/(LN(2)/2)*DB197*DE197*VLOOKUP('Données projet'!$B$13,Paramètres!$A$1:$I$89,3,0)*0.475*44/12</f>
        <v>9.365745074917512E-25</v>
      </c>
      <c r="DI197" s="22">
        <f t="shared" si="175"/>
        <v>0.54592622849222516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2.2737367544323206E-13</v>
      </c>
      <c r="DP197" s="17">
        <f>DO197*VLOOKUP('Données projet'!$B$14,Paramètres!$A$1:$I$89,3,0)*VLOOKUP('Données projet'!$B$14,Paramètres!$A$1:$I$89,5,0)</f>
        <v>1.0936673788819462E-13</v>
      </c>
      <c r="DQ197" s="13">
        <f t="shared" si="176"/>
        <v>1.6259645746645945E-12</v>
      </c>
      <c r="DR197" s="20">
        <f t="shared" si="177"/>
        <v>3.0223687026961078E-12</v>
      </c>
      <c r="DS197" s="59">
        <f t="shared" si="197"/>
        <v>293.33333333333633</v>
      </c>
      <c r="DT197" s="59">
        <f ca="1">AVERAGE(OFFSET($DS$3,0,0,'Données projet'!$E$14+1,1))-AVERAGE(OFFSET($H$3,0,0,'Données projet'!$E$14+1,1))</f>
        <v>247.11965163963526</v>
      </c>
      <c r="DU197" s="59">
        <f t="shared" ref="DU197:DU203" si="209">$DU$3</f>
        <v>61.686311966192704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0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-1.0286385077051818E-13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265.50419397354284</v>
      </c>
      <c r="T198" s="59">
        <f t="shared" si="204"/>
        <v>156.67965022779907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0.1269641934190503</v>
      </c>
      <c r="AA198" s="21">
        <f>EXP(-LN(2)/25)*AA197+(1-EXP(-LN(2)/25))/(LN(2)/25)*Calculateur!V198*Calculateur!X198*VLOOKUP('Données projet'!$B$9,Paramètres!$A$1:$I$89,3,0)*0.475*44/12</f>
        <v>4.3248126744076562E-2</v>
      </c>
      <c r="AB198" s="21">
        <f>EXP(-LN(2)/2)*AB197+(1-EXP(-LN(2)/2))/(LN(2)/2)*V198*Y198*VLOOKUP('Données projet'!$B$9,Paramètres!$A$1:$I$89,3,0)*0.475*44/12</f>
        <v>8.9237803855404177E-25</v>
      </c>
      <c r="AC198" s="22">
        <f t="shared" si="163"/>
        <v>0.17021232016312687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-1.1527845344971866E-13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296.43642006376018</v>
      </c>
      <c r="AO198" s="59">
        <f t="shared" si="205"/>
        <v>179.56041631665812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0.14228745814203908</v>
      </c>
      <c r="AV198" s="21">
        <f>EXP(-LN(2)/25)*AV197+(1-EXP(-LN(2)/25))/(LN(2)/25)*Calculateur!AQ198*Calculateur!AS198*VLOOKUP('Données projet'!$B$10,Paramètres!$A$1:$I$89,3,0)*0.475*44/12</f>
        <v>4.8467728247671919E-2</v>
      </c>
      <c r="AW198" s="21">
        <f>EXP(-LN(2)/2)*AW197+(1-EXP(-LN(2)/2))/(LN(2)/2)*AQ198*AT198*VLOOKUP('Données projet'!$B$10,Paramètres!$A$1:$I$89,3,0)*0.475*44/12</f>
        <v>1.0000788363105644E-24</v>
      </c>
      <c r="AX198" s="21">
        <f t="shared" si="166"/>
        <v>0.19075518638971101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5.6843418860808015E-14</v>
      </c>
      <c r="BE198" s="13">
        <f>BD198*VLOOKUP('Données projet'!$B$11,Paramètres!$A$1:$I$89,3,0)*VLOOKUP('Données projet'!$B$11,Paramètres!$A$1:$I$89,5,0)</f>
        <v>3.813056537183002E-14</v>
      </c>
      <c r="BF198" s="13">
        <f t="shared" si="167"/>
        <v>6.4086286045526829E-13</v>
      </c>
      <c r="BG198" s="20">
        <f t="shared" si="168"/>
        <v>1.1825802166488628E-12</v>
      </c>
      <c r="BH198" s="59">
        <f t="shared" si="194"/>
        <v>293.33333333333451</v>
      </c>
      <c r="BI198" s="59">
        <f ca="1">AVERAGE(OFFSET($BH$3,0,0,'Données projet'!$E$11+1,1))-AVERAGE(OFFSET($H$3,0,0,'Données projet'!$E$11+1,1))</f>
        <v>181.32837315090507</v>
      </c>
      <c r="BJ198" s="59">
        <f t="shared" si="206"/>
        <v>175.03267817980338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0.20862746168441934</v>
      </c>
      <c r="BQ198" s="21">
        <f>EXP(-LN(2)/25)*BQ197+(1-EXP(-LN(2)/25))/(LN(2)/25)*Calculateur!BL198*Calculateur!BN198*VLOOKUP('Données projet'!$B$11,Paramètres!$A$1:$I$89,3,0)*0.475*44/12</f>
        <v>7.0123573899270847E-2</v>
      </c>
      <c r="BR198" s="21">
        <f>EXP(-LN(2)/2)*BR197+(1-EXP(-LN(2)/2))/(LN(2)/2)*BL198*BO198*VLOOKUP('Données projet'!$B$11,Paramètres!$A$1:$I$89,3,0)*0.475*44/12</f>
        <v>1.5513189999976257E-25</v>
      </c>
      <c r="BS198" s="22">
        <f t="shared" si="169"/>
        <v>0.27875103558369019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574.49999999999989</v>
      </c>
      <c r="BZ198" s="13">
        <f>BY198*VLOOKUP('Données projet'!$B$12,Paramètres!$A$1:$I$89,3,0)*VLOOKUP('Données projet'!$B$12,Paramètres!$A$1:$I$89,5,0)</f>
        <v>268.86599999999999</v>
      </c>
      <c r="CA198" s="13">
        <f t="shared" si="170"/>
        <v>64.608546947682441</v>
      </c>
      <c r="CB198" s="20">
        <f t="shared" si="171"/>
        <v>580.80150260054677</v>
      </c>
      <c r="CC198" s="59">
        <f t="shared" si="195"/>
        <v>874.13483593388014</v>
      </c>
      <c r="CD198" s="59">
        <f ca="1">AVERAGE(OFFSET($CC$3,0,0,'Données projet'!$E$12+1,1))-AVERAGE(OFFSET($H$3,0,0,'Données projet'!$E$12+1,1))</f>
        <v>226.0452828290525</v>
      </c>
      <c r="CE198" s="59">
        <f t="shared" si="207"/>
        <v>179.89696397462069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0.34574911454390278</v>
      </c>
      <c r="CL198" s="21">
        <f>EXP(-LN(2)/25)*CL197+(1-EXP(-LN(2)/25))/(LN(2)/25)*Calculateur!CG198*Calculateur!CI198*VLOOKUP('Données projet'!$B$12,Paramètres!$A$1:$I$89,3,0)*0.475*44/12</f>
        <v>0.11495511907409435</v>
      </c>
      <c r="CM198" s="21">
        <f>EXP(-LN(2)/2)*CM197+(1-EXP(-LN(2)/2))/(LN(2)/2)*CG198*CJ198*VLOOKUP('Données projet'!$B$12,Paramètres!$A$1:$I$89,3,0)*0.475*44/12</f>
        <v>1.6147953461472675E-24</v>
      </c>
      <c r="CN198" s="22">
        <f t="shared" si="172"/>
        <v>0.46070423361799712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482.74318690313885</v>
      </c>
      <c r="CZ198" s="59">
        <f t="shared" si="208"/>
        <v>205.57161411620217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0.43726742823611375</v>
      </c>
      <c r="DG198" s="21">
        <f>EXP(-LN(2)/25)*DG197+(1-EXP(-LN(2)/25))/(LN(2)/25)*Calculateur!DB198*Calculateur!DD198*VLOOKUP('Données projet'!$B$13,Paramètres!$A$1:$I$89,3,0)*0.475*44/12</f>
        <v>9.7180628597210869E-2</v>
      </c>
      <c r="DH198" s="21">
        <f>EXP(-LN(2)/2)*DH197+(1-EXP(-LN(2)/2))/(LN(2)/2)*DB198*DE198*VLOOKUP('Données projet'!$B$13,Paramètres!$A$1:$I$89,3,0)*0.475*44/12</f>
        <v>6.6225818533386824E-25</v>
      </c>
      <c r="DI198" s="22">
        <f t="shared" si="175"/>
        <v>0.53444805683332464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2.2737367544323206E-13</v>
      </c>
      <c r="DP198" s="17">
        <f>DO198*VLOOKUP('Données projet'!$B$14,Paramètres!$A$1:$I$89,3,0)*VLOOKUP('Données projet'!$B$14,Paramètres!$A$1:$I$89,5,0)</f>
        <v>1.0936673788819462E-13</v>
      </c>
      <c r="DQ198" s="13">
        <f t="shared" si="176"/>
        <v>1.6259645746645945E-12</v>
      </c>
      <c r="DR198" s="20">
        <f t="shared" si="177"/>
        <v>3.0223687026961078E-12</v>
      </c>
      <c r="DS198" s="59">
        <f t="shared" si="197"/>
        <v>293.33333333333633</v>
      </c>
      <c r="DT198" s="59">
        <f ca="1">AVERAGE(OFFSET($DS$3,0,0,'Données projet'!$E$14+1,1))-AVERAGE(OFFSET($H$3,0,0,'Données projet'!$E$14+1,1))</f>
        <v>247.11965163963526</v>
      </c>
      <c r="DU198" s="59">
        <f t="shared" si="209"/>
        <v>61.686311966192704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0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-1.0286385077051818E-13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265.50419397354284</v>
      </c>
      <c r="T199" s="59">
        <f t="shared" si="204"/>
        <v>156.67965022779907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0.12447450302661409</v>
      </c>
      <c r="AA199" s="21">
        <f>EXP(-LN(2)/25)*AA198+(1-EXP(-LN(2)/25))/(LN(2)/25)*Calculateur!V199*Calculateur!X199*VLOOKUP('Données projet'!$B$9,Paramètres!$A$1:$I$89,3,0)*0.475*44/12</f>
        <v>4.2065504443939646E-2</v>
      </c>
      <c r="AB199" s="21">
        <f>EXP(-LN(2)/2)*AB198+(1-EXP(-LN(2)/2))/(LN(2)/2)*V199*Y199*VLOOKUP('Données projet'!$B$9,Paramètres!$A$1:$I$89,3,0)*0.475*44/12</f>
        <v>6.3100656244351329E-25</v>
      </c>
      <c r="AC199" s="22">
        <f t="shared" si="163"/>
        <v>0.16654000747055372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-1.1527845344971866E-13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296.43642006376018</v>
      </c>
      <c r="AO199" s="59">
        <f t="shared" si="205"/>
        <v>179.56041631665812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0.13949728787465368</v>
      </c>
      <c r="AV199" s="21">
        <f>EXP(-LN(2)/25)*AV198+(1-EXP(-LN(2)/25))/(LN(2)/25)*Calculateur!AQ199*Calculateur!AS199*VLOOKUP('Données projet'!$B$10,Paramètres!$A$1:$I$89,3,0)*0.475*44/12</f>
        <v>4.7142375669932277E-2</v>
      </c>
      <c r="AW199" s="21">
        <f>EXP(-LN(2)/2)*AW198+(1-EXP(-LN(2)/2))/(LN(2)/2)*AQ199*AT199*VLOOKUP('Données projet'!$B$10,Paramètres!$A$1:$I$89,3,0)*0.475*44/12</f>
        <v>7.0716252687635134E-25</v>
      </c>
      <c r="AX199" s="21">
        <f t="shared" si="166"/>
        <v>0.18663966354458594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5.6843418860808015E-14</v>
      </c>
      <c r="BE199" s="13">
        <f>BD199*VLOOKUP('Données projet'!$B$11,Paramètres!$A$1:$I$89,3,0)*VLOOKUP('Données projet'!$B$11,Paramètres!$A$1:$I$89,5,0)</f>
        <v>3.813056537183002E-14</v>
      </c>
      <c r="BF199" s="13">
        <f t="shared" si="167"/>
        <v>6.4086286045526829E-13</v>
      </c>
      <c r="BG199" s="20">
        <f t="shared" si="168"/>
        <v>1.1825802166488628E-12</v>
      </c>
      <c r="BH199" s="59">
        <f t="shared" si="194"/>
        <v>293.33333333333451</v>
      </c>
      <c r="BI199" s="59">
        <f ca="1">AVERAGE(OFFSET($BH$3,0,0,'Données projet'!$E$11+1,1))-AVERAGE(OFFSET($H$3,0,0,'Données projet'!$E$11+1,1))</f>
        <v>181.32837315090507</v>
      </c>
      <c r="BJ199" s="59">
        <f t="shared" si="206"/>
        <v>175.03267817980338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0.20453640441097459</v>
      </c>
      <c r="BQ199" s="21">
        <f>EXP(-LN(2)/25)*BQ198+(1-EXP(-LN(2)/25))/(LN(2)/25)*Calculateur!BL199*Calculateur!BN199*VLOOKUP('Données projet'!$B$11,Paramètres!$A$1:$I$89,3,0)*0.475*44/12</f>
        <v>6.8206041083356803E-2</v>
      </c>
      <c r="BR199" s="21">
        <f>EXP(-LN(2)/2)*BR198+(1-EXP(-LN(2)/2))/(LN(2)/2)*BL199*BO199*VLOOKUP('Données projet'!$B$11,Paramètres!$A$1:$I$89,3,0)*0.475*44/12</f>
        <v>1.0969481846818548E-25</v>
      </c>
      <c r="BS199" s="22">
        <f t="shared" si="169"/>
        <v>0.27274244549433141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574.49999999999989</v>
      </c>
      <c r="BZ199" s="13">
        <f>BY199*VLOOKUP('Données projet'!$B$12,Paramètres!$A$1:$I$89,3,0)*VLOOKUP('Données projet'!$B$12,Paramètres!$A$1:$I$89,5,0)</f>
        <v>268.86599999999999</v>
      </c>
      <c r="CA199" s="13">
        <f t="shared" si="170"/>
        <v>64.608546947682441</v>
      </c>
      <c r="CB199" s="20">
        <f t="shared" si="171"/>
        <v>580.80150260054677</v>
      </c>
      <c r="CC199" s="59">
        <f t="shared" si="195"/>
        <v>874.13483593388014</v>
      </c>
      <c r="CD199" s="59">
        <f ca="1">AVERAGE(OFFSET($CC$3,0,0,'Données projet'!$E$12+1,1))-AVERAGE(OFFSET($H$3,0,0,'Données projet'!$E$12+1,1))</f>
        <v>226.0452828290525</v>
      </c>
      <c r="CE199" s="59">
        <f t="shared" si="207"/>
        <v>179.89696397462069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0.33896918529383346</v>
      </c>
      <c r="CL199" s="21">
        <f>EXP(-LN(2)/25)*CL198+(1-EXP(-LN(2)/25))/(LN(2)/25)*Calculateur!CG199*Calculateur!CI199*VLOOKUP('Données projet'!$B$12,Paramètres!$A$1:$I$89,3,0)*0.475*44/12</f>
        <v>0.11181166529778626</v>
      </c>
      <c r="CM199" s="21">
        <f>EXP(-LN(2)/2)*CM198+(1-EXP(-LN(2)/2))/(LN(2)/2)*CG199*CJ199*VLOOKUP('Données projet'!$B$12,Paramètres!$A$1:$I$89,3,0)*0.475*44/12</f>
        <v>1.1418327394892113E-24</v>
      </c>
      <c r="CN199" s="22">
        <f t="shared" si="172"/>
        <v>0.45078085059161971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482.74318690313885</v>
      </c>
      <c r="CZ199" s="59">
        <f t="shared" si="208"/>
        <v>205.57161411620217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0.42869288067519967</v>
      </c>
      <c r="DG199" s="21">
        <f>EXP(-LN(2)/25)*DG198+(1-EXP(-LN(2)/25))/(LN(2)/25)*Calculateur!DB199*Calculateur!DD199*VLOOKUP('Données projet'!$B$13,Paramètres!$A$1:$I$89,3,0)*0.475*44/12</f>
        <v>9.452321919771299E-2</v>
      </c>
      <c r="DH199" s="21">
        <f>EXP(-LN(2)/2)*DH198+(1-EXP(-LN(2)/2))/(LN(2)/2)*DB199*DE199*VLOOKUP('Données projet'!$B$13,Paramètres!$A$1:$I$89,3,0)*0.475*44/12</f>
        <v>4.682872537458756E-25</v>
      </c>
      <c r="DI199" s="22">
        <f t="shared" si="175"/>
        <v>0.52321609987291262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2.2737367544323206E-13</v>
      </c>
      <c r="DP199" s="17">
        <f>DO199*VLOOKUP('Données projet'!$B$14,Paramètres!$A$1:$I$89,3,0)*VLOOKUP('Données projet'!$B$14,Paramètres!$A$1:$I$89,5,0)</f>
        <v>1.0936673788819462E-13</v>
      </c>
      <c r="DQ199" s="13">
        <f t="shared" si="176"/>
        <v>1.6259645746645945E-12</v>
      </c>
      <c r="DR199" s="20">
        <f t="shared" si="177"/>
        <v>3.0223687026961078E-12</v>
      </c>
      <c r="DS199" s="59">
        <f t="shared" si="197"/>
        <v>293.33333333333633</v>
      </c>
      <c r="DT199" s="59">
        <f ca="1">AVERAGE(OFFSET($DS$3,0,0,'Données projet'!$E$14+1,1))-AVERAGE(OFFSET($H$3,0,0,'Données projet'!$E$14+1,1))</f>
        <v>247.11965163963526</v>
      </c>
      <c r="DU199" s="59">
        <f t="shared" si="209"/>
        <v>61.686311966192704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0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-1.0286385077051818E-13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265.50419397354284</v>
      </c>
      <c r="T200" s="59">
        <f t="shared" si="204"/>
        <v>156.67965022779907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0.12203363394421236</v>
      </c>
      <c r="AA200" s="21">
        <f>EXP(-LN(2)/25)*AA199+(1-EXP(-LN(2)/25))/(LN(2)/25)*Calculateur!V200*Calculateur!X200*VLOOKUP('Données projet'!$B$9,Paramètres!$A$1:$I$89,3,0)*0.475*44/12</f>
        <v>4.0915221012791381E-2</v>
      </c>
      <c r="AB200" s="21">
        <f>EXP(-LN(2)/2)*AB199+(1-EXP(-LN(2)/2))/(LN(2)/2)*V200*Y200*VLOOKUP('Données projet'!$B$9,Paramètres!$A$1:$I$89,3,0)*0.475*44/12</f>
        <v>4.4618901927702089E-25</v>
      </c>
      <c r="AC200" s="22">
        <f t="shared" si="163"/>
        <v>0.16294885495700373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-1.1527845344971866E-13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296.43642006376018</v>
      </c>
      <c r="AO200" s="59">
        <f t="shared" si="205"/>
        <v>179.56041631665812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0.13676183114437587</v>
      </c>
      <c r="AV200" s="21">
        <f>EXP(-LN(2)/25)*AV199+(1-EXP(-LN(2)/25))/(LN(2)/25)*Calculateur!AQ200*Calculateur!AS200*VLOOKUP('Données projet'!$B$10,Paramètres!$A$1:$I$89,3,0)*0.475*44/12</f>
        <v>4.585326492812819E-2</v>
      </c>
      <c r="AW200" s="21">
        <f>EXP(-LN(2)/2)*AW199+(1-EXP(-LN(2)/2))/(LN(2)/2)*AQ200*AT200*VLOOKUP('Données projet'!$B$10,Paramètres!$A$1:$I$89,3,0)*0.475*44/12</f>
        <v>5.0003941815528219E-25</v>
      </c>
      <c r="AX200" s="21">
        <f t="shared" si="166"/>
        <v>0.18261509607250406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5.6843418860808015E-14</v>
      </c>
      <c r="BE200" s="13">
        <f>BD200*VLOOKUP('Données projet'!$B$11,Paramètres!$A$1:$I$89,3,0)*VLOOKUP('Données projet'!$B$11,Paramètres!$A$1:$I$89,5,0)</f>
        <v>3.813056537183002E-14</v>
      </c>
      <c r="BF200" s="13">
        <f t="shared" si="167"/>
        <v>6.4086286045526829E-13</v>
      </c>
      <c r="BG200" s="20">
        <f t="shared" si="168"/>
        <v>1.1825802166488628E-12</v>
      </c>
      <c r="BH200" s="59">
        <f t="shared" si="194"/>
        <v>293.33333333333451</v>
      </c>
      <c r="BI200" s="59">
        <f ca="1">AVERAGE(OFFSET($BH$3,0,0,'Données projet'!$E$11+1,1))-AVERAGE(OFFSET($H$3,0,0,'Données projet'!$E$11+1,1))</f>
        <v>181.32837315090507</v>
      </c>
      <c r="BJ200" s="59">
        <f t="shared" si="206"/>
        <v>175.03267817980338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0.20052557027536355</v>
      </c>
      <c r="BQ200" s="21">
        <f>EXP(-LN(2)/25)*BQ199+(1-EXP(-LN(2)/25))/(LN(2)/25)*Calculateur!BL200*Calculateur!BN200*VLOOKUP('Données projet'!$B$11,Paramètres!$A$1:$I$89,3,0)*0.475*44/12</f>
        <v>6.6340943303132602E-2</v>
      </c>
      <c r="BR200" s="21">
        <f>EXP(-LN(2)/2)*BR199+(1-EXP(-LN(2)/2))/(LN(2)/2)*BL200*BO200*VLOOKUP('Données projet'!$B$11,Paramètres!$A$1:$I$89,3,0)*0.475*44/12</f>
        <v>7.7565949999881283E-26</v>
      </c>
      <c r="BS200" s="22">
        <f t="shared" si="169"/>
        <v>0.26686651357849617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574.49999999999989</v>
      </c>
      <c r="BZ200" s="13">
        <f>BY200*VLOOKUP('Données projet'!$B$12,Paramètres!$A$1:$I$89,3,0)*VLOOKUP('Données projet'!$B$12,Paramètres!$A$1:$I$89,5,0)</f>
        <v>268.86599999999999</v>
      </c>
      <c r="CA200" s="13">
        <f t="shared" si="170"/>
        <v>64.608546947682441</v>
      </c>
      <c r="CB200" s="20">
        <f t="shared" si="171"/>
        <v>580.80150260054677</v>
      </c>
      <c r="CC200" s="59">
        <f t="shared" si="195"/>
        <v>874.13483593388014</v>
      </c>
      <c r="CD200" s="59">
        <f ca="1">AVERAGE(OFFSET($CC$3,0,0,'Données projet'!$E$12+1,1))-AVERAGE(OFFSET($H$3,0,0,'Données projet'!$E$12+1,1))</f>
        <v>226.0452828290525</v>
      </c>
      <c r="CE200" s="59">
        <f t="shared" si="207"/>
        <v>179.89696397462069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0.33232220632100945</v>
      </c>
      <c r="CL200" s="21">
        <f>EXP(-LN(2)/25)*CL199+(1-EXP(-LN(2)/25))/(LN(2)/25)*Calculateur!CG200*Calculateur!CI200*VLOOKUP('Données projet'!$B$12,Paramètres!$A$1:$I$89,3,0)*0.475*44/12</f>
        <v>0.10875416943029836</v>
      </c>
      <c r="CM200" s="21">
        <f>EXP(-LN(2)/2)*CM199+(1-EXP(-LN(2)/2))/(LN(2)/2)*CG200*CJ200*VLOOKUP('Données projet'!$B$12,Paramètres!$A$1:$I$89,3,0)*0.475*44/12</f>
        <v>8.0739767307363384E-25</v>
      </c>
      <c r="CN200" s="22">
        <f t="shared" si="172"/>
        <v>0.44107637575130781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482.74318690313885</v>
      </c>
      <c r="CZ200" s="59">
        <f t="shared" si="208"/>
        <v>205.57161411620217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0.42028647476199754</v>
      </c>
      <c r="DG200" s="21">
        <f>EXP(-LN(2)/25)*DG199+(1-EXP(-LN(2)/25))/(LN(2)/25)*Calculateur!DB200*Calculateur!DD200*VLOOKUP('Données projet'!$B$13,Paramètres!$A$1:$I$89,3,0)*0.475*44/12</f>
        <v>9.193847679799147E-2</v>
      </c>
      <c r="DH200" s="21">
        <f>EXP(-LN(2)/2)*DH199+(1-EXP(-LN(2)/2))/(LN(2)/2)*DB200*DE200*VLOOKUP('Données projet'!$B$13,Paramètres!$A$1:$I$89,3,0)*0.475*44/12</f>
        <v>3.3112909266693412E-25</v>
      </c>
      <c r="DI200" s="22">
        <f t="shared" si="175"/>
        <v>0.51222495155998904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2.2737367544323206E-13</v>
      </c>
      <c r="DP200" s="17">
        <f>DO200*VLOOKUP('Données projet'!$B$14,Paramètres!$A$1:$I$89,3,0)*VLOOKUP('Données projet'!$B$14,Paramètres!$A$1:$I$89,5,0)</f>
        <v>1.0936673788819462E-13</v>
      </c>
      <c r="DQ200" s="13">
        <f t="shared" si="176"/>
        <v>1.6259645746645945E-12</v>
      </c>
      <c r="DR200" s="20">
        <f t="shared" si="177"/>
        <v>3.0223687026961078E-12</v>
      </c>
      <c r="DS200" s="59">
        <f t="shared" si="197"/>
        <v>293.33333333333633</v>
      </c>
      <c r="DT200" s="59">
        <f ca="1">AVERAGE(OFFSET($DS$3,0,0,'Données projet'!$E$14+1,1))-AVERAGE(OFFSET($H$3,0,0,'Données projet'!$E$14+1,1))</f>
        <v>247.11965163963526</v>
      </c>
      <c r="DU200" s="59">
        <f t="shared" si="209"/>
        <v>61.686311966192704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0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-1.0286385077051818E-13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265.50419397354284</v>
      </c>
      <c r="T201" s="59">
        <f t="shared" si="204"/>
        <v>156.67965022779907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0.1196406288157334</v>
      </c>
      <c r="AA201" s="21">
        <f>EXP(-LN(2)/25)*AA200+(1-EXP(-LN(2)/25))/(LN(2)/25)*Calculateur!V201*Calculateur!X201*VLOOKUP('Données projet'!$B$9,Paramètres!$A$1:$I$89,3,0)*0.475*44/12</f>
        <v>3.9796392142558638E-2</v>
      </c>
      <c r="AB201" s="21">
        <f>EXP(-LN(2)/2)*AB200+(1-EXP(-LN(2)/2))/(LN(2)/2)*V201*Y201*VLOOKUP('Données projet'!$B$9,Paramètres!$A$1:$I$89,3,0)*0.475*44/12</f>
        <v>3.1550328122175664E-25</v>
      </c>
      <c r="AC201" s="22">
        <f t="shared" si="163"/>
        <v>0.15943702095829204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-1.1527845344971866E-13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296.43642006376018</v>
      </c>
      <c r="AO201" s="59">
        <f t="shared" si="205"/>
        <v>179.56041631665812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0.13408001505211498</v>
      </c>
      <c r="AV201" s="21">
        <f>EXP(-LN(2)/25)*AV200+(1-EXP(-LN(2)/25))/(LN(2)/25)*Calculateur!AQ201*Calculateur!AS201*VLOOKUP('Données projet'!$B$10,Paramètres!$A$1:$I$89,3,0)*0.475*44/12</f>
        <v>4.4599404987350121E-2</v>
      </c>
      <c r="AW201" s="21">
        <f>EXP(-LN(2)/2)*AW200+(1-EXP(-LN(2)/2))/(LN(2)/2)*AQ201*AT201*VLOOKUP('Données projet'!$B$10,Paramètres!$A$1:$I$89,3,0)*0.475*44/12</f>
        <v>3.5358126343817567E-25</v>
      </c>
      <c r="AX201" s="21">
        <f t="shared" si="166"/>
        <v>0.1786794200394651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5.6843418860808015E-14</v>
      </c>
      <c r="BE201" s="13">
        <f>BD201*VLOOKUP('Données projet'!$B$11,Paramètres!$A$1:$I$89,3,0)*VLOOKUP('Données projet'!$B$11,Paramètres!$A$1:$I$89,5,0)</f>
        <v>3.813056537183002E-14</v>
      </c>
      <c r="BF201" s="13">
        <f t="shared" si="167"/>
        <v>6.4086286045526829E-13</v>
      </c>
      <c r="BG201" s="20">
        <f t="shared" si="168"/>
        <v>1.1825802166488628E-12</v>
      </c>
      <c r="BH201" s="59">
        <f t="shared" si="194"/>
        <v>293.33333333333451</v>
      </c>
      <c r="BI201" s="59">
        <f ca="1">AVERAGE(OFFSET($BH$3,0,0,'Données projet'!$E$11+1,1))-AVERAGE(OFFSET($H$3,0,0,'Données projet'!$E$11+1,1))</f>
        <v>181.32837315090507</v>
      </c>
      <c r="BJ201" s="59">
        <f t="shared" si="206"/>
        <v>175.03267817980338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0.19659338615078459</v>
      </c>
      <c r="BQ201" s="21">
        <f>EXP(-LN(2)/25)*BQ200+(1-EXP(-LN(2)/25))/(LN(2)/25)*Calculateur!BL201*Calculateur!BN201*VLOOKUP('Données projet'!$B$11,Paramètres!$A$1:$I$89,3,0)*0.475*44/12</f>
        <v>6.4526846719789852E-2</v>
      </c>
      <c r="BR201" s="21">
        <f>EXP(-LN(2)/2)*BR200+(1-EXP(-LN(2)/2))/(LN(2)/2)*BL201*BO201*VLOOKUP('Données projet'!$B$11,Paramètres!$A$1:$I$89,3,0)*0.475*44/12</f>
        <v>5.484740923409274E-26</v>
      </c>
      <c r="BS201" s="22">
        <f t="shared" si="169"/>
        <v>0.26112023287057445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574.49999999999989</v>
      </c>
      <c r="BZ201" s="13">
        <f>BY201*VLOOKUP('Données projet'!$B$12,Paramètres!$A$1:$I$89,3,0)*VLOOKUP('Données projet'!$B$12,Paramètres!$A$1:$I$89,5,0)</f>
        <v>268.86599999999999</v>
      </c>
      <c r="CA201" s="13">
        <f t="shared" si="170"/>
        <v>64.608546947682441</v>
      </c>
      <c r="CB201" s="20">
        <f t="shared" si="171"/>
        <v>580.80150260054677</v>
      </c>
      <c r="CC201" s="59">
        <f t="shared" si="195"/>
        <v>874.13483593388014</v>
      </c>
      <c r="CD201" s="59">
        <f ca="1">AVERAGE(OFFSET($CC$3,0,0,'Données projet'!$E$12+1,1))-AVERAGE(OFFSET($H$3,0,0,'Données projet'!$E$12+1,1))</f>
        <v>226.0452828290525</v>
      </c>
      <c r="CE201" s="59">
        <f t="shared" si="207"/>
        <v>179.89696397462069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0.32580557055158571</v>
      </c>
      <c r="CL201" s="21">
        <f>EXP(-LN(2)/25)*CL200+(1-EXP(-LN(2)/25))/(LN(2)/25)*Calculateur!CG201*Calculateur!CI201*VLOOKUP('Données projet'!$B$12,Paramètres!$A$1:$I$89,3,0)*0.475*44/12</f>
        <v>0.10578028094809365</v>
      </c>
      <c r="CM201" s="21">
        <f>EXP(-LN(2)/2)*CM200+(1-EXP(-LN(2)/2))/(LN(2)/2)*CG201*CJ201*VLOOKUP('Données projet'!$B$12,Paramètres!$A$1:$I$89,3,0)*0.475*44/12</f>
        <v>5.7091636974460572E-25</v>
      </c>
      <c r="CN201" s="22">
        <f t="shared" si="172"/>
        <v>0.43158585149967937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482.74318690313885</v>
      </c>
      <c r="CZ201" s="59">
        <f t="shared" si="208"/>
        <v>205.57161411620217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0.41204491334135196</v>
      </c>
      <c r="DG201" s="21">
        <f>EXP(-LN(2)/25)*DG200+(1-EXP(-LN(2)/25))/(LN(2)/25)*Calculateur!DB201*Calculateur!DD201*VLOOKUP('Données projet'!$B$13,Paramètres!$A$1:$I$89,3,0)*0.475*44/12</f>
        <v>8.9424414315116024E-2</v>
      </c>
      <c r="DH201" s="21">
        <f>EXP(-LN(2)/2)*DH200+(1-EXP(-LN(2)/2))/(LN(2)/2)*DB201*DE201*VLOOKUP('Données projet'!$B$13,Paramètres!$A$1:$I$89,3,0)*0.475*44/12</f>
        <v>2.341436268729378E-25</v>
      </c>
      <c r="DI201" s="22">
        <f t="shared" si="175"/>
        <v>0.50146932765646801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2.2737367544323206E-13</v>
      </c>
      <c r="DP201" s="17">
        <f>DO201*VLOOKUP('Données projet'!$B$14,Paramètres!$A$1:$I$89,3,0)*VLOOKUP('Données projet'!$B$14,Paramètres!$A$1:$I$89,5,0)</f>
        <v>1.0936673788819462E-13</v>
      </c>
      <c r="DQ201" s="13">
        <f t="shared" si="176"/>
        <v>1.6259645746645945E-12</v>
      </c>
      <c r="DR201" s="20">
        <f t="shared" si="177"/>
        <v>3.0223687026961078E-12</v>
      </c>
      <c r="DS201" s="59">
        <f t="shared" si="197"/>
        <v>293.33333333333633</v>
      </c>
      <c r="DT201" s="59">
        <f ca="1">AVERAGE(OFFSET($DS$3,0,0,'Données projet'!$E$14+1,1))-AVERAGE(OFFSET($H$3,0,0,'Données projet'!$E$14+1,1))</f>
        <v>247.11965163963526</v>
      </c>
      <c r="DU201" s="59">
        <f t="shared" si="209"/>
        <v>61.686311966192704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0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-1.0286385077051818E-13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265.50419397354284</v>
      </c>
      <c r="T202" s="59">
        <f t="shared" si="204"/>
        <v>156.67965022779907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0.1172945490582349</v>
      </c>
      <c r="AA202" s="21">
        <f>EXP(-LN(2)/25)*AA201+(1-EXP(-LN(2)/25))/(LN(2)/25)*Calculateur!V202*Calculateur!X202*VLOOKUP('Données projet'!$B$9,Paramètres!$A$1:$I$89,3,0)*0.475*44/12</f>
        <v>3.8708157706619069E-2</v>
      </c>
      <c r="AB202" s="21">
        <f>EXP(-LN(2)/2)*AB201+(1-EXP(-LN(2)/2))/(LN(2)/2)*V202*Y202*VLOOKUP('Données projet'!$B$9,Paramètres!$A$1:$I$89,3,0)*0.475*44/12</f>
        <v>2.2309450963851044E-25</v>
      </c>
      <c r="AC202" s="22">
        <f t="shared" si="163"/>
        <v>0.15600270676485398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-1.1527845344971866E-13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296.43642006376018</v>
      </c>
      <c r="AO202" s="59">
        <f t="shared" si="205"/>
        <v>179.56041631665812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0.13145078773767702</v>
      </c>
      <c r="AV202" s="21">
        <f>EXP(-LN(2)/25)*AV201+(1-EXP(-LN(2)/25))/(LN(2)/25)*Calculateur!AQ202*Calculateur!AS202*VLOOKUP('Données projet'!$B$10,Paramètres!$A$1:$I$89,3,0)*0.475*44/12</f>
        <v>4.3379831912590254E-2</v>
      </c>
      <c r="AW202" s="21">
        <f>EXP(-LN(2)/2)*AW201+(1-EXP(-LN(2)/2))/(LN(2)/2)*AQ202*AT202*VLOOKUP('Données projet'!$B$10,Paramètres!$A$1:$I$89,3,0)*0.475*44/12</f>
        <v>2.500197090776411E-25</v>
      </c>
      <c r="AX202" s="21">
        <f t="shared" si="166"/>
        <v>0.17483061965026728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5.6843418860808015E-14</v>
      </c>
      <c r="BE202" s="13">
        <f>BD202*VLOOKUP('Données projet'!$B$11,Paramètres!$A$1:$I$89,3,0)*VLOOKUP('Données projet'!$B$11,Paramètres!$A$1:$I$89,5,0)</f>
        <v>3.813056537183002E-14</v>
      </c>
      <c r="BF202" s="13">
        <f t="shared" si="167"/>
        <v>6.4086286045526829E-13</v>
      </c>
      <c r="BG202" s="20">
        <f t="shared" si="168"/>
        <v>1.1825802166488628E-12</v>
      </c>
      <c r="BH202" s="59">
        <f t="shared" si="194"/>
        <v>293.33333333333451</v>
      </c>
      <c r="BI202" s="59">
        <f ca="1">AVERAGE(OFFSET($BH$3,0,0,'Données projet'!$E$11+1,1))-AVERAGE(OFFSET($H$3,0,0,'Données projet'!$E$11+1,1))</f>
        <v>181.32837315090507</v>
      </c>
      <c r="BJ202" s="59">
        <f t="shared" si="206"/>
        <v>175.03267817980338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0.19273830975849313</v>
      </c>
      <c r="BQ202" s="21">
        <f>EXP(-LN(2)/25)*BQ201+(1-EXP(-LN(2)/25))/(LN(2)/25)*Calculateur!BL202*Calculateur!BN202*VLOOKUP('Données projet'!$B$11,Paramètres!$A$1:$I$89,3,0)*0.475*44/12</f>
        <v>6.2762356702917813E-2</v>
      </c>
      <c r="BR202" s="21">
        <f>EXP(-LN(2)/2)*BR201+(1-EXP(-LN(2)/2))/(LN(2)/2)*BL202*BO202*VLOOKUP('Données projet'!$B$11,Paramètres!$A$1:$I$89,3,0)*0.475*44/12</f>
        <v>3.8782974999940642E-26</v>
      </c>
      <c r="BS202" s="22">
        <f t="shared" si="169"/>
        <v>0.25550066646141095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574.49999999999989</v>
      </c>
      <c r="BZ202" s="13">
        <f>BY202*VLOOKUP('Données projet'!$B$12,Paramètres!$A$1:$I$89,3,0)*VLOOKUP('Données projet'!$B$12,Paramètres!$A$1:$I$89,5,0)</f>
        <v>268.86599999999999</v>
      </c>
      <c r="CA202" s="13">
        <f t="shared" si="170"/>
        <v>64.608546947682441</v>
      </c>
      <c r="CB202" s="20">
        <f t="shared" si="171"/>
        <v>580.80150260054677</v>
      </c>
      <c r="CC202" s="59">
        <f t="shared" si="195"/>
        <v>874.13483593388014</v>
      </c>
      <c r="CD202" s="59">
        <f ca="1">AVERAGE(OFFSET($CC$3,0,0,'Données projet'!$E$12+1,1))-AVERAGE(OFFSET($H$3,0,0,'Données projet'!$E$12+1,1))</f>
        <v>226.0452828290525</v>
      </c>
      <c r="CE202" s="59">
        <f t="shared" si="207"/>
        <v>179.89696397462069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0.319416722034845</v>
      </c>
      <c r="CL202" s="21">
        <f>EXP(-LN(2)/25)*CL201+(1-EXP(-LN(2)/25))/(LN(2)/25)*Calculateur!CG202*Calculateur!CI202*VLOOKUP('Données projet'!$B$12,Paramètres!$A$1:$I$89,3,0)*0.475*44/12</f>
        <v>0.10288771360282482</v>
      </c>
      <c r="CM202" s="21">
        <f>EXP(-LN(2)/2)*CM201+(1-EXP(-LN(2)/2))/(LN(2)/2)*CG202*CJ202*VLOOKUP('Données projet'!$B$12,Paramètres!$A$1:$I$89,3,0)*0.475*44/12</f>
        <v>4.0369883653681701E-25</v>
      </c>
      <c r="CN202" s="22">
        <f t="shared" si="172"/>
        <v>0.42230443563766984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482.74318690313885</v>
      </c>
      <c r="CZ202" s="59">
        <f t="shared" si="208"/>
        <v>205.57161411620217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0.40396496391330916</v>
      </c>
      <c r="DG202" s="21">
        <f>EXP(-LN(2)/25)*DG201+(1-EXP(-LN(2)/25))/(LN(2)/25)*Calculateur!DB202*Calculateur!DD202*VLOOKUP('Données projet'!$B$13,Paramètres!$A$1:$I$89,3,0)*0.475*44/12</f>
        <v>8.6979099003043611E-2</v>
      </c>
      <c r="DH202" s="21">
        <f>EXP(-LN(2)/2)*DH201+(1-EXP(-LN(2)/2))/(LN(2)/2)*DB202*DE202*VLOOKUP('Données projet'!$B$13,Paramètres!$A$1:$I$89,3,0)*0.475*44/12</f>
        <v>1.6556454633346706E-25</v>
      </c>
      <c r="DI202" s="22">
        <f t="shared" si="175"/>
        <v>0.49094406291635279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2.2737367544323206E-13</v>
      </c>
      <c r="DP202" s="17">
        <f>DO202*VLOOKUP('Données projet'!$B$14,Paramètres!$A$1:$I$89,3,0)*VLOOKUP('Données projet'!$B$14,Paramètres!$A$1:$I$89,5,0)</f>
        <v>1.0936673788819462E-13</v>
      </c>
      <c r="DQ202" s="13">
        <f t="shared" si="176"/>
        <v>1.6259645746645945E-12</v>
      </c>
      <c r="DR202" s="20">
        <f t="shared" si="177"/>
        <v>3.0223687026961078E-12</v>
      </c>
      <c r="DS202" s="59">
        <f t="shared" si="197"/>
        <v>293.33333333333633</v>
      </c>
      <c r="DT202" s="59">
        <f ca="1">AVERAGE(OFFSET($DS$3,0,0,'Données projet'!$E$14+1,1))-AVERAGE(OFFSET($H$3,0,0,'Données projet'!$E$14+1,1))</f>
        <v>247.11965163963526</v>
      </c>
      <c r="DU202" s="59">
        <f t="shared" si="209"/>
        <v>61.686311966192704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0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-1.0286385077051818E-13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265.50419397354284</v>
      </c>
      <c r="T203" s="59">
        <f t="shared" si="204"/>
        <v>156.67965022779907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0.1149944744938136</v>
      </c>
      <c r="AA203" s="21">
        <f>EXP(-LN(2)/25)*AA202+(1-EXP(-LN(2)/25))/(LN(2)/25)*Calculateur!V203*Calculateur!X203*VLOOKUP('Données projet'!$B$9,Paramètres!$A$1:$I$89,3,0)*0.475*44/12</f>
        <v>3.7649681098558027E-2</v>
      </c>
      <c r="AB203" s="21">
        <f>EXP(-LN(2)/2)*AB202+(1-EXP(-LN(2)/2))/(LN(2)/2)*V203*Y203*VLOOKUP('Données projet'!$B$9,Paramètres!$A$1:$I$89,3,0)*0.475*44/12</f>
        <v>1.5775164061087832E-25</v>
      </c>
      <c r="AC203" s="22">
        <f t="shared" si="163"/>
        <v>0.15264415559237163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-1.1527845344971866E-13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296.43642006376018</v>
      </c>
      <c r="AO203" s="59">
        <f t="shared" si="205"/>
        <v>179.56041631665812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0.12887311796720485</v>
      </c>
      <c r="AV203" s="21">
        <f>EXP(-LN(2)/25)*AV202+(1-EXP(-LN(2)/25))/(LN(2)/25)*Calculateur!AQ203*Calculateur!AS203*VLOOKUP('Données projet'!$B$10,Paramètres!$A$1:$I$89,3,0)*0.475*44/12</f>
        <v>4.2193608127694258E-2</v>
      </c>
      <c r="AW203" s="21">
        <f>EXP(-LN(2)/2)*AW202+(1-EXP(-LN(2)/2))/(LN(2)/2)*AQ203*AT203*VLOOKUP('Données projet'!$B$10,Paramètres!$A$1:$I$89,3,0)*0.475*44/12</f>
        <v>1.7679063171908783E-25</v>
      </c>
      <c r="AX203" s="21">
        <f t="shared" si="166"/>
        <v>0.17106672609489912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5.6843418860808015E-14</v>
      </c>
      <c r="BE203" s="13">
        <f>BD203*VLOOKUP('Données projet'!$B$11,Paramètres!$A$1:$I$89,3,0)*VLOOKUP('Données projet'!$B$11,Paramètres!$A$1:$I$89,5,0)</f>
        <v>3.813056537183002E-14</v>
      </c>
      <c r="BF203" s="13">
        <f t="shared" si="167"/>
        <v>6.4086286045526829E-13</v>
      </c>
      <c r="BG203" s="20">
        <f t="shared" si="168"/>
        <v>1.1825802166488628E-12</v>
      </c>
      <c r="BH203" s="59">
        <f t="shared" si="194"/>
        <v>293.33333333333451</v>
      </c>
      <c r="BI203" s="59">
        <f ca="1">AVERAGE(OFFSET($BH$3,0,0,'Données projet'!$E$11+1,1))-AVERAGE(OFFSET($H$3,0,0,'Données projet'!$E$11+1,1))</f>
        <v>181.32837315090507</v>
      </c>
      <c r="BJ203" s="59">
        <f t="shared" si="206"/>
        <v>175.03267817980338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0.18895882906289008</v>
      </c>
      <c r="BQ203" s="21">
        <f>EXP(-LN(2)/25)*BQ202+(1-EXP(-LN(2)/25))/(LN(2)/25)*Calculateur!BL203*Calculateur!BN203*VLOOKUP('Données projet'!$B$11,Paramètres!$A$1:$I$89,3,0)*0.475*44/12</f>
        <v>6.1046116758347632E-2</v>
      </c>
      <c r="BR203" s="21">
        <f>EXP(-LN(2)/2)*BR202+(1-EXP(-LN(2)/2))/(LN(2)/2)*BL203*BO203*VLOOKUP('Données projet'!$B$11,Paramètres!$A$1:$I$89,3,0)*0.475*44/12</f>
        <v>2.742370461704637E-26</v>
      </c>
      <c r="BS203" s="22">
        <f t="shared" si="169"/>
        <v>0.25000494582123772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574.49999999999989</v>
      </c>
      <c r="BZ203" s="13">
        <f>BY203*VLOOKUP('Données projet'!$B$12,Paramètres!$A$1:$I$89,3,0)*VLOOKUP('Données projet'!$B$12,Paramètres!$A$1:$I$89,5,0)</f>
        <v>268.86599999999999</v>
      </c>
      <c r="CA203" s="13">
        <f t="shared" si="170"/>
        <v>64.608546947682441</v>
      </c>
      <c r="CB203" s="20">
        <f t="shared" si="171"/>
        <v>580.80150260054677</v>
      </c>
      <c r="CC203" s="59">
        <f t="shared" si="195"/>
        <v>874.13483593388014</v>
      </c>
      <c r="CD203" s="59">
        <f ca="1">AVERAGE(OFFSET($CC$3,0,0,'Données projet'!$E$12+1,1))-AVERAGE(OFFSET($H$3,0,0,'Données projet'!$E$12+1,1))</f>
        <v>226.0452828290525</v>
      </c>
      <c r="CE203" s="59">
        <f t="shared" si="207"/>
        <v>179.89696397462069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0.31315315494070478</v>
      </c>
      <c r="CL203" s="21">
        <f>EXP(-LN(2)/25)*CL202+(1-EXP(-LN(2)/25))/(LN(2)/25)*Calculateur!CG203*Calculateur!CI203*VLOOKUP('Données projet'!$B$12,Paramètres!$A$1:$I$89,3,0)*0.475*44/12</f>
        <v>0.10007424366372587</v>
      </c>
      <c r="CM203" s="21">
        <f>EXP(-LN(2)/2)*CM202+(1-EXP(-LN(2)/2))/(LN(2)/2)*CG203*CJ203*VLOOKUP('Données projet'!$B$12,Paramètres!$A$1:$I$89,3,0)*0.475*44/12</f>
        <v>2.854581848723029E-25</v>
      </c>
      <c r="CN203" s="22">
        <f t="shared" si="172"/>
        <v>0.41322739860443064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482.74318690313885</v>
      </c>
      <c r="CZ203" s="59">
        <f t="shared" si="208"/>
        <v>205.57161411620217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0.39604345736526775</v>
      </c>
      <c r="DG203" s="21">
        <f>EXP(-LN(2)/25)*DG202+(1-EXP(-LN(2)/25))/(LN(2)/25)*Calculateur!DB203*Calculateur!DD203*VLOOKUP('Données projet'!$B$13,Paramètres!$A$1:$I$89,3,0)*0.475*44/12</f>
        <v>8.4600650966773355E-2</v>
      </c>
      <c r="DH203" s="21">
        <f>EXP(-LN(2)/2)*DH202+(1-EXP(-LN(2)/2))/(LN(2)/2)*DB203*DE203*VLOOKUP('Données projet'!$B$13,Paramètres!$A$1:$I$89,3,0)*0.475*44/12</f>
        <v>1.170718134364689E-25</v>
      </c>
      <c r="DI203" s="22">
        <f t="shared" si="175"/>
        <v>0.48064410833204108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2.2737367544323206E-13</v>
      </c>
      <c r="DP203" s="17">
        <f>DO203*VLOOKUP('Données projet'!$B$14,Paramètres!$A$1:$I$89,3,0)*VLOOKUP('Données projet'!$B$14,Paramètres!$A$1:$I$89,5,0)</f>
        <v>1.0936673788819462E-13</v>
      </c>
      <c r="DQ203" s="13">
        <f t="shared" si="176"/>
        <v>1.6259645746645945E-12</v>
      </c>
      <c r="DR203" s="20">
        <f t="shared" si="177"/>
        <v>3.0223687026961078E-12</v>
      </c>
      <c r="DS203" s="59">
        <f t="shared" si="197"/>
        <v>293.33333333333633</v>
      </c>
      <c r="DT203" s="59">
        <f ca="1">AVERAGE(OFFSET($DS$3,0,0,'Données projet'!$E$14+1,1))-AVERAGE(OFFSET($H$3,0,0,'Données projet'!$E$14+1,1))</f>
        <v>247.11965163963526</v>
      </c>
      <c r="DU203" s="59">
        <f t="shared" si="209"/>
        <v>61.686311966192704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0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1.1852335095914694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1.1852335095914694</v>
      </c>
      <c r="BA205" s="82">
        <f>EXP(LN('Données projet'!B88)/'Données projet'!A88)</f>
        <v>1.2788040393997409</v>
      </c>
      <c r="BV205" s="82">
        <f>EXP(LN('Données projet'!B114)/'Données projet'!A114)</f>
        <v>1.2880503926580862</v>
      </c>
      <c r="CQ205" s="82">
        <f>EXP(LN('Données projet'!B140)/'Données projet'!A140)</f>
        <v>1.3480061545972777</v>
      </c>
      <c r="DL205" s="82">
        <f>EXP(LN('Données projet'!B166)/'Données projet'!A166)</f>
        <v>1.1058439050086899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7109375" style="4" bestFit="1" customWidth="1"/>
    <col min="4" max="4" width="40" style="4" bestFit="1" customWidth="1"/>
    <col min="5" max="5" width="11.71093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60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N7" sqref="N7"/>
    </sheetView>
  </sheetViews>
  <sheetFormatPr baseColWidth="10" defaultColWidth="11.42578125" defaultRowHeight="15" x14ac:dyDescent="0.25"/>
  <cols>
    <col min="1" max="1" width="22.71093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sessile</v>
      </c>
      <c r="B6" s="146">
        <f>'Données projet'!D9</f>
        <v>0.36159999999999998</v>
      </c>
      <c r="C6" s="147">
        <f ca="1">IF(OR('Données projet'!B9="",'Données projet'!C9="",'Données projet'!C9=0%),0,Calculateur!S3)</f>
        <v>265.50419397354284</v>
      </c>
      <c r="D6" s="147">
        <f>IF(OR('Données projet'!B9="",'Données projet'!C9="",'Données projet'!C9=0%),0,Calculateur!T3)</f>
        <v>156.67965022779907</v>
      </c>
      <c r="E6" s="147">
        <f ca="1">MIN(C6,D6)</f>
        <v>156.67965022779907</v>
      </c>
      <c r="F6" s="147">
        <f ca="1">E6*B6</f>
        <v>56.655361522372139</v>
      </c>
      <c r="G6" s="147">
        <f ca="1">F6*(100%-'Données projet'!$C$24)*(100%-'Données projet'!$C$25)*(100%-'Données projet'!$C$26)*(100%-'Données projet'!$C$27)</f>
        <v>50.989825370134923</v>
      </c>
      <c r="H6" s="148">
        <f>IF(OR('Données projet'!B9="",'Données projet'!C9="",'Données projet'!C9=0%),0,AVERAGE(Calculateur!$AC$3:$AC$33)*B6)</f>
        <v>0.36978530877705962</v>
      </c>
      <c r="I6" s="149">
        <f>H6*(100%-'Données projet'!$C$24)*(100%-'Données projet'!$C$25)*(100%-'Données projet'!$C$26)*(100%-'Données projet'!$C$27)</f>
        <v>0.33280677789935365</v>
      </c>
      <c r="J6" s="150">
        <f>IF(OR('Données projet'!B9="",'Données projet'!C9="",'Données projet'!C9=0%),0,SUM(Calculateur!$V$3:$V$33)*VLOOKUP('Données projet'!$B$9,Paramètres!$A$1:$I$89,9,0)*B6)</f>
        <v>2.6215999999999999</v>
      </c>
      <c r="K6" s="151">
        <f>J6*(100%-'Données projet'!$C$24)*(100%-'Données projet'!$C$25)*(100%-'Données projet'!$C$26)*(100%-'Données projet'!$C$27)</f>
        <v>2.3594400000000002</v>
      </c>
      <c r="L6" s="152">
        <f ca="1">G6+I6+K6</f>
        <v>53.68207214803428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pubescent</v>
      </c>
      <c r="B7" s="154">
        <f>'Données projet'!D10</f>
        <v>0.36159999999999998</v>
      </c>
      <c r="C7" s="147">
        <f ca="1">IF(OR('Données projet'!B10="",'Données projet'!C10="",'Données projet'!C10=0%),0,Calculateur!AN3)</f>
        <v>296.43642006376018</v>
      </c>
      <c r="D7" s="147">
        <f>IF(OR('Données projet'!B10="",'Données projet'!C10="",'Données projet'!C10=0%),0,Calculateur!AO3)</f>
        <v>179.56041631665812</v>
      </c>
      <c r="E7" s="147">
        <f t="shared" ref="E7:E15" ca="1" si="0">MIN(C7,D7)</f>
        <v>179.56041631665812</v>
      </c>
      <c r="F7" s="147">
        <f t="shared" ref="F7:F15" ca="1" si="1">E7*B7</f>
        <v>64.92904654010357</v>
      </c>
      <c r="G7" s="147">
        <f ca="1">F7*(100%-'Données projet'!$C$24)*(100%-'Données projet'!$C$25)*(100%-'Données projet'!$C$26)*(100%-'Données projet'!$C$27)</f>
        <v>58.436141886093218</v>
      </c>
      <c r="H7" s="155">
        <f>IF(OR('Données projet'!B10="",'Données projet'!C10="",'Données projet'!C10=0%),0,AVERAGE(Calculateur!$AX$3:$AX$33)*B7)</f>
        <v>0.41441457018118766</v>
      </c>
      <c r="I7" s="149">
        <f>H7*(100%-'Données projet'!$C$24)*(100%-'Données projet'!$C$25)*(100%-'Données projet'!$C$26)*(100%-'Données projet'!$C$27)</f>
        <v>0.37297311316306891</v>
      </c>
      <c r="J7" s="150">
        <f>IF(OR('Données projet'!B10="",'Données projet'!C10="",'Données projet'!C10=0%),0,SUM(Calculateur!$AQ$3:$AQ$33)*VLOOKUP('Données projet'!$B$10,Paramètres!$A$1:$I$89,9,0)*B7)</f>
        <v>2.6215999999999999</v>
      </c>
      <c r="K7" s="151">
        <f>J7*(100%-'Données projet'!$C$24)*(100%-'Données projet'!$C$25)*(100%-'Données projet'!$C$26)*(100%-'Données projet'!$C$27)</f>
        <v>2.3594400000000002</v>
      </c>
      <c r="L7" s="152">
        <f t="shared" ref="L7:L15" ca="1" si="2">G7+I7+K7</f>
        <v>61.168554999256287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Tilleul</v>
      </c>
      <c r="B8" s="154">
        <f>'Données projet'!D11</f>
        <v>0.22599999999999998</v>
      </c>
      <c r="C8" s="147">
        <f ca="1">IF(OR('Données projet'!B11="",'Données projet'!C11="",'Données projet'!C11=0%),0,Calculateur!BI3)</f>
        <v>181.32837315090507</v>
      </c>
      <c r="D8" s="147">
        <f>IF(OR('Données projet'!B11="",'Données projet'!C11="",'Données projet'!C11=0%),0,Calculateur!BJ3)</f>
        <v>175.03267817980338</v>
      </c>
      <c r="E8" s="147">
        <f t="shared" ca="1" si="0"/>
        <v>175.03267817980338</v>
      </c>
      <c r="F8" s="147">
        <f t="shared" ca="1" si="1"/>
        <v>39.557385268635564</v>
      </c>
      <c r="G8" s="147">
        <f ca="1">F8*(100%-'Données projet'!$C$24)*(100%-'Données projet'!$C$25)*(100%-'Données projet'!$C$26)*(100%-'Données projet'!$C$27)</f>
        <v>35.601646741772008</v>
      </c>
      <c r="H8" s="155">
        <f>IF(OR('Données projet'!B11="",'Données projet'!C11="",'Données projet'!C11=0%),0,AVERAGE(Calculateur!$BS$3:$BS$33)*B8)</f>
        <v>1.0959026140902219</v>
      </c>
      <c r="I8" s="149">
        <f>H8*(100%-'Données projet'!$C$24)*(100%-'Données projet'!$C$25)*(100%-'Données projet'!$C$26)*(100%-'Données projet'!$C$27)</f>
        <v>0.98631235268119977</v>
      </c>
      <c r="J8" s="150">
        <f>IF(OR('Données projet'!B11="",'Données projet'!C11="",'Données projet'!C11=0%),0,SUM(Calculateur!$BL$3:$BL$33)*VLOOKUP('Données projet'!$B$11,Paramètres!$A$1:$I$89,9,0)*B8)</f>
        <v>3.1074999999999999</v>
      </c>
      <c r="K8" s="151">
        <f>J8*(100%-'Données projet'!$C$24)*(100%-'Données projet'!$C$25)*(100%-'Données projet'!$C$26)*(100%-'Données projet'!$C$27)</f>
        <v>2.7967499999999998</v>
      </c>
      <c r="L8" s="152">
        <f t="shared" ca="1" si="2"/>
        <v>39.384709094453214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Cèdre de l'Atlas</v>
      </c>
      <c r="B9" s="154">
        <f>'Données projet'!D12</f>
        <v>1.2203999999999999</v>
      </c>
      <c r="C9" s="147">
        <f ca="1">IF(OR('Données projet'!B12="",'Données projet'!C12="",'Données projet'!C12=0%),0,Calculateur!CD3)</f>
        <v>226.0452828290525</v>
      </c>
      <c r="D9" s="147">
        <f>IF(OR('Données projet'!B12="",'Données projet'!C12="",'Données projet'!C12=0%),0,Calculateur!CE3)</f>
        <v>179.89696397462069</v>
      </c>
      <c r="E9" s="147">
        <f t="shared" ca="1" si="0"/>
        <v>179.89696397462069</v>
      </c>
      <c r="F9" s="147">
        <f t="shared" ca="1" si="1"/>
        <v>219.54625483462706</v>
      </c>
      <c r="G9" s="147">
        <f ca="1">F9*(100%-'Données projet'!$C$24)*(100%-'Données projet'!$C$25)*(100%-'Données projet'!$C$26)*(100%-'Données projet'!$C$27)</f>
        <v>197.59162935116436</v>
      </c>
      <c r="H9" s="155">
        <f>IF(OR('Données projet'!B12="",'Données projet'!C12="",'Données projet'!C12=0%),0,AVERAGE(Calculateur!$CN$3:$CN$33)*B9)</f>
        <v>4.7758982427185535</v>
      </c>
      <c r="I9" s="149">
        <f>H9*(100%-'Données projet'!$C$24)*(100%-'Données projet'!$C$25)*(100%-'Données projet'!$C$26)*(100%-'Données projet'!$C$27)</f>
        <v>4.2983084184466982</v>
      </c>
      <c r="J9" s="150">
        <f>IF(OR('Données projet'!B12="",'Données projet'!C12="",'Données projet'!C12=0%),0,SUM(Calculateur!$CG$3:$CG$33)*VLOOKUP('Données projet'!$B$12,Paramètres!$A$1:$I$89,9,0)*B9)</f>
        <v>55.888218000000002</v>
      </c>
      <c r="K9" s="151">
        <f>J9*(100%-'Données projet'!$C$24)*(100%-'Données projet'!$C$25)*(100%-'Données projet'!$C$26)*(100%-'Données projet'!$C$27)</f>
        <v>50.299396200000004</v>
      </c>
      <c r="L9" s="152">
        <f t="shared" ca="1" si="2"/>
        <v>252.18933396961108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Pin maritime</v>
      </c>
      <c r="B10" s="154">
        <f>'Données projet'!D13</f>
        <v>0.72319999999999995</v>
      </c>
      <c r="C10" s="147">
        <f ca="1">IF(OR('Données projet'!B13="",'Données projet'!C13="",'Données projet'!C13=0%),0,Calculateur!CY3)</f>
        <v>482.74318690313885</v>
      </c>
      <c r="D10" s="147">
        <f>IF(OR('Données projet'!B13="",'Données projet'!C13="",'Données projet'!C13=0%),0,Calculateur!CZ3)</f>
        <v>205.57161411620217</v>
      </c>
      <c r="E10" s="147">
        <f t="shared" ca="1" si="0"/>
        <v>205.57161411620217</v>
      </c>
      <c r="F10" s="147">
        <f t="shared" ca="1" si="1"/>
        <v>148.66939132883741</v>
      </c>
      <c r="G10" s="147">
        <f ca="1">F10*(100%-'Données projet'!$C$24)*(100%-'Données projet'!$C$25)*(100%-'Données projet'!$C$26)*(100%-'Données projet'!$C$27)</f>
        <v>133.80245219595366</v>
      </c>
      <c r="H10" s="155">
        <f>IF(OR('Données projet'!B13="",'Données projet'!C13="",'Données projet'!C13=0%),0,AVERAGE(Calculateur!$DI$3:$DI$33)*B10)</f>
        <v>5.3180658477672083</v>
      </c>
      <c r="I10" s="149">
        <f>H10*(100%-'Données projet'!$C$24)*(100%-'Données projet'!$C$25)*(100%-'Données projet'!$C$26)*(100%-'Données projet'!$C$27)</f>
        <v>4.7862592629904874</v>
      </c>
      <c r="J10" s="150">
        <f>IF(OR('Données projet'!B13="",'Données projet'!C13="",'Données projet'!C13=0%),0,SUM(Calculateur!$DB$3:$DB$33)*VLOOKUP('Données projet'!$B$13,Paramètres!$A$1:$I$89,9,0)*B10)</f>
        <v>43.948863999999993</v>
      </c>
      <c r="K10" s="151">
        <f>J10*(100%-'Données projet'!$C$24)*(100%-'Données projet'!$C$25)*(100%-'Données projet'!$C$26)*(100%-'Données projet'!$C$27)</f>
        <v>39.553977599999996</v>
      </c>
      <c r="L10" s="152">
        <f t="shared" ca="1" si="2"/>
        <v>178.14268905894414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Sapin méditerranéen</v>
      </c>
      <c r="B11" s="154">
        <f>'Données projet'!D14</f>
        <v>1.6271999999999998</v>
      </c>
      <c r="C11" s="147">
        <f ca="1">IF(OR('Données projet'!B14="",'Données projet'!C14="",'Données projet'!C14=0%),0,Calculateur!DT3)</f>
        <v>247.11965163963526</v>
      </c>
      <c r="D11" s="147">
        <f>IF(OR('Données projet'!B14="",'Données projet'!C14="",'Données projet'!C14=0%),0,Calculateur!DU3)</f>
        <v>61.686311966192704</v>
      </c>
      <c r="E11" s="147">
        <f t="shared" ca="1" si="0"/>
        <v>61.686311966192704</v>
      </c>
      <c r="F11" s="147">
        <f t="shared" ca="1" si="1"/>
        <v>100.37596683138875</v>
      </c>
      <c r="G11" s="147">
        <f ca="1">F11*(100%-'Données projet'!$C$24)*(100%-'Données projet'!$C$25)*(100%-'Données projet'!$C$26)*(100%-'Données projet'!$C$27)</f>
        <v>90.338370148249879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90.338370148249879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629.73340632596444</v>
      </c>
      <c r="G16" s="166">
        <f t="shared" ca="1" si="3"/>
        <v>566.76006569336812</v>
      </c>
      <c r="H16" s="167">
        <f t="shared" si="3"/>
        <v>11.974066583534231</v>
      </c>
      <c r="I16" s="167">
        <f t="shared" si="3"/>
        <v>10.776659925180809</v>
      </c>
      <c r="J16" s="168">
        <f t="shared" si="3"/>
        <v>108.187782</v>
      </c>
      <c r="K16" s="168">
        <f t="shared" si="3"/>
        <v>97.369003800000002</v>
      </c>
      <c r="L16" s="169">
        <f t="shared" ca="1" si="3"/>
        <v>674.90572941854884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Tilleul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Cèdre de l'Atlas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Pin maritime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Sapin méditerranéen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P25" sqref="P25"/>
    </sheetView>
  </sheetViews>
  <sheetFormatPr baseColWidth="10" defaultColWidth="11.42578125" defaultRowHeight="15" x14ac:dyDescent="0.25"/>
  <cols>
    <col min="1" max="1" width="11.42578125" style="1"/>
    <col min="2" max="2" width="30.7109375" style="1" bestFit="1" customWidth="1"/>
    <col min="3" max="3" width="18.28515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71093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28515625" style="1" customWidth="1"/>
    <col min="21" max="21" width="16.42578125" style="1" customWidth="1"/>
    <col min="22" max="22" width="17.71093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-2638.8453725609356</v>
      </c>
      <c r="U10" s="178">
        <f>'Données projet'!D9</f>
        <v>0.36159999999999998</v>
      </c>
      <c r="V10" s="177">
        <f>U10*T10</f>
        <v>-954.20648671803428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pubescent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-2231.9126649649083</v>
      </c>
      <c r="U11" s="178">
        <f>'Données projet'!D10</f>
        <v>0.36159999999999998</v>
      </c>
      <c r="V11" s="177">
        <f t="shared" ref="V11" si="0">U11*T11</f>
        <v>-807.05961965131075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Tilleul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-1527.6501303062364</v>
      </c>
      <c r="U12" s="178">
        <f>'Données projet'!D11</f>
        <v>0.22599999999999998</v>
      </c>
      <c r="V12" s="177">
        <f t="shared" ref="V12:V19" si="1">U12*T12</f>
        <v>-345.24892944920941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Cèdre de l'Atlas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-1122.5699286482675</v>
      </c>
      <c r="U13" s="178">
        <f>'Données projet'!D12</f>
        <v>1.2203999999999999</v>
      </c>
      <c r="V13" s="177">
        <f t="shared" si="1"/>
        <v>-1369.9843409223456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Pin maritime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381.48416952464163</v>
      </c>
      <c r="U14" s="178">
        <f>'Données projet'!D13</f>
        <v>0.72319999999999995</v>
      </c>
      <c r="V14" s="177">
        <f t="shared" si="1"/>
        <v>275.88935140022079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Sapin méditerranéen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-1015.7164682238291</v>
      </c>
      <c r="U15" s="178">
        <f>'Données projet'!D14</f>
        <v>1.6271999999999998</v>
      </c>
      <c r="V15" s="177">
        <f t="shared" si="1"/>
        <v>-1652.7738370938146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100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f>(1.5+0.9)*1200</f>
        <v>2880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99.999999999999915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499.99999999999955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f>1400+((1092.5+839.5+1955+2300)/4.52)</f>
        <v>2768.8053097345137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630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700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25</v>
      </c>
      <c r="B23" s="181">
        <f>'Données projet'!D36</f>
        <v>8</v>
      </c>
      <c r="C23" s="191">
        <v>1.3</v>
      </c>
      <c r="D23" s="182">
        <f>B23*C23</f>
        <v>10.4</v>
      </c>
      <c r="E23" s="193"/>
      <c r="F23" s="230"/>
      <c r="H23" s="190">
        <v>4</v>
      </c>
      <c r="I23" s="191">
        <v>700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-24862.903572960648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30</v>
      </c>
      <c r="B24" s="181">
        <f>'Données projet'!D37</f>
        <v>21</v>
      </c>
      <c r="C24" s="191">
        <v>1.3</v>
      </c>
      <c r="D24" s="182">
        <f t="shared" ref="D24:D42" si="2">B24*C24</f>
        <v>27.3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27.699976105868902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35</v>
      </c>
      <c r="B25" s="181">
        <f>'Données projet'!D38</f>
        <v>21</v>
      </c>
      <c r="C25" s="191">
        <v>2.2799999999999998</v>
      </c>
      <c r="D25" s="182">
        <f t="shared" si="2"/>
        <v>47.879999999999995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-24890.603549066516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40</v>
      </c>
      <c r="B26" s="181">
        <f>'Données projet'!D39</f>
        <v>21</v>
      </c>
      <c r="C26" s="191">
        <v>2.2799999999999998</v>
      </c>
      <c r="D26" s="182">
        <f t="shared" si="2"/>
        <v>47.879999999999995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45</v>
      </c>
      <c r="B27" s="181">
        <f>'Données projet'!D40</f>
        <v>21</v>
      </c>
      <c r="C27" s="191">
        <v>2.2799999999999998</v>
      </c>
      <c r="D27" s="182">
        <f t="shared" si="2"/>
        <v>47.879999999999995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50</v>
      </c>
      <c r="B28" s="181">
        <f>'Données projet'!D41</f>
        <v>21</v>
      </c>
      <c r="C28" s="191">
        <v>2.2799999999999998</v>
      </c>
      <c r="D28" s="182">
        <f t="shared" si="2"/>
        <v>47.879999999999995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55</v>
      </c>
      <c r="B29" s="181">
        <f>'Données projet'!D42</f>
        <v>21</v>
      </c>
      <c r="C29" s="191">
        <v>2.83</v>
      </c>
      <c r="D29" s="182">
        <f t="shared" si="2"/>
        <v>59.43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60</v>
      </c>
      <c r="B30" s="181">
        <f>'Données projet'!D43</f>
        <v>21</v>
      </c>
      <c r="C30" s="191">
        <v>2.83</v>
      </c>
      <c r="D30" s="182">
        <f t="shared" si="2"/>
        <v>59.43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65</v>
      </c>
      <c r="B31" s="181">
        <f>'Données projet'!D44</f>
        <v>21</v>
      </c>
      <c r="C31" s="191">
        <v>2.83</v>
      </c>
      <c r="D31" s="182">
        <f t="shared" si="2"/>
        <v>59.43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70</v>
      </c>
      <c r="B32" s="181">
        <f>'Données projet'!D45</f>
        <v>21</v>
      </c>
      <c r="C32" s="191">
        <v>40.5</v>
      </c>
      <c r="D32" s="182">
        <f t="shared" si="2"/>
        <v>850.5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75</v>
      </c>
      <c r="B33" s="181">
        <f>'Données projet'!D46</f>
        <v>21</v>
      </c>
      <c r="C33" s="191">
        <v>40.5</v>
      </c>
      <c r="D33" s="182">
        <f t="shared" si="2"/>
        <v>850.5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80</v>
      </c>
      <c r="B34" s="181">
        <f>'Données projet'!D47</f>
        <v>21</v>
      </c>
      <c r="C34" s="191">
        <v>40.5</v>
      </c>
      <c r="D34" s="182">
        <f t="shared" si="2"/>
        <v>850.5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85</v>
      </c>
      <c r="B35" s="181">
        <f>'Données projet'!D48</f>
        <v>21</v>
      </c>
      <c r="C35" s="191">
        <v>41</v>
      </c>
      <c r="D35" s="182">
        <f>B35*C35</f>
        <v>861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90</v>
      </c>
      <c r="B36" s="181">
        <f>'Données projet'!D49</f>
        <v>21</v>
      </c>
      <c r="C36" s="193">
        <v>41</v>
      </c>
      <c r="D36" s="182">
        <f t="shared" si="2"/>
        <v>861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95</v>
      </c>
      <c r="B37" s="181">
        <f>'Données projet'!D50</f>
        <v>21</v>
      </c>
      <c r="C37" s="193">
        <v>170.75</v>
      </c>
      <c r="D37" s="182">
        <f>B37*C37</f>
        <v>3585.75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100</v>
      </c>
      <c r="B38" s="181">
        <f>'Données projet'!D51</f>
        <v>21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105</v>
      </c>
      <c r="B39" s="181">
        <f>'Données projet'!D52</f>
        <v>20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110</v>
      </c>
      <c r="B40" s="181">
        <f>'Données projet'!D53</f>
        <v>19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115</v>
      </c>
      <c r="B41" s="181">
        <f>'Données projet'!D54</f>
        <v>16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120</v>
      </c>
      <c r="B42" s="181">
        <f>'Données projet'!D55</f>
        <v>286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f>(1.32+0.9)*1200</f>
        <v>2664.0000000000005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25</v>
      </c>
      <c r="B54" s="181">
        <f>'Données projet'!D62</f>
        <v>8</v>
      </c>
      <c r="C54" s="191">
        <v>1.3</v>
      </c>
      <c r="D54" s="179">
        <f>B54*C54</f>
        <v>10.4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21</v>
      </c>
      <c r="C55" s="191">
        <v>1.3</v>
      </c>
      <c r="D55" s="179">
        <f t="shared" ref="D55:D73" si="4">B55*C55</f>
        <v>27.3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35</v>
      </c>
      <c r="B56" s="181">
        <f>'Données projet'!D64</f>
        <v>21</v>
      </c>
      <c r="C56" s="191">
        <v>2.2799999999999998</v>
      </c>
      <c r="D56" s="179">
        <f t="shared" si="4"/>
        <v>47.879999999999995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40</v>
      </c>
      <c r="B57" s="181">
        <f>'Données projet'!D65</f>
        <v>21</v>
      </c>
      <c r="C57" s="191">
        <v>2.2799999999999998</v>
      </c>
      <c r="D57" s="179">
        <f t="shared" si="4"/>
        <v>47.879999999999995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45</v>
      </c>
      <c r="B58" s="181">
        <f>'Données projet'!D66</f>
        <v>21</v>
      </c>
      <c r="C58" s="191">
        <v>2.2799999999999998</v>
      </c>
      <c r="D58" s="179">
        <f t="shared" si="4"/>
        <v>47.879999999999995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50</v>
      </c>
      <c r="B59" s="181">
        <f>'Données projet'!D67</f>
        <v>21</v>
      </c>
      <c r="C59" s="191">
        <v>2.2799999999999998</v>
      </c>
      <c r="D59" s="179">
        <f>B59*C59</f>
        <v>47.879999999999995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55</v>
      </c>
      <c r="B60" s="181">
        <f>'Données projet'!D68</f>
        <v>21</v>
      </c>
      <c r="C60" s="191">
        <v>2.83</v>
      </c>
      <c r="D60" s="179">
        <f>B60*C60</f>
        <v>59.43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60</v>
      </c>
      <c r="B61" s="181">
        <f>'Données projet'!D69</f>
        <v>21</v>
      </c>
      <c r="C61" s="191">
        <v>2.83</v>
      </c>
      <c r="D61" s="179">
        <f t="shared" si="4"/>
        <v>59.43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65</v>
      </c>
      <c r="B62" s="181">
        <f>'Données projet'!D70</f>
        <v>21</v>
      </c>
      <c r="C62" s="191">
        <v>2.83</v>
      </c>
      <c r="D62" s="179">
        <f t="shared" si="4"/>
        <v>59.43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70</v>
      </c>
      <c r="B63" s="181">
        <f>'Données projet'!D71</f>
        <v>21</v>
      </c>
      <c r="C63" s="191">
        <v>40.5</v>
      </c>
      <c r="D63" s="179">
        <f t="shared" si="4"/>
        <v>850.5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75</v>
      </c>
      <c r="B64" s="181">
        <f>'Données projet'!D72</f>
        <v>21</v>
      </c>
      <c r="C64" s="191">
        <v>40.5</v>
      </c>
      <c r="D64" s="179">
        <f t="shared" si="4"/>
        <v>850.5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80</v>
      </c>
      <c r="B65" s="181">
        <f>'Données projet'!D73</f>
        <v>21</v>
      </c>
      <c r="C65" s="191">
        <v>40.5</v>
      </c>
      <c r="D65" s="179">
        <f t="shared" si="4"/>
        <v>850.5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85</v>
      </c>
      <c r="B66" s="181">
        <f>'Données projet'!D74</f>
        <v>21</v>
      </c>
      <c r="C66" s="191">
        <v>41</v>
      </c>
      <c r="D66" s="179">
        <f t="shared" si="4"/>
        <v>861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90</v>
      </c>
      <c r="B67" s="181">
        <f>'Données projet'!D75</f>
        <v>275</v>
      </c>
      <c r="C67" s="191">
        <v>41</v>
      </c>
      <c r="D67" s="179">
        <f t="shared" si="4"/>
        <v>11275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95</v>
      </c>
      <c r="B68" s="181">
        <f>'Données projet'!D76</f>
        <v>21</v>
      </c>
      <c r="C68" s="191">
        <v>170.75</v>
      </c>
      <c r="D68" s="179">
        <f t="shared" si="4"/>
        <v>3585.75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100</v>
      </c>
      <c r="B69" s="181">
        <f>'Données projet'!D77</f>
        <v>21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105</v>
      </c>
      <c r="B70" s="181">
        <f>'Données projet'!D78</f>
        <v>20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110</v>
      </c>
      <c r="B71" s="181">
        <f>'Données projet'!D79</f>
        <v>19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115</v>
      </c>
      <c r="B72" s="181">
        <f>'Données projet'!D80</f>
        <v>16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120</v>
      </c>
      <c r="B73" s="181">
        <f>'Données projet'!D81</f>
        <v>286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Tilleul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30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f>(1.46+0.9)*1200</f>
        <v>2832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15</v>
      </c>
      <c r="B85" s="181">
        <f>'Données projet'!D88</f>
        <v>3</v>
      </c>
      <c r="C85" s="191">
        <v>0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20</v>
      </c>
      <c r="B86" s="181">
        <f>'Données projet'!D89</f>
        <v>25</v>
      </c>
      <c r="C86" s="191">
        <v>0</v>
      </c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25</v>
      </c>
      <c r="B87" s="181">
        <f>'Données projet'!D90</f>
        <v>27</v>
      </c>
      <c r="C87" s="191">
        <v>10</v>
      </c>
      <c r="D87" s="179">
        <f t="shared" si="6"/>
        <v>270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31</v>
      </c>
      <c r="B88" s="181">
        <f>'Données projet'!D91</f>
        <v>36</v>
      </c>
      <c r="C88" s="191">
        <v>20</v>
      </c>
      <c r="D88" s="179">
        <f t="shared" si="6"/>
        <v>720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37</v>
      </c>
      <c r="B89" s="181">
        <f>'Données projet'!D92</f>
        <v>36</v>
      </c>
      <c r="C89" s="191">
        <v>20</v>
      </c>
      <c r="D89" s="179">
        <f t="shared" si="6"/>
        <v>720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44</v>
      </c>
      <c r="B90" s="181">
        <f>'Données projet'!D93</f>
        <v>43</v>
      </c>
      <c r="C90" s="191">
        <v>20</v>
      </c>
      <c r="D90" s="179">
        <f t="shared" si="6"/>
        <v>860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52</v>
      </c>
      <c r="B91" s="181">
        <f>'Données projet'!D94</f>
        <v>48</v>
      </c>
      <c r="C91" s="191">
        <v>20</v>
      </c>
      <c r="D91" s="179">
        <f t="shared" si="6"/>
        <v>960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60</v>
      </c>
      <c r="B92" s="181">
        <f>'Données projet'!D95</f>
        <v>47</v>
      </c>
      <c r="C92" s="191">
        <v>35</v>
      </c>
      <c r="D92" s="179">
        <f t="shared" si="6"/>
        <v>1645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69</v>
      </c>
      <c r="B93" s="181">
        <f>'Données projet'!D96</f>
        <v>328</v>
      </c>
      <c r="C93" s="191">
        <v>35</v>
      </c>
      <c r="D93" s="179">
        <f t="shared" si="6"/>
        <v>11480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Cèdre de l'Atlas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30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(1.07+0.69)*1200</f>
        <v>2112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20</v>
      </c>
      <c r="B116" s="181">
        <f>'Données projet'!D114</f>
        <v>39.5</v>
      </c>
      <c r="C116" s="191">
        <v>2</v>
      </c>
      <c r="D116" s="179">
        <f>B116*C116</f>
        <v>79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30</v>
      </c>
      <c r="B117" s="181">
        <f>'Données projet'!D115</f>
        <v>67</v>
      </c>
      <c r="C117" s="191">
        <v>4</v>
      </c>
      <c r="D117" s="179">
        <f t="shared" ref="D117:D135" si="8">B117*C117</f>
        <v>268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40</v>
      </c>
      <c r="B118" s="181">
        <f>'Données projet'!D116</f>
        <v>70</v>
      </c>
      <c r="C118" s="193">
        <v>27</v>
      </c>
      <c r="D118" s="179">
        <f t="shared" si="8"/>
        <v>1890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50</v>
      </c>
      <c r="B119" s="181">
        <f>'Données projet'!D117</f>
        <v>75</v>
      </c>
      <c r="C119" s="193">
        <v>27</v>
      </c>
      <c r="D119" s="179">
        <f t="shared" si="8"/>
        <v>2025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60</v>
      </c>
      <c r="B120" s="181">
        <f>'Données projet'!D118</f>
        <v>80</v>
      </c>
      <c r="C120" s="193">
        <v>26.7</v>
      </c>
      <c r="D120" s="179">
        <f t="shared" si="8"/>
        <v>2136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70</v>
      </c>
      <c r="B121" s="181">
        <f>'Données projet'!D119</f>
        <v>87</v>
      </c>
      <c r="C121" s="193">
        <v>46</v>
      </c>
      <c r="D121" s="179">
        <f t="shared" si="8"/>
        <v>4002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80</v>
      </c>
      <c r="B122" s="181">
        <f>'Données projet'!D120</f>
        <v>93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90</v>
      </c>
      <c r="B123" s="181">
        <f>'Données projet'!D121</f>
        <v>98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100</v>
      </c>
      <c r="B124" s="181">
        <f>'Données projet'!D122</f>
        <v>101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Pin maritime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30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f>(0.34+0.69)*1200</f>
        <v>1236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/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12</v>
      </c>
      <c r="B147" s="175">
        <f>'Données projet'!D140</f>
        <v>0</v>
      </c>
      <c r="C147" s="191"/>
      <c r="D147" s="182">
        <f t="shared" ref="D147:D156" si="10"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16</v>
      </c>
      <c r="B148" s="175">
        <f>'Données projet'!D141</f>
        <v>15</v>
      </c>
      <c r="C148" s="191">
        <v>1.95</v>
      </c>
      <c r="D148" s="182">
        <f t="shared" si="10"/>
        <v>29.25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20</v>
      </c>
      <c r="B149" s="175">
        <f>'Données projet'!D142</f>
        <v>22</v>
      </c>
      <c r="C149" s="191">
        <v>1.95</v>
      </c>
      <c r="D149" s="182">
        <f t="shared" si="10"/>
        <v>42.9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24</v>
      </c>
      <c r="B150" s="175">
        <f>'Données projet'!D143</f>
        <v>31</v>
      </c>
      <c r="C150" s="191">
        <v>4.4800000000000004</v>
      </c>
      <c r="D150" s="182">
        <f t="shared" si="10"/>
        <v>138.88000000000002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28</v>
      </c>
      <c r="B151" s="175">
        <f>'Données projet'!D144</f>
        <v>35</v>
      </c>
      <c r="C151" s="191">
        <v>4.4800000000000004</v>
      </c>
      <c r="D151" s="182">
        <f t="shared" si="10"/>
        <v>156.80000000000001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34</v>
      </c>
      <c r="B152" s="175">
        <f>'Données projet'!D145</f>
        <v>46</v>
      </c>
      <c r="C152" s="191">
        <v>4.8</v>
      </c>
      <c r="D152" s="182">
        <f t="shared" si="10"/>
        <v>220.79999999999998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40</v>
      </c>
      <c r="B153" s="175">
        <f>'Données projet'!D146</f>
        <v>41</v>
      </c>
      <c r="C153" s="191">
        <v>4.8</v>
      </c>
      <c r="D153" s="182">
        <f t="shared" si="10"/>
        <v>196.79999999999998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46</v>
      </c>
      <c r="B154" s="175">
        <f>'Données projet'!D147</f>
        <v>29</v>
      </c>
      <c r="C154" s="191">
        <v>27</v>
      </c>
      <c r="D154" s="182">
        <f t="shared" si="10"/>
        <v>783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54</v>
      </c>
      <c r="B155" s="175">
        <f>'Données projet'!D148</f>
        <v>16</v>
      </c>
      <c r="C155" s="191">
        <v>45</v>
      </c>
      <c r="D155" s="182">
        <f t="shared" si="10"/>
        <v>720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62</v>
      </c>
      <c r="B156" s="175">
        <f>'Données projet'!D149</f>
        <v>316</v>
      </c>
      <c r="C156" s="191">
        <v>60</v>
      </c>
      <c r="D156" s="182">
        <f t="shared" si="10"/>
        <v>18960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ref="D157:D166" si="11">B157*C157</f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1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1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1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1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1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1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1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1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1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Sapin méditerranéen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30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f>(1.1+0.69)*1200</f>
        <v>2148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/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50</v>
      </c>
      <c r="B178" s="181">
        <f>'Données projet'!D166</f>
        <v>24</v>
      </c>
      <c r="C178" s="193">
        <v>26.7</v>
      </c>
      <c r="D178" s="179">
        <f>B178*C178</f>
        <v>640.79999999999995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65</v>
      </c>
      <c r="B179" s="181">
        <f>'Données projet'!D167</f>
        <v>173</v>
      </c>
      <c r="C179" s="193">
        <v>27</v>
      </c>
      <c r="D179" s="179">
        <f t="shared" ref="D179:D197" si="12">B179*C179</f>
        <v>4671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80</v>
      </c>
      <c r="B180" s="181">
        <f>'Données projet'!D168</f>
        <v>263</v>
      </c>
      <c r="C180" s="193">
        <v>27</v>
      </c>
      <c r="D180" s="179">
        <f t="shared" si="12"/>
        <v>7101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95</v>
      </c>
      <c r="B181" s="181">
        <f>'Données projet'!D169</f>
        <v>850</v>
      </c>
      <c r="C181" s="193">
        <v>45</v>
      </c>
      <c r="D181" s="179">
        <f t="shared" si="12"/>
        <v>38250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2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2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2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2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2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2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2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2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2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2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2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2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2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2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2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2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30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3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3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3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3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3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3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3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3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3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3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3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3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3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3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3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3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3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3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3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30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/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4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4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4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4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4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4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4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4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4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4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4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4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4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4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4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4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4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4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4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30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5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5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5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5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5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5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5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5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5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5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5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5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5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5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5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5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5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5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5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30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6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6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6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6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6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6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6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6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6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6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6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6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6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6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6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6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6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6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6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Vianney Falconnet</cp:lastModifiedBy>
  <dcterms:created xsi:type="dcterms:W3CDTF">2021-02-01T08:22:39Z</dcterms:created>
  <dcterms:modified xsi:type="dcterms:W3CDTF">2023-07-18T07:03:04Z</dcterms:modified>
</cp:coreProperties>
</file>