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fblgroupe-my.sharepoint.com/personal/adele_baldenweck_cfbl_fr/Documents/Bureau/LA TOUR D'AUVERGNE - RANDOL/documents dépot dossier/"/>
    </mc:Choice>
  </mc:AlternateContent>
  <xr:revisionPtr revIDLastSave="1" documentId="13_ncr:1_{07A7CEFE-5F47-44B3-ACB8-0C744B73C298}" xr6:coauthVersionLast="47" xr6:coauthVersionMax="47" xr10:uidLastSave="{E43403D4-5A6C-4A64-9E1A-FB956B5E4C71}"/>
  <bookViews>
    <workbookView xWindow="-108" yWindow="-108" windowWidth="23256" windowHeight="1245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110" i="6"/>
  <c r="E79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F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V7" i="2"/>
  <c r="HI7" i="2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G113" i="2"/>
  <c r="EC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D155" i="2"/>
  <c r="AX152" i="2"/>
  <c r="DH156" i="2" l="1"/>
  <c r="HG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G157" i="2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A163" i="2"/>
  <c r="EV163" i="2"/>
  <c r="EB163" i="2"/>
  <c r="HG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HH167" i="2"/>
  <c r="EA167" i="2"/>
  <c r="EB167" i="2"/>
  <c r="EX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G178" i="2"/>
  <c r="FS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CD60" i="2" l="1"/>
  <c r="CD31" i="2"/>
  <c r="CD163" i="2"/>
  <c r="CD107" i="2"/>
  <c r="CD67" i="2"/>
  <c r="CD30" i="2"/>
  <c r="CD198" i="2"/>
  <c r="CD120" i="2"/>
  <c r="CD89" i="2"/>
  <c r="CD50" i="2"/>
  <c r="CD76" i="2"/>
  <c r="CD58" i="2"/>
  <c r="CD158" i="2"/>
  <c r="CD8" i="2"/>
  <c r="CD201" i="2"/>
  <c r="CD59" i="2"/>
  <c r="CD53" i="2"/>
  <c r="CD121" i="2"/>
  <c r="CD9" i="2"/>
  <c r="CD80" i="2"/>
  <c r="CD177" i="2"/>
  <c r="CD110" i="2"/>
  <c r="CD16" i="2"/>
  <c r="CD43" i="2"/>
  <c r="CD189" i="2"/>
  <c r="CD160" i="2"/>
  <c r="CD174" i="2"/>
  <c r="CD111" i="2"/>
  <c r="CD130" i="2"/>
  <c r="CD144" i="2"/>
  <c r="CD71" i="2"/>
  <c r="CD45" i="2"/>
  <c r="CD20" i="2"/>
  <c r="CD192" i="2"/>
  <c r="CD142" i="2"/>
  <c r="CD55" i="2"/>
  <c r="CD22" i="2"/>
  <c r="CD62" i="2"/>
  <c r="CD35" i="2"/>
  <c r="CD15" i="2"/>
  <c r="CD186" i="2"/>
  <c r="CD28" i="2"/>
  <c r="CD135" i="2"/>
  <c r="CD65" i="2"/>
  <c r="CD52" i="2"/>
  <c r="CD23" i="2"/>
  <c r="CD152" i="2"/>
  <c r="CD73" i="2"/>
  <c r="CD44" i="2"/>
  <c r="CD34" i="2"/>
  <c r="CD200" i="2"/>
  <c r="CD6" i="2"/>
  <c r="CD136" i="2"/>
  <c r="CD113" i="2"/>
  <c r="CD38" i="2"/>
  <c r="CD64" i="2"/>
  <c r="CD195" i="2"/>
  <c r="CD127" i="2"/>
  <c r="CD97" i="2"/>
  <c r="CD124" i="2"/>
  <c r="CD185" i="2"/>
  <c r="CD48" i="2"/>
  <c r="CD57" i="2"/>
  <c r="CD126" i="2"/>
  <c r="CD78" i="2"/>
  <c r="CD141" i="2"/>
  <c r="CD148" i="2"/>
  <c r="CD19" i="2"/>
  <c r="CD47" i="2"/>
  <c r="CD86" i="2"/>
  <c r="CD69" i="2"/>
  <c r="CD122" i="2"/>
  <c r="CD95" i="2"/>
  <c r="CD153" i="2"/>
  <c r="CD77" i="2"/>
  <c r="CD175" i="2"/>
  <c r="CD18" i="2"/>
  <c r="CD159" i="2"/>
  <c r="CD188" i="2"/>
  <c r="CD194" i="2"/>
  <c r="CD162" i="2"/>
  <c r="CD197" i="2"/>
  <c r="CD165" i="2"/>
  <c r="CD33" i="2"/>
  <c r="CD108" i="2"/>
  <c r="CD156" i="2"/>
  <c r="CD182" i="2"/>
  <c r="CD4" i="2"/>
  <c r="CD143" i="2"/>
  <c r="CD145" i="2"/>
  <c r="CD81" i="2"/>
  <c r="CD10" i="2"/>
  <c r="CD123" i="2"/>
  <c r="CD171" i="2"/>
  <c r="CD79" i="2"/>
  <c r="CD70" i="2"/>
  <c r="CD172" i="2"/>
  <c r="CD131" i="2"/>
  <c r="CD105" i="2"/>
  <c r="CD13" i="2"/>
  <c r="CD169" i="2"/>
  <c r="CD17" i="2"/>
  <c r="CD170" i="2"/>
  <c r="CD146" i="2"/>
  <c r="CD83" i="2"/>
  <c r="CD14" i="2"/>
  <c r="CD193" i="2"/>
  <c r="CD94" i="2"/>
  <c r="CD106" i="2"/>
  <c r="CD5" i="2"/>
  <c r="CD24" i="2"/>
  <c r="CD181" i="2"/>
  <c r="CD3" i="2"/>
  <c r="C9" i="4" s="1"/>
  <c r="E9" i="4" s="1"/>
  <c r="F9" i="4" s="1"/>
  <c r="G9" i="4" s="1"/>
  <c r="L9" i="4" s="1"/>
  <c r="CD166" i="2"/>
  <c r="CD46" i="2"/>
  <c r="CD196" i="2"/>
  <c r="CD187" i="2"/>
  <c r="CD140" i="2"/>
  <c r="CD98" i="2"/>
  <c r="CD100" i="2"/>
  <c r="CD173" i="2"/>
  <c r="CD150" i="2"/>
  <c r="CD167" i="2"/>
  <c r="CD32" i="2"/>
  <c r="CD93" i="2"/>
  <c r="CD36" i="2"/>
  <c r="CD109" i="2"/>
  <c r="CD68" i="2"/>
  <c r="CD90" i="2"/>
  <c r="CD180" i="2"/>
  <c r="CD134" i="2"/>
  <c r="CD183" i="2"/>
  <c r="CD202" i="2"/>
  <c r="CD155" i="2"/>
  <c r="CD102" i="2"/>
  <c r="CD21" i="2"/>
  <c r="CD112" i="2"/>
  <c r="CD54" i="2"/>
  <c r="CD147" i="2"/>
  <c r="CD178" i="2"/>
  <c r="CD42" i="2"/>
  <c r="CD118" i="2"/>
  <c r="CD63" i="2"/>
  <c r="CD99" i="2"/>
  <c r="CD91" i="2"/>
  <c r="CD176" i="2"/>
  <c r="CD133" i="2"/>
  <c r="CD168" i="2"/>
  <c r="CD203" i="2"/>
  <c r="CD191" i="2"/>
  <c r="CD85" i="2"/>
  <c r="CD117" i="2"/>
  <c r="CD199" i="2"/>
  <c r="CD154" i="2"/>
  <c r="CD88" i="2"/>
  <c r="CD125" i="2"/>
  <c r="CD92" i="2"/>
  <c r="CD179" i="2"/>
  <c r="CD157" i="2"/>
  <c r="CD149" i="2"/>
  <c r="CD115" i="2"/>
  <c r="CD40" i="2"/>
  <c r="CD101" i="2"/>
  <c r="CD37" i="2"/>
  <c r="CD12" i="2"/>
  <c r="CD49" i="2"/>
  <c r="CD26" i="2"/>
  <c r="CD139" i="2"/>
  <c r="CD184" i="2"/>
  <c r="CD116" i="2"/>
  <c r="CD137" i="2"/>
  <c r="CD104" i="2"/>
  <c r="CD41" i="2"/>
  <c r="CD132" i="2"/>
  <c r="CD96" i="2"/>
  <c r="CD72" i="2"/>
  <c r="CD74" i="2"/>
  <c r="CD103" i="2"/>
  <c r="CD51" i="2"/>
  <c r="CD87" i="2"/>
  <c r="CD190" i="2"/>
  <c r="CD129" i="2"/>
  <c r="CD66" i="2"/>
  <c r="CD11" i="2"/>
  <c r="CD119" i="2"/>
  <c r="CD29" i="2"/>
  <c r="CD164" i="2"/>
  <c r="CD138" i="2"/>
  <c r="CD114" i="2"/>
  <c r="CD84" i="2"/>
  <c r="CD39" i="2"/>
  <c r="CD61" i="2"/>
  <c r="CD161" i="2"/>
  <c r="CD151" i="2"/>
  <c r="CD56" i="2"/>
  <c r="CD25" i="2"/>
  <c r="CD27" i="2"/>
  <c r="CD7" i="2"/>
  <c r="CD75" i="2"/>
  <c r="CD128" i="2"/>
  <c r="CD82" i="2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<sst xmlns="http://schemas.openxmlformats.org/spreadsheetml/2006/main" count="1173" uniqueCount="324">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</sst>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2.0346083701005098</c:v>
                </c:pt>
                <c:pt idx="2">
                  <c:v>2.848698915747446</c:v>
                </c:pt>
                <c:pt idx="3">
                  <c:v>3.9899426252887658</c:v>
                </c:pt>
                <c:pt idx="4">
                  <c:v>5.5903466393835552</c:v>
                </c:pt>
                <c:pt idx="5">
                  <c:v>7.83538524504264</c:v>
                </c:pt>
                <c:pt idx="6">
                  <c:v>10.985731517362817</c:v>
                </c:pt>
                <c:pt idx="7">
                  <c:v>15.407850044625512</c:v>
                </c:pt>
                <c:pt idx="8">
                  <c:v>21.617074378266139</c:v>
                </c:pt>
                <c:pt idx="9">
                  <c:v>30.338278605620587</c:v>
                </c:pt>
                <c:pt idx="10">
                  <c:v>42.591348832107379</c:v>
                </c:pt>
                <c:pt idx="11">
                  <c:v>59.811618878677223</c:v>
                </c:pt>
                <c:pt idx="12">
                  <c:v>84.019610427781586</c:v>
                </c:pt>
                <c:pt idx="13">
                  <c:v>118.06031314088193</c:v>
                </c:pt>
                <c:pt idx="14">
                  <c:v>165.9405642069666</c:v>
                </c:pt>
                <c:pt idx="15">
                  <c:v>233.30484175109825</c:v>
                </c:pt>
                <c:pt idx="16">
                  <c:v>267.44578983214518</c:v>
                </c:pt>
                <c:pt idx="17">
                  <c:v>301.48848927400928</c:v>
                </c:pt>
                <c:pt idx="18">
                  <c:v>335.44558817007095</c:v>
                </c:pt>
                <c:pt idx="19">
                  <c:v>369.32696235512088</c:v>
                </c:pt>
                <c:pt idx="20">
                  <c:v>403.14052729824169</c:v>
                </c:pt>
                <c:pt idx="21">
                  <c:v>425.4900641128516</c:v>
                </c:pt>
                <c:pt idx="22">
                  <c:v>460.86531362427507</c:v>
                </c:pt>
                <c:pt idx="23">
                  <c:v>496.18262831321022</c:v>
                </c:pt>
                <c:pt idx="24">
                  <c:v>531.44670479748004</c:v>
                </c:pt>
                <c:pt idx="25">
                  <c:v>566.66156628829015</c:v>
                </c:pt>
                <c:pt idx="26">
                  <c:v>544.68739506155214</c:v>
                </c:pt>
                <c:pt idx="27">
                  <c:v>577.0516950477969</c:v>
                </c:pt>
                <c:pt idx="28">
                  <c:v>609.37813237514945</c:v>
                </c:pt>
                <c:pt idx="29">
                  <c:v>641.66899467097437</c:v>
                </c:pt>
                <c:pt idx="30">
                  <c:v>673.92632089044412</c:v>
                </c:pt>
                <c:pt idx="31">
                  <c:v>623.99579455846367</c:v>
                </c:pt>
                <c:pt idx="32">
                  <c:v>652.97455038641306</c:v>
                </c:pt>
                <c:pt idx="33">
                  <c:v>681.9268108715595</c:v>
                </c:pt>
                <c:pt idx="34">
                  <c:v>710.85385738964942</c:v>
                </c:pt>
                <c:pt idx="35">
                  <c:v>739.75685868452183</c:v>
                </c:pt>
                <c:pt idx="36">
                  <c:v>680.98567721693689</c:v>
                </c:pt>
                <c:pt idx="37">
                  <c:v>706.85726762405102</c:v>
                </c:pt>
                <c:pt idx="38">
                  <c:v>732.70950401316429</c:v>
                </c:pt>
                <c:pt idx="39">
                  <c:v>758.54316435646797</c:v>
                </c:pt>
                <c:pt idx="40">
                  <c:v>784.35896939202519</c:v>
                </c:pt>
                <c:pt idx="41">
                  <c:v>715.55514006165993</c:v>
                </c:pt>
                <c:pt idx="42">
                  <c:v>739.52196895800637</c:v>
                </c:pt>
                <c:pt idx="43">
                  <c:v>763.47299401473254</c:v>
                </c:pt>
                <c:pt idx="44">
                  <c:v>787.40878011653638</c:v>
                </c:pt>
                <c:pt idx="45">
                  <c:v>811.32985505325234</c:v>
                </c:pt>
                <c:pt idx="46">
                  <c:v>737.64279642681765</c:v>
                </c:pt>
                <c:pt idx="47">
                  <c:v>760.18651296112273</c:v>
                </c:pt>
                <c:pt idx="48">
                  <c:v>782.7166642850392</c:v>
                </c:pt>
                <c:pt idx="49">
                  <c:v>805.23369532082245</c:v>
                </c:pt>
                <c:pt idx="50">
                  <c:v>827.73802411254826</c:v>
                </c:pt>
                <c:pt idx="51">
                  <c:v>760.65602788121134</c:v>
                </c:pt>
                <c:pt idx="52">
                  <c:v>781.54354651633878</c:v>
                </c:pt>
                <c:pt idx="53">
                  <c:v>802.41976942349982</c:v>
                </c:pt>
                <c:pt idx="54">
                  <c:v>823.28503149104245</c:v>
                </c:pt>
                <c:pt idx="55">
                  <c:v>844.13964927038353</c:v>
                </c:pt>
                <c:pt idx="56">
                  <c:v>786.47040231283734</c:v>
                </c:pt>
                <c:pt idx="57">
                  <c:v>806.17162648284011</c:v>
                </c:pt>
                <c:pt idx="58">
                  <c:v>825.86313877910959</c:v>
                </c:pt>
                <c:pt idx="59">
                  <c:v>845.5452030971519</c:v>
                </c:pt>
                <c:pt idx="60">
                  <c:v>865.21807006056008</c:v>
                </c:pt>
                <c:pt idx="61">
                  <c:v>809.45421233630441</c:v>
                </c:pt>
                <c:pt idx="62">
                  <c:v>828.6754347162622</c:v>
                </c:pt>
                <c:pt idx="63">
                  <c:v>847.8876885854861</c:v>
                </c:pt>
                <c:pt idx="64">
                  <c:v>867.09120553480625</c:v>
                </c:pt>
                <c:pt idx="65">
                  <c:v>886.28620607340736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1.9338651834201261</c:v>
                </c:pt>
                <c:pt idx="2">
                  <c:v>2.411469653450264</c:v>
                </c:pt>
                <c:pt idx="3">
                  <c:v>3.0074910655584675</c:v>
                </c:pt>
                <c:pt idx="4">
                  <c:v>3.7513982188950923</c:v>
                </c:pt>
                <c:pt idx="5">
                  <c:v>4.6800187437428216</c:v>
                </c:pt>
                <c:pt idx="6">
                  <c:v>5.8393826094325183</c:v>
                </c:pt>
                <c:pt idx="7">
                  <c:v>7.2870288257882292</c:v>
                </c:pt>
                <c:pt idx="8">
                  <c:v>9.0948920336569774</c:v>
                </c:pt>
                <c:pt idx="9">
                  <c:v>11.352915152558365</c:v>
                </c:pt>
                <c:pt idx="10">
                  <c:v>14.173571186161757</c:v>
                </c:pt>
                <c:pt idx="11">
                  <c:v>17.697523571336458</c:v>
                </c:pt>
                <c:pt idx="12">
                  <c:v>22.100712466888222</c:v>
                </c:pt>
                <c:pt idx="13">
                  <c:v>27.603227089921088</c:v>
                </c:pt>
                <c:pt idx="14">
                  <c:v>34.48041535389266</c:v>
                </c:pt>
                <c:pt idx="15">
                  <c:v>43.076796325131738</c:v>
                </c:pt>
                <c:pt idx="16">
                  <c:v>53.823484267399721</c:v>
                </c:pt>
                <c:pt idx="17">
                  <c:v>67.260012655349001</c:v>
                </c:pt>
                <c:pt idx="18">
                  <c:v>84.061671751601395</c:v>
                </c:pt>
                <c:pt idx="19">
                  <c:v>105.07375575677501</c:v>
                </c:pt>
                <c:pt idx="20">
                  <c:v>131.35446970954578</c:v>
                </c:pt>
                <c:pt idx="21">
                  <c:v>139.70382844505221</c:v>
                </c:pt>
                <c:pt idx="22">
                  <c:v>157.14740840280285</c:v>
                </c:pt>
                <c:pt idx="23">
                  <c:v>174.54501426785569</c:v>
                </c:pt>
                <c:pt idx="24">
                  <c:v>191.9018762611349</c:v>
                </c:pt>
                <c:pt idx="25">
                  <c:v>209.22219955438311</c:v>
                </c:pt>
                <c:pt idx="26">
                  <c:v>226.50943532106294</c:v>
                </c:pt>
                <c:pt idx="27">
                  <c:v>243.76646443655662</c:v>
                </c:pt>
                <c:pt idx="28">
                  <c:v>260.995726302734</c:v>
                </c:pt>
                <c:pt idx="29">
                  <c:v>278.19931180683267</c:v>
                </c:pt>
                <c:pt idx="30">
                  <c:v>295.37903204669755</c:v>
                </c:pt>
                <c:pt idx="31">
                  <c:v>284.09943356664866</c:v>
                </c:pt>
                <c:pt idx="32">
                  <c:v>301.01520311808832</c:v>
                </c:pt>
                <c:pt idx="33">
                  <c:v>317.90981422337859</c:v>
                </c:pt>
                <c:pt idx="34">
                  <c:v>334.78454936756924</c:v>
                </c:pt>
                <c:pt idx="35">
                  <c:v>351.64055120002314</c:v>
                </c:pt>
                <c:pt idx="36">
                  <c:v>368.47884389364486</c:v>
                </c:pt>
                <c:pt idx="37">
                  <c:v>385.30035039464656</c:v>
                </c:pt>
                <c:pt idx="38">
                  <c:v>402.10590650198742</c:v>
                </c:pt>
                <c:pt idx="39">
                  <c:v>418.89627246995218</c:v>
                </c:pt>
                <c:pt idx="40">
                  <c:v>435.67214265339425</c:v>
                </c:pt>
                <c:pt idx="41">
                  <c:v>406.94102200891183</c:v>
                </c:pt>
                <c:pt idx="42">
                  <c:v>422.71021937835741</c:v>
                </c:pt>
                <c:pt idx="43">
                  <c:v>438.46675717950558</c:v>
                </c:pt>
                <c:pt idx="44">
                  <c:v>454.21115426362923</c:v>
                </c:pt>
                <c:pt idx="45">
                  <c:v>469.94389058892403</c:v>
                </c:pt>
                <c:pt idx="46">
                  <c:v>485.66541136738368</c:v>
                </c:pt>
                <c:pt idx="47">
                  <c:v>501.3761306468694</c:v>
                </c:pt>
                <c:pt idx="48">
                  <c:v>517.07643442094343</c:v>
                </c:pt>
                <c:pt idx="49">
                  <c:v>532.76668334145324</c:v>
                </c:pt>
                <c:pt idx="50">
                  <c:v>548.44721509505155</c:v>
                </c:pt>
                <c:pt idx="51">
                  <c:v>508.3412384318421</c:v>
                </c:pt>
                <c:pt idx="52">
                  <c:v>521.3795852908753</c:v>
                </c:pt>
                <c:pt idx="53">
                  <c:v>534.41106038471037</c:v>
                </c:pt>
                <c:pt idx="54">
                  <c:v>547.43585484879611</c:v>
                </c:pt>
                <c:pt idx="55">
                  <c:v>560.45414998425213</c:v>
                </c:pt>
                <c:pt idx="56">
                  <c:v>573.46611798533206</c:v>
                </c:pt>
                <c:pt idx="57">
                  <c:v>586.47192259744713</c:v>
                </c:pt>
                <c:pt idx="58">
                  <c:v>599.47171971380681</c:v>
                </c:pt>
                <c:pt idx="59">
                  <c:v>612.46565791763487</c:v>
                </c:pt>
                <c:pt idx="60">
                  <c:v>625.45387897599801</c:v>
                </c:pt>
                <c:pt idx="61">
                  <c:v>583.31573182136367</c:v>
                </c:pt>
                <c:pt idx="62">
                  <c:v>594.17154727265392</c:v>
                </c:pt>
                <c:pt idx="63">
                  <c:v>605.02323669636394</c:v>
                </c:pt>
                <c:pt idx="64">
                  <c:v>615.87088451307386</c:v>
                </c:pt>
                <c:pt idx="65">
                  <c:v>626.71457192765126</c:v>
                </c:pt>
                <c:pt idx="66">
                  <c:v>637.55437710644037</c:v>
                </c:pt>
                <c:pt idx="67">
                  <c:v>648.39037534177703</c:v>
                </c:pt>
                <c:pt idx="68">
                  <c:v>659.22263920494072</c:v>
                </c:pt>
                <c:pt idx="69">
                  <c:v>670.05123868853173</c:v>
                </c:pt>
                <c:pt idx="70">
                  <c:v>680.87624133917302</c:v>
                </c:pt>
                <c:pt idx="71">
                  <c:v>640.8307746883512</c:v>
                </c:pt>
                <c:pt idx="72">
                  <c:v>649.90207658109864</c:v>
                </c:pt>
                <c:pt idx="73">
                  <c:v>658.97076797636078</c:v>
                </c:pt>
                <c:pt idx="74">
                  <c:v>668.03688985850647</c:v>
                </c:pt>
                <c:pt idx="75">
                  <c:v>677.10048200897734</c:v>
                </c:pt>
                <c:pt idx="76">
                  <c:v>686.16158305756733</c:v>
                </c:pt>
                <c:pt idx="77">
                  <c:v>695.22023053085525</c:v>
                </c:pt>
                <c:pt idx="78">
                  <c:v>704.27646089797929</c:v>
                </c:pt>
                <c:pt idx="79">
                  <c:v>713.3303096139399</c:v>
                </c:pt>
                <c:pt idx="80">
                  <c:v>722.3818111605882</c:v>
                </c:pt>
                <c:pt idx="81">
                  <c:v>685.40658552693594</c:v>
                </c:pt>
                <c:pt idx="82">
                  <c:v>693.71062477868156</c:v>
                </c:pt>
                <c:pt idx="83">
                  <c:v>702.0126279540176</c:v>
                </c:pt>
                <c:pt idx="84">
                  <c:v>710.31262252176236</c:v>
                </c:pt>
                <c:pt idx="85">
                  <c:v>718.6106352565788</c:v>
                </c:pt>
                <c:pt idx="86">
                  <c:v>726.90669226450029</c:v>
                </c:pt>
                <c:pt idx="87">
                  <c:v>735.20081900723153</c:v>
                </c:pt>
                <c:pt idx="88">
                  <c:v>743.49304032529551</c:v>
                </c:pt>
                <c:pt idx="89">
                  <c:v>751.7833804600956</c:v>
                </c:pt>
                <c:pt idx="90">
                  <c:v>760.07186307495351</c:v>
                </c:pt>
                <c:pt idx="91">
                  <c:v>723.01030136305917</c:v>
                </c:pt>
                <c:pt idx="92">
                  <c:v>731.17966370340821</c:v>
                </c:pt>
                <c:pt idx="93">
                  <c:v>739.34716631546871</c:v>
                </c:pt>
                <c:pt idx="94">
                  <c:v>747.51283263453877</c:v>
                </c:pt>
                <c:pt idx="95">
                  <c:v>755.67668554230602</c:v>
                </c:pt>
                <c:pt idx="96">
                  <c:v>763.83874738589475</c:v>
                </c:pt>
                <c:pt idx="97">
                  <c:v>771.99903999605385</c:v>
                </c:pt>
                <c:pt idx="98">
                  <c:v>780.15758470453727</c:v>
                </c:pt>
                <c:pt idx="99">
                  <c:v>788.31440236071967</c:v>
                </c:pt>
                <c:pt idx="100">
                  <c:v>796.4695133474894</c:v>
                </c:pt>
                <c:pt idx="101">
                  <c:v>8.3054307361994904E-12</c:v>
                </c:pt>
                <c:pt idx="102">
                  <c:v>8.3054307361994904E-12</c:v>
                </c:pt>
                <c:pt idx="103">
                  <c:v>8.3054307361994904E-12</c:v>
                </c:pt>
                <c:pt idx="104">
                  <c:v>8.3054307361994904E-12</c:v>
                </c:pt>
                <c:pt idx="105">
                  <c:v>8.3054307361994904E-12</c:v>
                </c:pt>
                <c:pt idx="106">
                  <c:v>8.3054307361994904E-12</c:v>
                </c:pt>
                <c:pt idx="107">
                  <c:v>8.3054307361994904E-12</c:v>
                </c:pt>
                <c:pt idx="108">
                  <c:v>8.3054307361994904E-12</c:v>
                </c:pt>
                <c:pt idx="109">
                  <c:v>8.3054307361994904E-12</c:v>
                </c:pt>
                <c:pt idx="110">
                  <c:v>8.3054307361994904E-12</c:v>
                </c:pt>
                <c:pt idx="111">
                  <c:v>8.3054307361994904E-12</c:v>
                </c:pt>
                <c:pt idx="112">
                  <c:v>8.3054307361994904E-12</c:v>
                </c:pt>
                <c:pt idx="113">
                  <c:v>8.3054307361994904E-12</c:v>
                </c:pt>
                <c:pt idx="114">
                  <c:v>8.3054307361994904E-12</c:v>
                </c:pt>
                <c:pt idx="115">
                  <c:v>8.3054307361994904E-12</c:v>
                </c:pt>
                <c:pt idx="116">
                  <c:v>8.3054307361994904E-12</c:v>
                </c:pt>
                <c:pt idx="117">
                  <c:v>8.3054307361994904E-12</c:v>
                </c:pt>
                <c:pt idx="118">
                  <c:v>8.3054307361994904E-12</c:v>
                </c:pt>
                <c:pt idx="119">
                  <c:v>8.3054307361994904E-12</c:v>
                </c:pt>
                <c:pt idx="120">
                  <c:v>8.3054307361994904E-12</c:v>
                </c:pt>
                <c:pt idx="121">
                  <c:v>8.3054307361994904E-12</c:v>
                </c:pt>
                <c:pt idx="122">
                  <c:v>8.3054307361994904E-12</c:v>
                </c:pt>
                <c:pt idx="123">
                  <c:v>8.3054307361994904E-12</c:v>
                </c:pt>
                <c:pt idx="124">
                  <c:v>8.3054307361994904E-12</c:v>
                </c:pt>
                <c:pt idx="125">
                  <c:v>8.3054307361994904E-12</c:v>
                </c:pt>
                <c:pt idx="126">
                  <c:v>8.3054307361994904E-12</c:v>
                </c:pt>
                <c:pt idx="127">
                  <c:v>8.3054307361994904E-12</c:v>
                </c:pt>
                <c:pt idx="128">
                  <c:v>8.3054307361994904E-12</c:v>
                </c:pt>
                <c:pt idx="129">
                  <c:v>8.3054307361994904E-12</c:v>
                </c:pt>
                <c:pt idx="130">
                  <c:v>8.3054307361994904E-12</c:v>
                </c:pt>
                <c:pt idx="131">
                  <c:v>8.3054307361994904E-12</c:v>
                </c:pt>
                <c:pt idx="132">
                  <c:v>8.3054307361994904E-12</c:v>
                </c:pt>
                <c:pt idx="133">
                  <c:v>8.3054307361994904E-12</c:v>
                </c:pt>
                <c:pt idx="134">
                  <c:v>8.3054307361994904E-12</c:v>
                </c:pt>
                <c:pt idx="135">
                  <c:v>8.3054307361994904E-12</c:v>
                </c:pt>
                <c:pt idx="136">
                  <c:v>8.3054307361994904E-12</c:v>
                </c:pt>
                <c:pt idx="137">
                  <c:v>8.3054307361994904E-12</c:v>
                </c:pt>
                <c:pt idx="138">
                  <c:v>8.3054307361994904E-12</c:v>
                </c:pt>
                <c:pt idx="139">
                  <c:v>8.3054307361994904E-12</c:v>
                </c:pt>
                <c:pt idx="140">
                  <c:v>8.3054307361994904E-12</c:v>
                </c:pt>
                <c:pt idx="141">
                  <c:v>8.3054307361994904E-12</c:v>
                </c:pt>
                <c:pt idx="142">
                  <c:v>8.3054307361994904E-12</c:v>
                </c:pt>
                <c:pt idx="143">
                  <c:v>8.3054307361994904E-12</c:v>
                </c:pt>
                <c:pt idx="144">
                  <c:v>8.3054307361994904E-12</c:v>
                </c:pt>
                <c:pt idx="145">
                  <c:v>8.3054307361994904E-12</c:v>
                </c:pt>
                <c:pt idx="146">
                  <c:v>8.3054307361994904E-12</c:v>
                </c:pt>
                <c:pt idx="147">
                  <c:v>8.3054307361994904E-12</c:v>
                </c:pt>
                <c:pt idx="148">
                  <c:v>8.3054307361994904E-12</c:v>
                </c:pt>
                <c:pt idx="149">
                  <c:v>8.3054307361994904E-12</c:v>
                </c:pt>
                <c:pt idx="150">
                  <c:v>8.3054307361994904E-12</c:v>
                </c:pt>
                <c:pt idx="151">
                  <c:v>8.3054307361994904E-12</c:v>
                </c:pt>
                <c:pt idx="152">
                  <c:v>8.3054307361994904E-12</c:v>
                </c:pt>
                <c:pt idx="153">
                  <c:v>8.3054307361994904E-12</c:v>
                </c:pt>
                <c:pt idx="154">
                  <c:v>8.3054307361994904E-12</c:v>
                </c:pt>
                <c:pt idx="155">
                  <c:v>8.3054307361994904E-12</c:v>
                </c:pt>
                <c:pt idx="156">
                  <c:v>8.3054307361994904E-12</c:v>
                </c:pt>
                <c:pt idx="157">
                  <c:v>8.3054307361994904E-12</c:v>
                </c:pt>
                <c:pt idx="158">
                  <c:v>8.3054307361994904E-12</c:v>
                </c:pt>
                <c:pt idx="159">
                  <c:v>8.3054307361994904E-12</c:v>
                </c:pt>
                <c:pt idx="160">
                  <c:v>8.3054307361994904E-12</c:v>
                </c:pt>
                <c:pt idx="161">
                  <c:v>8.3054307361994904E-12</c:v>
                </c:pt>
                <c:pt idx="162">
                  <c:v>8.3054307361994904E-12</c:v>
                </c:pt>
                <c:pt idx="163">
                  <c:v>8.3054307361994904E-12</c:v>
                </c:pt>
                <c:pt idx="164">
                  <c:v>8.3054307361994904E-12</c:v>
                </c:pt>
                <c:pt idx="165">
                  <c:v>8.3054307361994904E-12</c:v>
                </c:pt>
                <c:pt idx="166">
                  <c:v>8.3054307361994904E-12</c:v>
                </c:pt>
                <c:pt idx="167">
                  <c:v>8.3054307361994904E-12</c:v>
                </c:pt>
                <c:pt idx="168">
                  <c:v>8.3054307361994904E-12</c:v>
                </c:pt>
                <c:pt idx="169">
                  <c:v>8.3054307361994904E-12</c:v>
                </c:pt>
                <c:pt idx="170">
                  <c:v>8.3054307361994904E-12</c:v>
                </c:pt>
                <c:pt idx="171">
                  <c:v>8.3054307361994904E-12</c:v>
                </c:pt>
                <c:pt idx="172">
                  <c:v>8.3054307361994904E-12</c:v>
                </c:pt>
                <c:pt idx="173">
                  <c:v>8.3054307361994904E-12</c:v>
                </c:pt>
                <c:pt idx="174">
                  <c:v>8.3054307361994904E-12</c:v>
                </c:pt>
                <c:pt idx="175">
                  <c:v>8.3054307361994904E-12</c:v>
                </c:pt>
                <c:pt idx="176">
                  <c:v>8.3054307361994904E-12</c:v>
                </c:pt>
                <c:pt idx="177">
                  <c:v>8.3054307361994904E-12</c:v>
                </c:pt>
                <c:pt idx="178">
                  <c:v>8.3054307361994904E-12</c:v>
                </c:pt>
                <c:pt idx="179">
                  <c:v>8.3054307361994904E-12</c:v>
                </c:pt>
                <c:pt idx="180">
                  <c:v>8.3054307361994904E-12</c:v>
                </c:pt>
                <c:pt idx="181">
                  <c:v>8.3054307361994904E-12</c:v>
                </c:pt>
                <c:pt idx="182">
                  <c:v>8.3054307361994904E-12</c:v>
                </c:pt>
                <c:pt idx="183">
                  <c:v>8.3054307361994904E-12</c:v>
                </c:pt>
                <c:pt idx="184">
                  <c:v>8.3054307361994904E-12</c:v>
                </c:pt>
                <c:pt idx="185">
                  <c:v>8.3054307361994904E-12</c:v>
                </c:pt>
                <c:pt idx="186">
                  <c:v>8.3054307361994904E-12</c:v>
                </c:pt>
                <c:pt idx="187">
                  <c:v>8.3054307361994904E-12</c:v>
                </c:pt>
                <c:pt idx="188">
                  <c:v>8.3054307361994904E-12</c:v>
                </c:pt>
                <c:pt idx="189">
                  <c:v>8.3054307361994904E-12</c:v>
                </c:pt>
                <c:pt idx="190">
                  <c:v>8.3054307361994904E-12</c:v>
                </c:pt>
                <c:pt idx="191">
                  <c:v>8.3054307361994904E-12</c:v>
                </c:pt>
                <c:pt idx="192">
                  <c:v>8.3054307361994904E-12</c:v>
                </c:pt>
                <c:pt idx="193">
                  <c:v>8.3054307361994904E-12</c:v>
                </c:pt>
                <c:pt idx="194">
                  <c:v>8.3054307361994904E-12</c:v>
                </c:pt>
                <c:pt idx="195">
                  <c:v>8.3054307361994904E-12</c:v>
                </c:pt>
                <c:pt idx="196">
                  <c:v>8.3054307361994904E-12</c:v>
                </c:pt>
                <c:pt idx="197">
                  <c:v>8.3054307361994904E-12</c:v>
                </c:pt>
                <c:pt idx="198">
                  <c:v>8.3054307361994904E-12</c:v>
                </c:pt>
                <c:pt idx="199">
                  <c:v>8.3054307361994904E-12</c:v>
                </c:pt>
                <c:pt idx="200">
                  <c:v>8.3054307361994904E-12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1.6285034943697572</c:v>
                </c:pt>
                <c:pt idx="2">
                  <c:v>2.10834593559394</c:v>
                </c:pt>
                <c:pt idx="3">
                  <c:v>2.7301550598420192</c:v>
                </c:pt>
                <c:pt idx="4">
                  <c:v>3.5360954035455823</c:v>
                </c:pt>
                <c:pt idx="5">
                  <c:v>4.5808996351865483</c:v>
                </c:pt>
                <c:pt idx="6">
                  <c:v>5.9356273006078171</c:v>
                </c:pt>
                <c:pt idx="7">
                  <c:v>7.692551153663941</c:v>
                </c:pt>
                <c:pt idx="8">
                  <c:v>9.9715102890492897</c:v>
                </c:pt>
                <c:pt idx="9">
                  <c:v>12.928171603936716</c:v>
                </c:pt>
                <c:pt idx="10">
                  <c:v>16.764774353715051</c:v>
                </c:pt>
                <c:pt idx="11">
                  <c:v>21.744106104167642</c:v>
                </c:pt>
                <c:pt idx="12">
                  <c:v>28.207684431147282</c:v>
                </c:pt>
                <c:pt idx="13">
                  <c:v>36.599413200698606</c:v>
                </c:pt>
                <c:pt idx="14">
                  <c:v>47.496365935208495</c:v>
                </c:pt>
                <c:pt idx="15">
                  <c:v>61.64884869935576</c:v>
                </c:pt>
                <c:pt idx="16">
                  <c:v>89.122624817419606</c:v>
                </c:pt>
                <c:pt idx="17">
                  <c:v>116.38136504887065</c:v>
                </c:pt>
                <c:pt idx="18">
                  <c:v>143.48313931136238</c:v>
                </c:pt>
                <c:pt idx="19">
                  <c:v>170.46193674497437</c:v>
                </c:pt>
                <c:pt idx="20">
                  <c:v>197.34001206009097</c:v>
                </c:pt>
                <c:pt idx="21">
                  <c:v>184.22499057372553</c:v>
                </c:pt>
                <c:pt idx="22">
                  <c:v>215.83345410032075</c:v>
                </c:pt>
                <c:pt idx="23">
                  <c:v>247.33527237401009</c:v>
                </c:pt>
                <c:pt idx="24">
                  <c:v>278.74594298198662</c:v>
                </c:pt>
                <c:pt idx="25">
                  <c:v>310.07717798339257</c:v>
                </c:pt>
                <c:pt idx="26">
                  <c:v>263.46448239355612</c:v>
                </c:pt>
                <c:pt idx="27">
                  <c:v>296.2758548734829</c:v>
                </c:pt>
                <c:pt idx="28">
                  <c:v>329.00617208091745</c:v>
                </c:pt>
                <c:pt idx="29">
                  <c:v>361.66462434121917</c:v>
                </c:pt>
                <c:pt idx="30">
                  <c:v>394.25860629818544</c:v>
                </c:pt>
                <c:pt idx="31">
                  <c:v>346.88428679596865</c:v>
                </c:pt>
                <c:pt idx="32">
                  <c:v>378.48174040506427</c:v>
                </c:pt>
                <c:pt idx="33">
                  <c:v>410.02179129856216</c:v>
                </c:pt>
                <c:pt idx="34">
                  <c:v>441.50947017141607</c:v>
                </c:pt>
                <c:pt idx="35">
                  <c:v>472.94903211084278</c:v>
                </c:pt>
                <c:pt idx="36">
                  <c:v>424.545071417987</c:v>
                </c:pt>
                <c:pt idx="37">
                  <c:v>454.78506058806698</c:v>
                </c:pt>
                <c:pt idx="38">
                  <c:v>484.98209448278493</c:v>
                </c:pt>
                <c:pt idx="39">
                  <c:v>515.13922000966511</c:v>
                </c:pt>
                <c:pt idx="40">
                  <c:v>545.25909862367212</c:v>
                </c:pt>
                <c:pt idx="41">
                  <c:v>495.58224490397157</c:v>
                </c:pt>
                <c:pt idx="42">
                  <c:v>524.30111856958581</c:v>
                </c:pt>
                <c:pt idx="43">
                  <c:v>552.9868623362263</c:v>
                </c:pt>
                <c:pt idx="44">
                  <c:v>581.6414340654934</c:v>
                </c:pt>
                <c:pt idx="45">
                  <c:v>610.26658322144317</c:v>
                </c:pt>
                <c:pt idx="46">
                  <c:v>559.08612817799042</c:v>
                </c:pt>
                <c:pt idx="47">
                  <c:v>586.1096648062113</c:v>
                </c:pt>
                <c:pt idx="48">
                  <c:v>613.10725230610979</c:v>
                </c:pt>
                <c:pt idx="49">
                  <c:v>640.08019248318715</c:v>
                </c:pt>
                <c:pt idx="50">
                  <c:v>667.02966862520373</c:v>
                </c:pt>
                <c:pt idx="51">
                  <c:v>614.73036912240741</c:v>
                </c:pt>
                <c:pt idx="52">
                  <c:v>640.48561870423794</c:v>
                </c:pt>
                <c:pt idx="53">
                  <c:v>666.2194897168099</c:v>
                </c:pt>
                <c:pt idx="54">
                  <c:v>691.93292300583641</c:v>
                </c:pt>
                <c:pt idx="55">
                  <c:v>717.62678388294546</c:v>
                </c:pt>
                <c:pt idx="56">
                  <c:v>667.83982729366255</c:v>
                </c:pt>
                <c:pt idx="57">
                  <c:v>691.93292300583641</c:v>
                </c:pt>
                <c:pt idx="58">
                  <c:v>716.008835054629</c:v>
                </c:pt>
                <c:pt idx="59">
                  <c:v>740.06822179602466</c:v>
                </c:pt>
                <c:pt idx="60">
                  <c:v>764.11169534741384</c:v>
                </c:pt>
                <c:pt idx="61">
                  <c:v>720.05356754285856</c:v>
                </c:pt>
                <c:pt idx="62">
                  <c:v>742.69558339755292</c:v>
                </c:pt>
                <c:pt idx="63">
                  <c:v>765.32356041820628</c:v>
                </c:pt>
                <c:pt idx="64">
                  <c:v>787.93797157517736</c:v>
                </c:pt>
                <c:pt idx="65">
                  <c:v>810.53926051226051</c:v>
                </c:pt>
                <c:pt idx="66">
                  <c:v>769.76673318049586</c:v>
                </c:pt>
                <c:pt idx="67">
                  <c:v>791.57119539252324</c:v>
                </c:pt>
                <c:pt idx="68">
                  <c:v>813.36352001271541</c:v>
                </c:pt>
                <c:pt idx="69">
                  <c:v>835.1440775999223</c:v>
                </c:pt>
                <c:pt idx="70">
                  <c:v>856.91321783488991</c:v>
                </c:pt>
                <c:pt idx="71">
                  <c:v>816.99442040655003</c:v>
                </c:pt>
                <c:pt idx="72">
                  <c:v>837.56342857465359</c:v>
                </c:pt>
                <c:pt idx="73">
                  <c:v>858.12228647270933</c:v>
                </c:pt>
                <c:pt idx="74">
                  <c:v>878.67127120765053</c:v>
                </c:pt>
                <c:pt idx="75">
                  <c:v>899.21064588597574</c:v>
                </c:pt>
                <c:pt idx="76">
                  <c:v>859.53282338061706</c:v>
                </c:pt>
                <c:pt idx="77">
                  <c:v>878.26844314506661</c:v>
                </c:pt>
                <c:pt idx="78">
                  <c:v>896.99606989594133</c:v>
                </c:pt>
                <c:pt idx="79">
                  <c:v>915.7158938084259</c:v>
                </c:pt>
                <c:pt idx="80">
                  <c:v>934.42809665834204</c:v>
                </c:pt>
                <c:pt idx="81">
                  <c:v>1.6301611558033651E-12</c:v>
                </c:pt>
                <c:pt idx="82">
                  <c:v>1.6301611558033651E-12</c:v>
                </c:pt>
                <c:pt idx="83">
                  <c:v>1.6301611558033651E-12</c:v>
                </c:pt>
                <c:pt idx="84">
                  <c:v>1.6301611558033651E-12</c:v>
                </c:pt>
                <c:pt idx="85">
                  <c:v>1.6301611558033651E-12</c:v>
                </c:pt>
                <c:pt idx="86">
                  <c:v>1.6301611558033651E-12</c:v>
                </c:pt>
                <c:pt idx="87">
                  <c:v>1.6301611558033651E-12</c:v>
                </c:pt>
                <c:pt idx="88">
                  <c:v>1.6301611558033651E-12</c:v>
                </c:pt>
                <c:pt idx="89">
                  <c:v>1.6301611558033651E-12</c:v>
                </c:pt>
                <c:pt idx="90">
                  <c:v>1.6301611558033651E-12</c:v>
                </c:pt>
                <c:pt idx="91">
                  <c:v>1.6301611558033651E-12</c:v>
                </c:pt>
                <c:pt idx="92">
                  <c:v>1.6301611558033651E-12</c:v>
                </c:pt>
                <c:pt idx="93">
                  <c:v>1.6301611558033651E-12</c:v>
                </c:pt>
                <c:pt idx="94">
                  <c:v>1.6301611558033651E-12</c:v>
                </c:pt>
                <c:pt idx="95">
                  <c:v>1.6301611558033651E-12</c:v>
                </c:pt>
                <c:pt idx="96">
                  <c:v>1.6301611558033651E-12</c:v>
                </c:pt>
                <c:pt idx="97">
                  <c:v>1.6301611558033651E-12</c:v>
                </c:pt>
                <c:pt idx="98">
                  <c:v>1.6301611558033651E-12</c:v>
                </c:pt>
                <c:pt idx="99">
                  <c:v>1.6301611558033651E-12</c:v>
                </c:pt>
                <c:pt idx="100">
                  <c:v>1.6301611558033651E-12</c:v>
                </c:pt>
                <c:pt idx="101">
                  <c:v>1.6301611558033651E-12</c:v>
                </c:pt>
                <c:pt idx="102">
                  <c:v>1.6301611558033651E-12</c:v>
                </c:pt>
                <c:pt idx="103">
                  <c:v>1.6301611558033651E-12</c:v>
                </c:pt>
                <c:pt idx="104">
                  <c:v>1.6301611558033651E-12</c:v>
                </c:pt>
                <c:pt idx="105">
                  <c:v>1.6301611558033651E-12</c:v>
                </c:pt>
                <c:pt idx="106">
                  <c:v>1.6301611558033651E-12</c:v>
                </c:pt>
                <c:pt idx="107">
                  <c:v>1.6301611558033651E-12</c:v>
                </c:pt>
                <c:pt idx="108">
                  <c:v>1.6301611558033651E-12</c:v>
                </c:pt>
                <c:pt idx="109">
                  <c:v>1.6301611558033651E-12</c:v>
                </c:pt>
                <c:pt idx="110">
                  <c:v>1.6301611558033651E-12</c:v>
                </c:pt>
                <c:pt idx="111">
                  <c:v>1.6301611558033651E-12</c:v>
                </c:pt>
                <c:pt idx="112">
                  <c:v>1.6301611558033651E-12</c:v>
                </c:pt>
                <c:pt idx="113">
                  <c:v>1.6301611558033651E-12</c:v>
                </c:pt>
                <c:pt idx="114">
                  <c:v>1.6301611558033651E-12</c:v>
                </c:pt>
                <c:pt idx="115">
                  <c:v>1.6301611558033651E-12</c:v>
                </c:pt>
                <c:pt idx="116">
                  <c:v>1.6301611558033651E-12</c:v>
                </c:pt>
                <c:pt idx="117">
                  <c:v>1.6301611558033651E-12</c:v>
                </c:pt>
                <c:pt idx="118">
                  <c:v>1.6301611558033651E-12</c:v>
                </c:pt>
                <c:pt idx="119">
                  <c:v>1.6301611558033651E-12</c:v>
                </c:pt>
                <c:pt idx="120">
                  <c:v>1.6301611558033651E-12</c:v>
                </c:pt>
                <c:pt idx="121">
                  <c:v>1.6301611558033651E-12</c:v>
                </c:pt>
                <c:pt idx="122">
                  <c:v>1.6301611558033651E-12</c:v>
                </c:pt>
                <c:pt idx="123">
                  <c:v>1.6301611558033651E-12</c:v>
                </c:pt>
                <c:pt idx="124">
                  <c:v>1.6301611558033651E-12</c:v>
                </c:pt>
                <c:pt idx="125">
                  <c:v>1.6301611558033651E-12</c:v>
                </c:pt>
                <c:pt idx="126">
                  <c:v>1.6301611558033651E-12</c:v>
                </c:pt>
                <c:pt idx="127">
                  <c:v>1.6301611558033651E-12</c:v>
                </c:pt>
                <c:pt idx="128">
                  <c:v>1.6301611558033651E-12</c:v>
                </c:pt>
                <c:pt idx="129">
                  <c:v>1.6301611558033651E-12</c:v>
                </c:pt>
                <c:pt idx="130">
                  <c:v>1.6301611558033651E-12</c:v>
                </c:pt>
                <c:pt idx="131">
                  <c:v>1.6301611558033651E-12</c:v>
                </c:pt>
                <c:pt idx="132">
                  <c:v>1.6301611558033651E-12</c:v>
                </c:pt>
                <c:pt idx="133">
                  <c:v>1.6301611558033651E-12</c:v>
                </c:pt>
                <c:pt idx="134">
                  <c:v>1.6301611558033651E-12</c:v>
                </c:pt>
                <c:pt idx="135">
                  <c:v>1.6301611558033651E-12</c:v>
                </c:pt>
                <c:pt idx="136">
                  <c:v>1.6301611558033651E-12</c:v>
                </c:pt>
                <c:pt idx="137">
                  <c:v>1.6301611558033651E-12</c:v>
                </c:pt>
                <c:pt idx="138">
                  <c:v>1.6301611558033651E-12</c:v>
                </c:pt>
                <c:pt idx="139">
                  <c:v>1.6301611558033651E-12</c:v>
                </c:pt>
                <c:pt idx="140">
                  <c:v>1.6301611558033651E-12</c:v>
                </c:pt>
                <c:pt idx="141">
                  <c:v>1.6301611558033651E-12</c:v>
                </c:pt>
                <c:pt idx="142">
                  <c:v>1.6301611558033651E-12</c:v>
                </c:pt>
                <c:pt idx="143">
                  <c:v>1.6301611558033651E-12</c:v>
                </c:pt>
                <c:pt idx="144">
                  <c:v>1.6301611558033651E-12</c:v>
                </c:pt>
                <c:pt idx="145">
                  <c:v>1.6301611558033651E-12</c:v>
                </c:pt>
                <c:pt idx="146">
                  <c:v>1.6301611558033651E-12</c:v>
                </c:pt>
                <c:pt idx="147">
                  <c:v>1.6301611558033651E-12</c:v>
                </c:pt>
                <c:pt idx="148">
                  <c:v>1.6301611558033651E-12</c:v>
                </c:pt>
                <c:pt idx="149">
                  <c:v>1.6301611558033651E-12</c:v>
                </c:pt>
                <c:pt idx="150">
                  <c:v>1.6301611558033651E-12</c:v>
                </c:pt>
                <c:pt idx="151">
                  <c:v>1.6301611558033651E-12</c:v>
                </c:pt>
                <c:pt idx="152">
                  <c:v>1.6301611558033651E-12</c:v>
                </c:pt>
                <c:pt idx="153">
                  <c:v>1.6301611558033651E-12</c:v>
                </c:pt>
                <c:pt idx="154">
                  <c:v>1.6301611558033651E-12</c:v>
                </c:pt>
                <c:pt idx="155">
                  <c:v>1.6301611558033651E-12</c:v>
                </c:pt>
                <c:pt idx="156">
                  <c:v>1.6301611558033651E-12</c:v>
                </c:pt>
                <c:pt idx="157">
                  <c:v>1.6301611558033651E-12</c:v>
                </c:pt>
                <c:pt idx="158">
                  <c:v>1.6301611558033651E-12</c:v>
                </c:pt>
                <c:pt idx="159">
                  <c:v>1.6301611558033651E-12</c:v>
                </c:pt>
                <c:pt idx="160">
                  <c:v>1.6301611558033651E-12</c:v>
                </c:pt>
                <c:pt idx="161">
                  <c:v>1.6301611558033651E-12</c:v>
                </c:pt>
                <c:pt idx="162">
                  <c:v>1.6301611558033651E-12</c:v>
                </c:pt>
                <c:pt idx="163">
                  <c:v>1.6301611558033651E-12</c:v>
                </c:pt>
                <c:pt idx="164">
                  <c:v>1.6301611558033651E-12</c:v>
                </c:pt>
                <c:pt idx="165">
                  <c:v>1.6301611558033651E-12</c:v>
                </c:pt>
                <c:pt idx="166">
                  <c:v>1.6301611558033651E-12</c:v>
                </c:pt>
                <c:pt idx="167">
                  <c:v>1.6301611558033651E-12</c:v>
                </c:pt>
                <c:pt idx="168">
                  <c:v>1.6301611558033651E-12</c:v>
                </c:pt>
                <c:pt idx="169">
                  <c:v>1.6301611558033651E-12</c:v>
                </c:pt>
                <c:pt idx="170">
                  <c:v>1.6301611558033651E-12</c:v>
                </c:pt>
                <c:pt idx="171">
                  <c:v>1.6301611558033651E-12</c:v>
                </c:pt>
                <c:pt idx="172">
                  <c:v>1.6301611558033651E-12</c:v>
                </c:pt>
                <c:pt idx="173">
                  <c:v>1.6301611558033651E-12</c:v>
                </c:pt>
                <c:pt idx="174">
                  <c:v>1.6301611558033651E-12</c:v>
                </c:pt>
                <c:pt idx="175">
                  <c:v>1.6301611558033651E-12</c:v>
                </c:pt>
                <c:pt idx="176">
                  <c:v>1.6301611558033651E-12</c:v>
                </c:pt>
                <c:pt idx="177">
                  <c:v>1.6301611558033651E-12</c:v>
                </c:pt>
                <c:pt idx="178">
                  <c:v>1.6301611558033651E-12</c:v>
                </c:pt>
                <c:pt idx="179">
                  <c:v>1.6301611558033651E-12</c:v>
                </c:pt>
                <c:pt idx="180">
                  <c:v>1.6301611558033651E-12</c:v>
                </c:pt>
                <c:pt idx="181">
                  <c:v>1.6301611558033651E-12</c:v>
                </c:pt>
                <c:pt idx="182">
                  <c:v>1.6301611558033651E-12</c:v>
                </c:pt>
                <c:pt idx="183">
                  <c:v>1.6301611558033651E-12</c:v>
                </c:pt>
                <c:pt idx="184">
                  <c:v>1.6301611558033651E-12</c:v>
                </c:pt>
                <c:pt idx="185">
                  <c:v>1.6301611558033651E-12</c:v>
                </c:pt>
                <c:pt idx="186">
                  <c:v>1.6301611558033651E-12</c:v>
                </c:pt>
                <c:pt idx="187">
                  <c:v>1.6301611558033651E-12</c:v>
                </c:pt>
                <c:pt idx="188">
                  <c:v>1.6301611558033651E-12</c:v>
                </c:pt>
                <c:pt idx="189">
                  <c:v>1.6301611558033651E-12</c:v>
                </c:pt>
                <c:pt idx="190">
                  <c:v>1.6301611558033651E-12</c:v>
                </c:pt>
                <c:pt idx="191">
                  <c:v>1.6301611558033651E-12</c:v>
                </c:pt>
                <c:pt idx="192">
                  <c:v>1.6301611558033651E-12</c:v>
                </c:pt>
                <c:pt idx="193">
                  <c:v>1.6301611558033651E-12</c:v>
                </c:pt>
                <c:pt idx="194">
                  <c:v>1.6301611558033651E-12</c:v>
                </c:pt>
                <c:pt idx="195">
                  <c:v>1.6301611558033651E-12</c:v>
                </c:pt>
                <c:pt idx="196">
                  <c:v>1.6301611558033651E-12</c:v>
                </c:pt>
                <c:pt idx="197">
                  <c:v>1.6301611558033651E-12</c:v>
                </c:pt>
                <c:pt idx="198">
                  <c:v>1.6301611558033651E-12</c:v>
                </c:pt>
                <c:pt idx="199">
                  <c:v>1.6301611558033651E-12</c:v>
                </c:pt>
                <c:pt idx="200">
                  <c:v>1.6301611558033651E-12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H26" sqref="H2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1.87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0.4</v>
      </c>
      <c r="D9" s="33">
        <f t="shared" ref="D9:D18" si="0">C9*$C$5</f>
        <v>0.74800000000000011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27</v>
      </c>
      <c r="C10" s="32">
        <v>0.4</v>
      </c>
      <c r="D10" s="33">
        <f t="shared" si="0"/>
        <v>0.74800000000000011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38</v>
      </c>
      <c r="C11" s="32">
        <v>0.08</v>
      </c>
      <c r="D11" s="33">
        <f t="shared" si="0"/>
        <v>0.14960000000000001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45</v>
      </c>
      <c r="C12" s="32">
        <v>0.12</v>
      </c>
      <c r="D12" s="33">
        <f t="shared" si="0"/>
        <v>0.22440000000000002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1.87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15</v>
      </c>
      <c r="B36" s="60">
        <v>189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12.6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331</v>
      </c>
      <c r="C37" s="60">
        <v>2</v>
      </c>
      <c r="D37" s="60">
        <v>11</v>
      </c>
      <c r="E37" s="51"/>
      <c r="F37" s="51">
        <v>0.4</v>
      </c>
      <c r="G37" s="51">
        <v>0.6</v>
      </c>
      <c r="H37" s="51"/>
      <c r="I37" s="53">
        <f t="shared" ref="I37:I55" si="1">IF(A37&lt;&gt;0,(B37-(B36-D36))/(A37-A36),"")</f>
        <v>28.4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25</v>
      </c>
      <c r="B38" s="60">
        <v>469</v>
      </c>
      <c r="C38" s="60">
        <v>3</v>
      </c>
      <c r="D38" s="60">
        <v>46</v>
      </c>
      <c r="E38" s="51"/>
      <c r="F38" s="51">
        <v>0.4</v>
      </c>
      <c r="G38" s="51">
        <v>0.6</v>
      </c>
      <c r="H38" s="51"/>
      <c r="I38" s="53">
        <f t="shared" si="1"/>
        <v>29.8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v>560</v>
      </c>
      <c r="C39" s="60">
        <v>4</v>
      </c>
      <c r="D39" s="60">
        <v>67</v>
      </c>
      <c r="E39" s="51">
        <v>0.2</v>
      </c>
      <c r="F39" s="51">
        <v>0.6</v>
      </c>
      <c r="G39" s="51">
        <v>0.2</v>
      </c>
      <c r="H39" s="51"/>
      <c r="I39" s="49">
        <f t="shared" si="1"/>
        <v>27.4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35</v>
      </c>
      <c r="B40" s="60">
        <v>616</v>
      </c>
      <c r="C40" s="60">
        <v>5</v>
      </c>
      <c r="D40" s="60">
        <v>72</v>
      </c>
      <c r="E40" s="51"/>
      <c r="F40" s="51"/>
      <c r="G40" s="51"/>
      <c r="H40" s="51"/>
      <c r="I40" s="49">
        <f t="shared" si="1"/>
        <v>24.6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v>654</v>
      </c>
      <c r="C41" s="60">
        <v>6</v>
      </c>
      <c r="D41" s="60">
        <v>79</v>
      </c>
      <c r="E41" s="51"/>
      <c r="F41" s="51"/>
      <c r="G41" s="51"/>
      <c r="H41" s="51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45</v>
      </c>
      <c r="B42" s="60">
        <v>677</v>
      </c>
      <c r="C42" s="60">
        <v>7</v>
      </c>
      <c r="D42" s="60">
        <v>82</v>
      </c>
      <c r="E42" s="51"/>
      <c r="F42" s="51"/>
      <c r="G42" s="51"/>
      <c r="H42" s="51"/>
      <c r="I42" s="53">
        <f t="shared" si="1"/>
        <v>20.399999999999999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50</v>
      </c>
      <c r="B43" s="60">
        <v>691</v>
      </c>
      <c r="C43" s="60">
        <v>8</v>
      </c>
      <c r="D43" s="60">
        <v>75</v>
      </c>
      <c r="E43" s="51"/>
      <c r="F43" s="51"/>
      <c r="G43" s="51"/>
      <c r="H43" s="51"/>
      <c r="I43" s="49">
        <f t="shared" si="1"/>
        <v>19.2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55</v>
      </c>
      <c r="B44" s="60">
        <v>705</v>
      </c>
      <c r="C44" s="60">
        <v>9</v>
      </c>
      <c r="D44" s="60">
        <v>66</v>
      </c>
      <c r="E44" s="51"/>
      <c r="F44" s="51"/>
      <c r="G44" s="51"/>
      <c r="H44" s="51"/>
      <c r="I44" s="49">
        <f t="shared" si="1"/>
        <v>17.8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60</v>
      </c>
      <c r="B45" s="60">
        <v>723</v>
      </c>
      <c r="C45" s="60">
        <v>10</v>
      </c>
      <c r="D45" s="60">
        <v>64</v>
      </c>
      <c r="E45" s="51"/>
      <c r="F45" s="51"/>
      <c r="G45" s="51"/>
      <c r="H45" s="51"/>
      <c r="I45" s="49">
        <f t="shared" si="1"/>
        <v>16.8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65</v>
      </c>
      <c r="B46" s="60">
        <v>741</v>
      </c>
      <c r="C46" s="60"/>
      <c r="D46" s="60">
        <v>741</v>
      </c>
      <c r="E46" s="51"/>
      <c r="F46" s="51"/>
      <c r="G46" s="51"/>
      <c r="H46" s="51"/>
      <c r="I46" s="49">
        <f t="shared" si="1"/>
        <v>16.399999999999999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18</v>
      </c>
      <c r="B62" s="60">
        <v>112</v>
      </c>
      <c r="C62" s="60">
        <v>1</v>
      </c>
      <c r="D62" s="60">
        <v>20</v>
      </c>
      <c r="E62" s="51"/>
      <c r="F62" s="51"/>
      <c r="G62" s="51"/>
      <c r="H62" s="51">
        <v>1</v>
      </c>
      <c r="I62" s="53">
        <f>IFERROR(B62/A62,"")</f>
        <v>6.2222222222222223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21</v>
      </c>
      <c r="B63" s="60">
        <v>146</v>
      </c>
      <c r="C63" s="60">
        <v>2</v>
      </c>
      <c r="D63" s="60">
        <v>26</v>
      </c>
      <c r="E63" s="51"/>
      <c r="F63" s="51"/>
      <c r="G63" s="51">
        <v>1</v>
      </c>
      <c r="H63" s="51"/>
      <c r="I63" s="49">
        <f>IF(A63&lt;&gt;0,(B63-(B62-D62))/(A63-A62),"")</f>
        <v>18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24</v>
      </c>
      <c r="B64" s="60">
        <v>168</v>
      </c>
      <c r="C64" s="60">
        <v>3</v>
      </c>
      <c r="D64" s="60">
        <v>29</v>
      </c>
      <c r="E64" s="51"/>
      <c r="F64" s="51">
        <v>0.2</v>
      </c>
      <c r="G64" s="51">
        <v>0.8</v>
      </c>
      <c r="H64" s="51"/>
      <c r="I64" s="49">
        <f>IF(A64&lt;&gt;0,(B64-(B63-D63))/(A64-A63),"")</f>
        <v>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v>224</v>
      </c>
      <c r="C65" s="60">
        <v>4</v>
      </c>
      <c r="D65" s="60">
        <v>53</v>
      </c>
      <c r="E65" s="51">
        <v>0.2</v>
      </c>
      <c r="F65" s="51">
        <v>0.6</v>
      </c>
      <c r="G65" s="51">
        <v>0.2</v>
      </c>
      <c r="H65" s="51"/>
      <c r="I65" s="49">
        <f>IF(A65&lt;&gt;0,(B65-(B64-D64))/(A65-A64),"")</f>
        <v>14.166666666666666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36</v>
      </c>
      <c r="B66" s="60">
        <v>248</v>
      </c>
      <c r="C66" s="60">
        <v>5</v>
      </c>
      <c r="D66" s="60">
        <v>62</v>
      </c>
      <c r="E66" s="51"/>
      <c r="F66" s="51"/>
      <c r="G66" s="51"/>
      <c r="H66" s="51"/>
      <c r="I66" s="49">
        <f t="shared" ref="I66:I81" si="2">IF(A66&lt;&gt;0,(B66-(B65-D65))/(A66-A65),"")</f>
        <v>12.833333333333334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42</v>
      </c>
      <c r="B67" s="60">
        <v>255</v>
      </c>
      <c r="C67" s="60">
        <v>6</v>
      </c>
      <c r="D67" s="60">
        <v>67</v>
      </c>
      <c r="E67" s="51"/>
      <c r="F67" s="51"/>
      <c r="G67" s="51"/>
      <c r="H67" s="51"/>
      <c r="I67" s="49">
        <f t="shared" si="2"/>
        <v>11.5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48</v>
      </c>
      <c r="B68" s="60">
        <v>252</v>
      </c>
      <c r="C68" s="60">
        <v>7</v>
      </c>
      <c r="D68" s="60">
        <v>65</v>
      </c>
      <c r="E68" s="51"/>
      <c r="F68" s="51"/>
      <c r="G68" s="51"/>
      <c r="H68" s="51"/>
      <c r="I68" s="49">
        <f t="shared" si="2"/>
        <v>10.666666666666666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60</v>
      </c>
      <c r="B69" s="50">
        <v>304</v>
      </c>
      <c r="C69" s="50"/>
      <c r="D69" s="50">
        <v>304</v>
      </c>
      <c r="E69" s="51"/>
      <c r="F69" s="51"/>
      <c r="G69" s="51"/>
      <c r="H69" s="51"/>
      <c r="I69" s="49">
        <f t="shared" si="2"/>
        <v>9.75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noir d'Autriche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98</v>
      </c>
      <c r="C88" s="60">
        <v>1</v>
      </c>
      <c r="D88" s="60">
        <v>7</v>
      </c>
      <c r="E88" s="51"/>
      <c r="F88" s="51"/>
      <c r="G88" s="51"/>
      <c r="H88" s="63">
        <v>1</v>
      </c>
      <c r="I88" s="53">
        <f>IFERROR(B88/A88,"")</f>
        <v>4.9000000000000004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225</v>
      </c>
      <c r="C89" s="60">
        <v>2</v>
      </c>
      <c r="D89" s="60">
        <v>22</v>
      </c>
      <c r="E89" s="51"/>
      <c r="F89" s="51">
        <v>0.2</v>
      </c>
      <c r="G89" s="51">
        <v>0.8</v>
      </c>
      <c r="H89" s="63"/>
      <c r="I89" s="53">
        <f t="shared" ref="I89:I107" si="3">IF(A89&lt;&gt;0,(B89-(B88-D88))/(A89-A88),"")</f>
        <v>13.4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335</v>
      </c>
      <c r="C90" s="60">
        <v>3</v>
      </c>
      <c r="D90" s="60">
        <v>35</v>
      </c>
      <c r="E90" s="87"/>
      <c r="F90" s="51">
        <v>0.2</v>
      </c>
      <c r="G90" s="51">
        <v>0.8</v>
      </c>
      <c r="H90" s="63"/>
      <c r="I90" s="53">
        <f t="shared" si="3"/>
        <v>13.2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424</v>
      </c>
      <c r="C91" s="60">
        <v>4</v>
      </c>
      <c r="D91" s="60">
        <v>42</v>
      </c>
      <c r="E91" s="87"/>
      <c r="F91" s="63">
        <v>0.4</v>
      </c>
      <c r="G91" s="63">
        <v>0.6</v>
      </c>
      <c r="H91" s="63"/>
      <c r="I91" s="53">
        <f t="shared" si="3"/>
        <v>12.4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485</v>
      </c>
      <c r="C92" s="60">
        <v>5</v>
      </c>
      <c r="D92" s="60">
        <v>42</v>
      </c>
      <c r="E92" s="87"/>
      <c r="F92" s="87"/>
      <c r="G92" s="87"/>
      <c r="H92" s="87"/>
      <c r="I92" s="53">
        <f t="shared" si="3"/>
        <v>10.3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529</v>
      </c>
      <c r="C93" s="60">
        <v>6</v>
      </c>
      <c r="D93" s="60">
        <v>39</v>
      </c>
      <c r="E93" s="87"/>
      <c r="F93" s="87"/>
      <c r="G93" s="87"/>
      <c r="H93" s="87"/>
      <c r="I93" s="53">
        <f t="shared" si="3"/>
        <v>8.6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562</v>
      </c>
      <c r="C94" s="60">
        <v>7</v>
      </c>
      <c r="D94" s="60">
        <v>36</v>
      </c>
      <c r="E94" s="87"/>
      <c r="F94" s="87"/>
      <c r="G94" s="87"/>
      <c r="H94" s="87"/>
      <c r="I94" s="53">
        <f t="shared" si="3"/>
        <v>7.2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592</v>
      </c>
      <c r="C95" s="60">
        <v>8</v>
      </c>
      <c r="D95" s="60">
        <v>36</v>
      </c>
      <c r="E95" s="87"/>
      <c r="F95" s="87"/>
      <c r="G95" s="87"/>
      <c r="H95" s="87"/>
      <c r="I95" s="53">
        <f t="shared" si="3"/>
        <v>6.6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621</v>
      </c>
      <c r="C96" s="60">
        <v>0</v>
      </c>
      <c r="D96" s="60">
        <v>621</v>
      </c>
      <c r="E96" s="87"/>
      <c r="F96" s="87"/>
      <c r="G96" s="87"/>
      <c r="H96" s="87"/>
      <c r="I96" s="53">
        <f t="shared" si="3"/>
        <v>6.5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Sapin de Nordmann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15</v>
      </c>
      <c r="B114" s="60">
        <v>56</v>
      </c>
      <c r="C114" s="50">
        <v>1</v>
      </c>
      <c r="D114" s="60">
        <v>0</v>
      </c>
      <c r="E114" s="51"/>
      <c r="F114" s="51"/>
      <c r="G114" s="51"/>
      <c r="H114" s="51"/>
      <c r="I114" s="53">
        <f>IFERROR(B114/A114,"")</f>
        <v>3.7333333333333334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185</v>
      </c>
      <c r="C115" s="50">
        <v>2</v>
      </c>
      <c r="D115" s="60">
        <v>43</v>
      </c>
      <c r="E115" s="51"/>
      <c r="F115" s="51">
        <v>0.2</v>
      </c>
      <c r="G115" s="51">
        <v>0.8</v>
      </c>
      <c r="H115" s="51"/>
      <c r="I115" s="53">
        <f t="shared" ref="I115:I133" si="4">IF(A115&lt;&gt;0,(B115-(B114-D114))/(A115-A114),"")</f>
        <v>25.8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25</v>
      </c>
      <c r="B116" s="60">
        <v>294</v>
      </c>
      <c r="C116" s="50">
        <v>3</v>
      </c>
      <c r="D116" s="60">
        <v>77</v>
      </c>
      <c r="E116" s="51"/>
      <c r="F116" s="51">
        <v>0.2</v>
      </c>
      <c r="G116" s="51">
        <v>0.8</v>
      </c>
      <c r="H116" s="51"/>
      <c r="I116" s="53">
        <f t="shared" si="4"/>
        <v>30.4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30</v>
      </c>
      <c r="B117" s="60">
        <v>376</v>
      </c>
      <c r="C117" s="50">
        <v>4</v>
      </c>
      <c r="D117" s="60">
        <v>77</v>
      </c>
      <c r="E117" s="51">
        <v>0.1</v>
      </c>
      <c r="F117" s="51">
        <v>0.3</v>
      </c>
      <c r="G117" s="51">
        <v>0.6</v>
      </c>
      <c r="H117" s="51"/>
      <c r="I117" s="53">
        <f t="shared" si="4"/>
        <v>31.8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35</v>
      </c>
      <c r="B118" s="60">
        <v>453</v>
      </c>
      <c r="C118" s="50">
        <v>5</v>
      </c>
      <c r="D118" s="60">
        <v>77</v>
      </c>
      <c r="E118" s="51"/>
      <c r="F118" s="51"/>
      <c r="G118" s="51"/>
      <c r="H118" s="51"/>
      <c r="I118" s="53">
        <f t="shared" si="4"/>
        <v>30.8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40</v>
      </c>
      <c r="B119" s="60">
        <v>524</v>
      </c>
      <c r="C119" s="50">
        <v>6</v>
      </c>
      <c r="D119" s="60">
        <v>77</v>
      </c>
      <c r="E119" s="51"/>
      <c r="F119" s="51"/>
      <c r="G119" s="51"/>
      <c r="H119" s="51"/>
      <c r="I119" s="53">
        <f t="shared" si="4"/>
        <v>29.6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45</v>
      </c>
      <c r="B120" s="60">
        <v>588</v>
      </c>
      <c r="C120" s="50">
        <v>7</v>
      </c>
      <c r="D120" s="60">
        <v>77</v>
      </c>
      <c r="E120" s="87"/>
      <c r="F120" s="87"/>
      <c r="G120" s="87"/>
      <c r="H120" s="87"/>
      <c r="I120" s="53">
        <f t="shared" si="4"/>
        <v>28.2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50</v>
      </c>
      <c r="B121" s="60">
        <v>644</v>
      </c>
      <c r="C121" s="50">
        <v>8</v>
      </c>
      <c r="D121" s="60">
        <v>77</v>
      </c>
      <c r="E121" s="87"/>
      <c r="F121" s="87"/>
      <c r="G121" s="87"/>
      <c r="H121" s="87"/>
      <c r="I121" s="53">
        <f t="shared" si="4"/>
        <v>26.6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55</v>
      </c>
      <c r="B122" s="60">
        <v>694</v>
      </c>
      <c r="C122" s="50">
        <v>9</v>
      </c>
      <c r="D122" s="60">
        <v>73</v>
      </c>
      <c r="E122" s="87"/>
      <c r="F122" s="87"/>
      <c r="G122" s="87"/>
      <c r="H122" s="87"/>
      <c r="I122" s="53">
        <f t="shared" si="4"/>
        <v>25.4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60</v>
      </c>
      <c r="B123" s="60">
        <v>740</v>
      </c>
      <c r="C123" s="50">
        <v>10</v>
      </c>
      <c r="D123" s="60">
        <v>66</v>
      </c>
      <c r="E123" s="87"/>
      <c r="F123" s="87"/>
      <c r="G123" s="87"/>
      <c r="H123" s="87"/>
      <c r="I123" s="53">
        <f t="shared" si="4"/>
        <v>23.8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65</v>
      </c>
      <c r="B124" s="60">
        <v>786</v>
      </c>
      <c r="C124" s="50">
        <v>11</v>
      </c>
      <c r="D124" s="60">
        <v>62</v>
      </c>
      <c r="E124" s="87"/>
      <c r="F124" s="87"/>
      <c r="G124" s="87"/>
      <c r="H124" s="87"/>
      <c r="I124" s="53">
        <f t="shared" si="4"/>
        <v>22.4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70</v>
      </c>
      <c r="B125" s="60">
        <v>832</v>
      </c>
      <c r="C125" s="50">
        <v>12</v>
      </c>
      <c r="D125" s="60">
        <v>60</v>
      </c>
      <c r="E125" s="87"/>
      <c r="F125" s="87"/>
      <c r="G125" s="87"/>
      <c r="H125" s="87"/>
      <c r="I125" s="53">
        <f t="shared" si="4"/>
        <v>21.6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75</v>
      </c>
      <c r="B126" s="60">
        <v>874</v>
      </c>
      <c r="C126" s="50">
        <v>13</v>
      </c>
      <c r="D126" s="60">
        <v>58</v>
      </c>
      <c r="E126" s="65"/>
      <c r="F126" s="65"/>
      <c r="G126" s="65"/>
      <c r="H126" s="65"/>
      <c r="I126" s="53">
        <f t="shared" si="4"/>
        <v>20.399999999999999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80</v>
      </c>
      <c r="B127" s="60">
        <v>909</v>
      </c>
      <c r="C127" s="50">
        <v>0</v>
      </c>
      <c r="D127" s="60">
        <v>909</v>
      </c>
      <c r="E127" s="65"/>
      <c r="F127" s="65"/>
      <c r="G127" s="65"/>
      <c r="H127" s="65"/>
      <c r="I127" s="53">
        <f t="shared" si="4"/>
        <v>18.600000000000001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noir d'Autriche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Sapin de Nordmann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492.3498626914548</v>
      </c>
      <c r="T3" s="59">
        <f>IF('Données projet'!E9&gt;30,$R$33-$H$33,LOOKUP('Données projet'!$E$9,$A$3:$A$203,R3:R203)-LOOKUP('Données projet'!$E$9,$A$3:$A$203,$H$3:$H$203))</f>
        <v>635.90304180030307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175.05987582828078</v>
      </c>
      <c r="AO3" s="59">
        <f>IF('Données projet'!E10&gt;30,$AM$33-$H$33,LOOKUP('Données projet'!$E$10,$A$3:$A$203,AM3:AM203)-LOOKUP('Données projet'!$E$10,$A$3:$A$203,$H$3:$H$203))</f>
        <v>268.54782308462387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381.78368385345919</v>
      </c>
      <c r="BJ3" s="59">
        <f>IF('Données projet'!E11&gt;30,$BH$33-$H$33,LOOKUP('Données projet'!$E$11,$A$3:$A$203,BH3:BH203)-LOOKUP('Données projet'!$E$11,$A$3:$A$203,$H$3:$H$203))</f>
        <v>257.35575295655639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415.97633163853953</v>
      </c>
      <c r="CE3" s="59">
        <f>IF('Données projet'!E12&gt;30,$CC$33-$H$33,LOOKUP('Données projet'!$E$12,$A$3:$A$203,CC3:CC203)-LOOKUP('Données projet'!$E$12,$A$3:$A$203,$H$3:$H$203))</f>
        <v>356.23532720804423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12.6</v>
      </c>
      <c r="N4" s="13">
        <f>IF('Données projet'!$A$36&gt;35,N3+M4-V3,IF(A4&lt;'Données projet'!$A$36,$K$205^A4,IF(A4='Données projet'!$A$36,'Données projet'!$B$36,N3+M4-V3)))</f>
        <v>1.418286993802653</v>
      </c>
      <c r="O4" s="13">
        <f>N4*VLOOKUP('Données projet'!$B$9,Paramètres!$A$1:$I$89,3,0)*VLOOKUP('Données projet'!$B$9,Paramètres!$A$1:$I$89,5,0)</f>
        <v>0.79282242953568305</v>
      </c>
      <c r="P4" s="13">
        <f>EXP(-1.0587+0.8836*LN(O4)+0.284)</f>
        <v>0.37537376382346138</v>
      </c>
      <c r="Q4" s="20">
        <f t="shared" ref="Q4:Q34" si="2">(O4+P4)*0.475*44/12</f>
        <v>2.0346083701005098</v>
      </c>
      <c r="R4" s="59">
        <f t="shared" si="0"/>
        <v>295.36794170343381</v>
      </c>
      <c r="S4" s="59">
        <f ca="1">AVERAGE(OFFSET($R$3,0,0,'Données projet'!$E$9+1,1))-AVERAGE(OFFSET($H$3,0,0,'Données projet'!$E$9+1,1))</f>
        <v>492.3498626914548</v>
      </c>
      <c r="T4" s="59">
        <f>$T$3</f>
        <v>635.90304180030307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6.2222222222222223</v>
      </c>
      <c r="AI4" s="13">
        <f>IF('Données projet'!$A$62&gt;35,AI3+AH4-AQ3,IF(A4&lt;'Données projet'!$A$62,$AF$205^A4,IF(A4='Données projet'!$A$62,'Données projet'!$B$62,AI3+AH4-AQ3)))</f>
        <v>1.2997069632623315</v>
      </c>
      <c r="AJ4" s="13">
        <f>AI4*VLOOKUP('Données projet'!$B$10,Paramètres!$A$1:$I$89,3,0)*VLOOKUP('Données projet'!$B$10,Paramètres!$A$1:$I$89,5,0)</f>
        <v>0.81101714507569489</v>
      </c>
      <c r="AK4" s="13">
        <f>EXP(-1.0587+0.8836*LN(AJ4)+0.284)</f>
        <v>0.38297551084354686</v>
      </c>
      <c r="AL4" s="20">
        <f t="shared" ref="AL4:AL67" si="4">(AJ4+AK4)*0.475*44/12</f>
        <v>2.0795372090593456</v>
      </c>
      <c r="AM4" s="59">
        <f t="shared" ref="AM4:AM67" si="5">AL4+(AD4+AE4)*44/12</f>
        <v>295.41287054239268</v>
      </c>
      <c r="AN4" s="59">
        <f ca="1">AVERAGE(OFFSET($AM$3,0,0,'Données projet'!$E$10+1,1))-AVERAGE(OFFSET($H$3,0,0,'Données projet'!$E$10+1,1))</f>
        <v>175.05987582828078</v>
      </c>
      <c r="AO4" s="59">
        <f>$AO$3</f>
        <v>268.54782308462387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4.9000000000000004</v>
      </c>
      <c r="BD4" s="12">
        <f>IF('Données projet'!$A$88&gt;35,BD3+BC4-BL3,IF(A4&lt;'Données projet'!$A$88,$BA$205^A4,IF(A4='Données projet'!$A$88,'Données projet'!$B$88,BD3+BC4-BL3)))</f>
        <v>1.2576543687835404</v>
      </c>
      <c r="BE4" s="13">
        <f>BD4*VLOOKUP('Données projet'!$B$11,Paramètres!$A$1:$I$89,3,0)*VLOOKUP('Données projet'!$B$11,Paramètres!$A$1:$I$89,5,0)</f>
        <v>0.75207731253255727</v>
      </c>
      <c r="BF4" s="13">
        <f>EXP(-1.0587+0.8836*LN(BE4)+0.284)</f>
        <v>0.3582759028282807</v>
      </c>
      <c r="BG4" s="20">
        <f t="shared" ref="BG4:BG67" si="7">(BE4+BF4)*0.475*44/12</f>
        <v>1.9338651834201261</v>
      </c>
      <c r="BH4" s="59">
        <f t="shared" ref="BH4:BH67" si="8">BG4+(AY4+AZ4)*44/12</f>
        <v>295.26719851675347</v>
      </c>
      <c r="BI4" s="59">
        <f ca="1">AVERAGE(OFFSET($BH$3,0,0,'Données projet'!$E$11+1,1))-AVERAGE(OFFSET($H$3,0,0,'Données projet'!$E$11+1,1))</f>
        <v>381.78368385345919</v>
      </c>
      <c r="BJ4" s="59">
        <f>$BJ$3</f>
        <v>257.35575295655639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3.7333333333333334</v>
      </c>
      <c r="BY4" s="12">
        <f>IF('Données projet'!$A$114&gt;35,BY3+BX4-CG3,IF(A4&lt;'Données projet'!$A$114,$BV$205^A4,IF(A4='Données projet'!$A$114,'Données projet'!$B$114,BY3+BX4-CG3)))</f>
        <v>1.3078136577370625</v>
      </c>
      <c r="BZ4" s="13">
        <f>BY4*VLOOKUP('Données projet'!$B$12,Paramètres!$A$1:$I$89,3,0)*VLOOKUP('Données projet'!$B$12,Paramètres!$A$1:$I$89,5,0)</f>
        <v>0.62905836937152704</v>
      </c>
      <c r="CA4" s="13">
        <f>EXP(-1.0587+0.8836*LN(BZ4)+0.284)</f>
        <v>0.30596756041015177</v>
      </c>
      <c r="CB4" s="20">
        <f t="shared" ref="CB4:CB67" si="10">(BZ4+CA4)*0.475*44/12</f>
        <v>1.6285034943697572</v>
      </c>
      <c r="CC4" s="59">
        <f t="shared" ref="CC4:CC67" si="11">CB4+(BT4+BU4)*44/12</f>
        <v>294.96183682770305</v>
      </c>
      <c r="CD4" s="59">
        <f ca="1">AVERAGE(OFFSET($CC$3,0,0,'Données projet'!$E$12+1,1))-AVERAGE(OFFSET($H$3,0,0,'Données projet'!$E$12+1,1))</f>
        <v>415.97633163853953</v>
      </c>
      <c r="CE4" s="59">
        <f>$CE$3</f>
        <v>356.23532720804423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12.6</v>
      </c>
      <c r="N5" s="13">
        <f>IF('Données projet'!$A$36&gt;35,N4+M5-V4,IF(A5&lt;'Données projet'!$A$36,$K$205^A5,IF(A5='Données projet'!$A$36,'Données projet'!$B$36,N4+M5-V4)))</f>
        <v>2.0115379967897669</v>
      </c>
      <c r="O5" s="13">
        <f>N5*VLOOKUP('Données projet'!$B$9,Paramètres!$A$1:$I$89,3,0)*VLOOKUP('Données projet'!$B$9,Paramètres!$A$1:$I$89,5,0)</f>
        <v>1.1244497402054798</v>
      </c>
      <c r="P5" s="13">
        <f t="shared" ref="P5:P68" si="33">EXP(-1.0587+0.8836*LN(O5)+0.284)</f>
        <v>0.51116686213755136</v>
      </c>
      <c r="Q5" s="20">
        <f t="shared" si="2"/>
        <v>2.848698915747446</v>
      </c>
      <c r="R5" s="59">
        <f t="shared" si="0"/>
        <v>296.18203224908075</v>
      </c>
      <c r="S5" s="59">
        <f ca="1">AVERAGE(OFFSET($R$3,0,0,'Données projet'!$E$9+1,1))-AVERAGE(OFFSET($H$3,0,0,'Données projet'!$E$9+1,1))</f>
        <v>492.3498626914548</v>
      </c>
      <c r="T5" s="59">
        <f t="shared" ref="T5:T68" si="34">$T$3</f>
        <v>635.90304180030307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6.2222222222222223</v>
      </c>
      <c r="AI5" s="13">
        <f>IF('Données projet'!$A$62&gt;35,AI4+AH5-AQ4,IF(A5&lt;'Données projet'!$A$62,$AF$205^A5,IF(A5='Données projet'!$A$62,'Données projet'!$B$62,AI4+AH5-AQ4)))</f>
        <v>1.6892381903525915</v>
      </c>
      <c r="AJ5" s="13">
        <f>AI5*VLOOKUP('Données projet'!$B$10,Paramètres!$A$1:$I$89,3,0)*VLOOKUP('Données projet'!$B$10,Paramètres!$A$1:$I$89,5,0)</f>
        <v>1.0540846307800171</v>
      </c>
      <c r="AK5" s="13">
        <f t="shared" ref="AK5:AK68" si="35">EXP(-1.0587+0.8836*LN(AJ5)+0.284)</f>
        <v>0.48279730809434274</v>
      </c>
      <c r="AL5" s="20">
        <f t="shared" si="4"/>
        <v>2.6767360435395098</v>
      </c>
      <c r="AM5" s="59">
        <f t="shared" si="5"/>
        <v>296.01006937687282</v>
      </c>
      <c r="AN5" s="59">
        <f ca="1">AVERAGE(OFFSET($AM$3,0,0,'Données projet'!$E$10+1,1))-AVERAGE(OFFSET($H$3,0,0,'Données projet'!$E$10+1,1))</f>
        <v>175.05987582828078</v>
      </c>
      <c r="AO5" s="59">
        <f t="shared" ref="AO5:AO68" si="36">$AO$3</f>
        <v>268.54782308462387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4.9000000000000004</v>
      </c>
      <c r="BD5" s="12">
        <f>IF('Données projet'!$A$88&gt;35,BD4+BC5-BL4,IF(A5&lt;'Données projet'!$A$88,$BA$205^A5,IF(A5='Données projet'!$A$88,'Données projet'!$B$88,BD4+BC5-BL4)))</f>
        <v>1.5816945113203256</v>
      </c>
      <c r="BE5" s="13">
        <f>BD5*VLOOKUP('Données projet'!$B$11,Paramètres!$A$1:$I$89,3,0)*VLOOKUP('Données projet'!$B$11,Paramètres!$A$1:$I$89,5,0)</f>
        <v>0.94585331776955472</v>
      </c>
      <c r="BF5" s="13">
        <f t="shared" ref="BF5:BF68" si="37">EXP(-1.0587+0.8836*LN(BE5)+0.284)</f>
        <v>0.43872255980954428</v>
      </c>
      <c r="BG5" s="20">
        <f t="shared" si="7"/>
        <v>2.411469653450264</v>
      </c>
      <c r="BH5" s="59">
        <f t="shared" si="8"/>
        <v>295.74480298678355</v>
      </c>
      <c r="BI5" s="59">
        <f ca="1">AVERAGE(OFFSET($BH$3,0,0,'Données projet'!$E$11+1,1))-AVERAGE(OFFSET($H$3,0,0,'Données projet'!$E$11+1,1))</f>
        <v>381.78368385345919</v>
      </c>
      <c r="BJ5" s="59">
        <f t="shared" ref="BJ5:BJ68" si="38">$BJ$3</f>
        <v>257.35575295655639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3.7333333333333334</v>
      </c>
      <c r="BY5" s="12">
        <f>IF('Données projet'!$A$114&gt;35,BY4+BX5-CG4,IF(A5&lt;'Données projet'!$A$114,$BV$205^A5,IF(A5='Données projet'!$A$114,'Données projet'!$B$114,BY4+BX5-CG4)))</f>
        <v>1.7103765633635943</v>
      </c>
      <c r="BZ5" s="13">
        <f>BY5*VLOOKUP('Données projet'!$B$12,Paramètres!$A$1:$I$89,3,0)*VLOOKUP('Données projet'!$B$12,Paramètres!$A$1:$I$89,5,0)</f>
        <v>0.82269112697788893</v>
      </c>
      <c r="CA5" s="13">
        <f t="shared" ref="CA5:CA68" si="39">EXP(-1.0587+0.8836*LN(BZ5)+0.284)</f>
        <v>0.38784242455930162</v>
      </c>
      <c r="CB5" s="20">
        <f t="shared" si="10"/>
        <v>2.10834593559394</v>
      </c>
      <c r="CC5" s="59">
        <f t="shared" si="11"/>
        <v>295.44167926892726</v>
      </c>
      <c r="CD5" s="59">
        <f ca="1">AVERAGE(OFFSET($CC$3,0,0,'Données projet'!$E$12+1,1))-AVERAGE(OFFSET($H$3,0,0,'Données projet'!$E$12+1,1))</f>
        <v>415.97633163853953</v>
      </c>
      <c r="CE5" s="59">
        <f t="shared" ref="CE5:CE68" si="40">$CE$3</f>
        <v>356.23532720804423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12.6</v>
      </c>
      <c r="N6" s="13">
        <f>IF('Données projet'!$A$36&gt;35,N5+M6-V5,IF(A6&lt;'Données projet'!$A$36,$K$205^A6,IF(A6='Données projet'!$A$36,'Données projet'!$B$36,N5+M6-V5)))</f>
        <v>2.8529381783867689</v>
      </c>
      <c r="O6" s="13">
        <f>N6*VLOOKUP('Données projet'!$B$9,Paramètres!$A$1:$I$89,3,0)*VLOOKUP('Données projet'!$B$9,Paramètres!$A$1:$I$89,5,0)</f>
        <v>1.5947924417182038</v>
      </c>
      <c r="P6" s="13">
        <f t="shared" si="33"/>
        <v>0.69608370677295384</v>
      </c>
      <c r="Q6" s="20">
        <f t="shared" si="2"/>
        <v>3.9899426252887658</v>
      </c>
      <c r="R6" s="59">
        <f t="shared" si="0"/>
        <v>297.32327595862211</v>
      </c>
      <c r="S6" s="59">
        <f ca="1">AVERAGE(OFFSET($R$3,0,0,'Données projet'!$E$9+1,1))-AVERAGE(OFFSET($H$3,0,0,'Données projet'!$E$9+1,1))</f>
        <v>492.3498626914548</v>
      </c>
      <c r="T6" s="59">
        <f t="shared" si="34"/>
        <v>635.90304180030307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6.2222222222222223</v>
      </c>
      <c r="AI6" s="13">
        <f>IF('Données projet'!$A$62&gt;35,AI5+AH6-AQ5,IF(A6&lt;'Données projet'!$A$62,$AF$205^A6,IF(A6='Données projet'!$A$62,'Données projet'!$B$62,AI5+AH6-AQ5)))</f>
        <v>2.1955146386099229</v>
      </c>
      <c r="AJ6" s="13">
        <f>AI6*VLOOKUP('Données projet'!$B$10,Paramètres!$A$1:$I$89,3,0)*VLOOKUP('Données projet'!$B$10,Paramètres!$A$1:$I$89,5,0)</f>
        <v>1.3700011344925918</v>
      </c>
      <c r="AK6" s="13">
        <f t="shared" si="35"/>
        <v>0.60863745619068288</v>
      </c>
      <c r="AL6" s="20">
        <f t="shared" si="4"/>
        <v>3.4461288787733699</v>
      </c>
      <c r="AM6" s="59">
        <f t="shared" si="5"/>
        <v>296.77946221210669</v>
      </c>
      <c r="AN6" s="59">
        <f ca="1">AVERAGE(OFFSET($AM$3,0,0,'Données projet'!$E$10+1,1))-AVERAGE(OFFSET($H$3,0,0,'Données projet'!$E$10+1,1))</f>
        <v>175.05987582828078</v>
      </c>
      <c r="AO6" s="59">
        <f t="shared" si="36"/>
        <v>268.54782308462387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4.9000000000000004</v>
      </c>
      <c r="BD6" s="12">
        <f>IF('Données projet'!$A$88&gt;35,BD5+BC6-BL5,IF(A6&lt;'Données projet'!$A$88,$BA$205^A6,IF(A6='Données projet'!$A$88,'Données projet'!$B$88,BD5+BC6-BL5)))</f>
        <v>1.9892250122429544</v>
      </c>
      <c r="BE6" s="13">
        <f>BD6*VLOOKUP('Données projet'!$B$11,Paramètres!$A$1:$I$89,3,0)*VLOOKUP('Données projet'!$B$11,Paramètres!$A$1:$I$89,5,0)</f>
        <v>1.1895565573212867</v>
      </c>
      <c r="BF6" s="13">
        <f t="shared" si="37"/>
        <v>0.53723257122902957</v>
      </c>
      <c r="BG6" s="20">
        <f t="shared" si="7"/>
        <v>3.0074910655584675</v>
      </c>
      <c r="BH6" s="59">
        <f t="shared" si="8"/>
        <v>296.34082439889175</v>
      </c>
      <c r="BI6" s="59">
        <f ca="1">AVERAGE(OFFSET($BH$3,0,0,'Données projet'!$E$11+1,1))-AVERAGE(OFFSET($H$3,0,0,'Données projet'!$E$11+1,1))</f>
        <v>381.78368385345919</v>
      </c>
      <c r="BJ6" s="59">
        <f t="shared" si="38"/>
        <v>257.35575295655639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3.7333333333333334</v>
      </c>
      <c r="BY6" s="12">
        <f>IF('Données projet'!$A$114&gt;35,BY5+BX6-CG5,IF(A6&lt;'Données projet'!$A$114,$BV$205^A6,IF(A6='Données projet'!$A$114,'Données projet'!$B$114,BY5+BX6-CG5)))</f>
        <v>2.2368538294402889</v>
      </c>
      <c r="BZ6" s="13">
        <f>BY6*VLOOKUP('Données projet'!$B$12,Paramètres!$A$1:$I$89,3,0)*VLOOKUP('Données projet'!$B$12,Paramètres!$A$1:$I$89,5,0)</f>
        <v>1.0759266919607788</v>
      </c>
      <c r="CA6" s="13">
        <f t="shared" si="39"/>
        <v>0.49162645244612219</v>
      </c>
      <c r="CB6" s="20">
        <f t="shared" si="10"/>
        <v>2.7301550598420192</v>
      </c>
      <c r="CC6" s="59">
        <f t="shared" si="11"/>
        <v>296.06348839317536</v>
      </c>
      <c r="CD6" s="59">
        <f ca="1">AVERAGE(OFFSET($CC$3,0,0,'Données projet'!$E$12+1,1))-AVERAGE(OFFSET($H$3,0,0,'Données projet'!$E$12+1,1))</f>
        <v>415.97633163853953</v>
      </c>
      <c r="CE6" s="59">
        <f t="shared" si="40"/>
        <v>356.23532720804423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12.6</v>
      </c>
      <c r="N7" s="13">
        <f>IF('Données projet'!$A$36&gt;35,N6+M7-V6,IF(A7&lt;'Données projet'!$A$36,$K$205^A7,IF(A7='Données projet'!$A$36,'Données projet'!$B$36,N6+M7-V6)))</f>
        <v>4.046285112528988</v>
      </c>
      <c r="O7" s="13">
        <f>N7*VLOOKUP('Données projet'!$B$9,Paramètres!$A$1:$I$89,3,0)*VLOOKUP('Données projet'!$B$9,Paramètres!$A$1:$I$89,5,0)</f>
        <v>2.2618733779037044</v>
      </c>
      <c r="P7" s="13">
        <f t="shared" si="33"/>
        <v>0.94789502748398335</v>
      </c>
      <c r="Q7" s="20">
        <f t="shared" si="2"/>
        <v>5.5903466393835552</v>
      </c>
      <c r="R7" s="59">
        <f t="shared" si="0"/>
        <v>298.92367997271685</v>
      </c>
      <c r="S7" s="59">
        <f ca="1">AVERAGE(OFFSET($R$3,0,0,'Données projet'!$E$9+1,1))-AVERAGE(OFFSET($H$3,0,0,'Données projet'!$E$9+1,1))</f>
        <v>492.3498626914548</v>
      </c>
      <c r="T7" s="59">
        <f t="shared" si="34"/>
        <v>635.90304180030307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6.2222222222222223</v>
      </c>
      <c r="AI7" s="13">
        <f>IF('Données projet'!$A$62&gt;35,AI6+AH7-AQ6,IF(A7&lt;'Données projet'!$A$62,$AF$205^A7,IF(A7='Données projet'!$A$62,'Données projet'!$B$62,AI6+AH7-AQ6)))</f>
        <v>2.8535256637456983</v>
      </c>
      <c r="AJ7" s="13">
        <f>AI7*VLOOKUP('Données projet'!$B$10,Paramètres!$A$1:$I$89,3,0)*VLOOKUP('Données projet'!$B$10,Paramètres!$A$1:$I$89,5,0)</f>
        <v>1.7806000141773157</v>
      </c>
      <c r="AK7" s="13">
        <f t="shared" si="35"/>
        <v>0.76727758599241935</v>
      </c>
      <c r="AL7" s="20">
        <f t="shared" si="4"/>
        <v>4.4375534869622877</v>
      </c>
      <c r="AM7" s="59">
        <f t="shared" si="5"/>
        <v>297.77088682029563</v>
      </c>
      <c r="AN7" s="59">
        <f ca="1">AVERAGE(OFFSET($AM$3,0,0,'Données projet'!$E$10+1,1))-AVERAGE(OFFSET($H$3,0,0,'Données projet'!$E$10+1,1))</f>
        <v>175.05987582828078</v>
      </c>
      <c r="AO7" s="59">
        <f t="shared" si="36"/>
        <v>268.54782308462387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4.9000000000000004</v>
      </c>
      <c r="BD7" s="12">
        <f>IF('Données projet'!$A$88&gt;35,BD6+BC7-BL6,IF(A7&lt;'Données projet'!$A$88,$BA$205^A7,IF(A7='Données projet'!$A$88,'Données projet'!$B$88,BD6+BC7-BL6)))</f>
        <v>2.5017575271408434</v>
      </c>
      <c r="BE7" s="13">
        <f>BD7*VLOOKUP('Données projet'!$B$11,Paramètres!$A$1:$I$89,3,0)*VLOOKUP('Données projet'!$B$11,Paramètres!$A$1:$I$89,5,0)</f>
        <v>1.4960510012302246</v>
      </c>
      <c r="BF7" s="13">
        <f t="shared" si="37"/>
        <v>0.65786185172389555</v>
      </c>
      <c r="BG7" s="20">
        <f t="shared" si="7"/>
        <v>3.7513982188950923</v>
      </c>
      <c r="BH7" s="59">
        <f t="shared" si="8"/>
        <v>297.08473155222839</v>
      </c>
      <c r="BI7" s="59">
        <f ca="1">AVERAGE(OFFSET($BH$3,0,0,'Données projet'!$E$11+1,1))-AVERAGE(OFFSET($H$3,0,0,'Données projet'!$E$11+1,1))</f>
        <v>381.78368385345919</v>
      </c>
      <c r="BJ7" s="59">
        <f t="shared" si="38"/>
        <v>257.35575295655639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3.7333333333333334</v>
      </c>
      <c r="BY7" s="12">
        <f>IF('Données projet'!$A$114&gt;35,BY6+BX7-CG6,IF(A7&lt;'Données projet'!$A$114,$BV$205^A7,IF(A7='Données projet'!$A$114,'Données projet'!$B$114,BY6+BX7-CG6)))</f>
        <v>2.9253879885034593</v>
      </c>
      <c r="BZ7" s="13">
        <f>BY7*VLOOKUP('Données projet'!$B$12,Paramètres!$A$1:$I$89,3,0)*VLOOKUP('Données projet'!$B$12,Paramètres!$A$1:$I$89,5,0)</f>
        <v>1.4071116224701639</v>
      </c>
      <c r="CA7" s="13">
        <f t="shared" si="39"/>
        <v>0.62318238913495549</v>
      </c>
      <c r="CB7" s="20">
        <f t="shared" si="10"/>
        <v>3.5360954035455823</v>
      </c>
      <c r="CC7" s="59">
        <f t="shared" si="11"/>
        <v>296.86942873687889</v>
      </c>
      <c r="CD7" s="59">
        <f ca="1">AVERAGE(OFFSET($CC$3,0,0,'Données projet'!$E$12+1,1))-AVERAGE(OFFSET($H$3,0,0,'Données projet'!$E$12+1,1))</f>
        <v>415.97633163853953</v>
      </c>
      <c r="CE7" s="59">
        <f t="shared" si="40"/>
        <v>356.23532720804423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12.6</v>
      </c>
      <c r="N8" s="13">
        <f>IF('Données projet'!$A$36&gt;35,N7+M8-V7,IF(A8&lt;'Données projet'!$A$36,$K$205^A8,IF(A8='Données projet'!$A$36,'Données projet'!$B$36,N7+M8-V7)))</f>
        <v>5.7387935483171679</v>
      </c>
      <c r="O8" s="13">
        <f>N8*VLOOKUP('Données projet'!$B$9,Paramètres!$A$1:$I$89,3,0)*VLOOKUP('Données projet'!$B$9,Paramètres!$A$1:$I$89,5,0)</f>
        <v>3.2079855935092971</v>
      </c>
      <c r="P8" s="13">
        <f t="shared" si="33"/>
        <v>1.2908001931180566</v>
      </c>
      <c r="Q8" s="20">
        <f t="shared" si="2"/>
        <v>7.83538524504264</v>
      </c>
      <c r="R8" s="59">
        <f t="shared" si="0"/>
        <v>301.16871857837594</v>
      </c>
      <c r="S8" s="59">
        <f ca="1">AVERAGE(OFFSET($R$3,0,0,'Données projet'!$E$9+1,1))-AVERAGE(OFFSET($H$3,0,0,'Données projet'!$E$9+1,1))</f>
        <v>492.3498626914548</v>
      </c>
      <c r="T8" s="59">
        <f t="shared" si="34"/>
        <v>635.90304180030307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6.2222222222222223</v>
      </c>
      <c r="AI8" s="13">
        <f>IF('Données projet'!$A$62&gt;35,AI7+AH8-AQ7,IF(A8&lt;'Données projet'!$A$62,$AF$205^A8,IF(A8='Données projet'!$A$62,'Données projet'!$B$62,AI7+AH8-AQ7)))</f>
        <v>3.7087471750180505</v>
      </c>
      <c r="AJ8" s="13">
        <f>AI8*VLOOKUP('Données projet'!$B$10,Paramètres!$A$1:$I$89,3,0)*VLOOKUP('Données projet'!$B$10,Paramètres!$A$1:$I$89,5,0)</f>
        <v>2.3142582372112632</v>
      </c>
      <c r="AK8" s="13">
        <f t="shared" si="35"/>
        <v>0.96726694681425085</v>
      </c>
      <c r="AL8" s="20">
        <f t="shared" si="4"/>
        <v>5.7153230288444377</v>
      </c>
      <c r="AM8" s="59">
        <f t="shared" si="5"/>
        <v>299.04865636217778</v>
      </c>
      <c r="AN8" s="59">
        <f ca="1">AVERAGE(OFFSET($AM$3,0,0,'Données projet'!$E$10+1,1))-AVERAGE(OFFSET($H$3,0,0,'Données projet'!$E$10+1,1))</f>
        <v>175.05987582828078</v>
      </c>
      <c r="AO8" s="59">
        <f t="shared" si="36"/>
        <v>268.54782308462387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4.9000000000000004</v>
      </c>
      <c r="BD8" s="12">
        <f>IF('Données projet'!$A$88&gt;35,BD7+BC8-BL7,IF(A8&lt;'Données projet'!$A$88,$BA$205^A8,IF(A8='Données projet'!$A$88,'Données projet'!$B$88,BD7+BC8-BL7)))</f>
        <v>3.1463462836457885</v>
      </c>
      <c r="BE8" s="13">
        <f>BD8*VLOOKUP('Données projet'!$B$11,Paramètres!$A$1:$I$89,3,0)*VLOOKUP('Données projet'!$B$11,Paramètres!$A$1:$I$89,5,0)</f>
        <v>1.8815150776201819</v>
      </c>
      <c r="BF8" s="13">
        <f t="shared" si="37"/>
        <v>0.80557702405033782</v>
      </c>
      <c r="BG8" s="20">
        <f t="shared" si="7"/>
        <v>4.6800187437428216</v>
      </c>
      <c r="BH8" s="59">
        <f t="shared" si="8"/>
        <v>298.01335207707615</v>
      </c>
      <c r="BI8" s="59">
        <f ca="1">AVERAGE(OFFSET($BH$3,0,0,'Données projet'!$E$11+1,1))-AVERAGE(OFFSET($H$3,0,0,'Données projet'!$E$11+1,1))</f>
        <v>381.78368385345919</v>
      </c>
      <c r="BJ8" s="59">
        <f t="shared" si="38"/>
        <v>257.35575295655639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3.7333333333333334</v>
      </c>
      <c r="BY8" s="12">
        <f>IF('Données projet'!$A$114&gt;35,BY7+BX8-CG7,IF(A8&lt;'Données projet'!$A$114,$BV$205^A8,IF(A8='Données projet'!$A$114,'Données projet'!$B$114,BY7+BX8-CG7)))</f>
        <v>3.8258623655447765</v>
      </c>
      <c r="BZ8" s="13">
        <f>BY8*VLOOKUP('Données projet'!$B$12,Paramètres!$A$1:$I$89,3,0)*VLOOKUP('Données projet'!$B$12,Paramètres!$A$1:$I$89,5,0)</f>
        <v>1.8402397978270375</v>
      </c>
      <c r="CA8" s="13">
        <f t="shared" si="39"/>
        <v>0.78994181089251181</v>
      </c>
      <c r="CB8" s="20">
        <f t="shared" si="10"/>
        <v>4.5808996351865483</v>
      </c>
      <c r="CC8" s="59">
        <f t="shared" si="11"/>
        <v>297.91423296851985</v>
      </c>
      <c r="CD8" s="59">
        <f ca="1">AVERAGE(OFFSET($CC$3,0,0,'Données projet'!$E$12+1,1))-AVERAGE(OFFSET($H$3,0,0,'Données projet'!$E$12+1,1))</f>
        <v>415.97633163853953</v>
      </c>
      <c r="CE8" s="59">
        <f t="shared" si="40"/>
        <v>356.23532720804423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12.6</v>
      </c>
      <c r="N9" s="13">
        <f>IF('Données projet'!$A$36&gt;35,N8+M9-V8,IF(A9&lt;'Données projet'!$A$36,$K$205^A9,IF(A9='Données projet'!$A$36,'Données projet'!$B$36,N8+M9-V8)))</f>
        <v>8.1392562496968175</v>
      </c>
      <c r="O9" s="13">
        <f>N9*VLOOKUP('Données projet'!$B$9,Paramètres!$A$1:$I$89,3,0)*VLOOKUP('Données projet'!$B$9,Paramètres!$A$1:$I$89,5,0)</f>
        <v>4.5498442435805213</v>
      </c>
      <c r="P9" s="13">
        <f t="shared" si="33"/>
        <v>1.7577527998813831</v>
      </c>
      <c r="Q9" s="20">
        <f t="shared" si="2"/>
        <v>10.985731517362817</v>
      </c>
      <c r="R9" s="59">
        <f t="shared" si="0"/>
        <v>304.31906485069612</v>
      </c>
      <c r="S9" s="59">
        <f ca="1">AVERAGE(OFFSET($R$3,0,0,'Données projet'!$E$9+1,1))-AVERAGE(OFFSET($H$3,0,0,'Données projet'!$E$9+1,1))</f>
        <v>492.3498626914548</v>
      </c>
      <c r="T9" s="59">
        <f t="shared" si="34"/>
        <v>635.90304180030307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6.2222222222222223</v>
      </c>
      <c r="AI9" s="13">
        <f>IF('Données projet'!$A$62&gt;35,AI8+AH9-AQ8,IF(A9&lt;'Données projet'!$A$62,$AF$205^A9,IF(A9='Données projet'!$A$62,'Données projet'!$B$62,AI8+AH9-AQ8)))</f>
        <v>4.8202845283504612</v>
      </c>
      <c r="AJ9" s="13">
        <f>AI9*VLOOKUP('Données projet'!$B$10,Paramètres!$A$1:$I$89,3,0)*VLOOKUP('Données projet'!$B$10,Paramètres!$A$1:$I$89,5,0)</f>
        <v>3.0078575456906878</v>
      </c>
      <c r="AK9" s="13">
        <f t="shared" si="35"/>
        <v>1.2193831326236693</v>
      </c>
      <c r="AL9" s="20">
        <f t="shared" si="4"/>
        <v>7.3624441813975059</v>
      </c>
      <c r="AM9" s="59">
        <f t="shared" si="5"/>
        <v>300.69577751473082</v>
      </c>
      <c r="AN9" s="59">
        <f ca="1">AVERAGE(OFFSET($AM$3,0,0,'Données projet'!$E$10+1,1))-AVERAGE(OFFSET($H$3,0,0,'Données projet'!$E$10+1,1))</f>
        <v>175.05987582828078</v>
      </c>
      <c r="AO9" s="59">
        <f t="shared" si="36"/>
        <v>268.54782308462387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4.9000000000000004</v>
      </c>
      <c r="BD9" s="12">
        <f>IF('Données projet'!$A$88&gt;35,BD8+BC9-BL8,IF(A9&lt;'Données projet'!$A$88,$BA$205^A9,IF(A9='Données projet'!$A$88,'Données projet'!$B$88,BD8+BC9-BL8)))</f>
        <v>3.9570161493329823</v>
      </c>
      <c r="BE9" s="13">
        <f>BD9*VLOOKUP('Données projet'!$B$11,Paramètres!$A$1:$I$89,3,0)*VLOOKUP('Données projet'!$B$11,Paramètres!$A$1:$I$89,5,0)</f>
        <v>2.3662956573011233</v>
      </c>
      <c r="BF9" s="13">
        <f t="shared" si="37"/>
        <v>0.98645990792328875</v>
      </c>
      <c r="BG9" s="20">
        <f t="shared" si="7"/>
        <v>5.8393826094325183</v>
      </c>
      <c r="BH9" s="59">
        <f t="shared" si="8"/>
        <v>299.17271594276582</v>
      </c>
      <c r="BI9" s="59">
        <f ca="1">AVERAGE(OFFSET($BH$3,0,0,'Données projet'!$E$11+1,1))-AVERAGE(OFFSET($H$3,0,0,'Données projet'!$E$11+1,1))</f>
        <v>381.78368385345919</v>
      </c>
      <c r="BJ9" s="59">
        <f t="shared" si="38"/>
        <v>257.35575295655639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3.7333333333333334</v>
      </c>
      <c r="BY9" s="12">
        <f>IF('Données projet'!$A$114&gt;35,BY8+BX9-CG8,IF(A9&lt;'Données projet'!$A$114,$BV$205^A9,IF(A9='Données projet'!$A$114,'Données projet'!$B$114,BY8+BX9-CG8)))</f>
        <v>5.0035150542816851</v>
      </c>
      <c r="BZ9" s="13">
        <f>BY9*VLOOKUP('Données projet'!$B$12,Paramètres!$A$1:$I$89,3,0)*VLOOKUP('Données projet'!$B$12,Paramètres!$A$1:$I$89,5,0)</f>
        <v>2.4066907411094909</v>
      </c>
      <c r="CA9" s="13">
        <f t="shared" si="39"/>
        <v>1.001324933880644</v>
      </c>
      <c r="CB9" s="20">
        <f t="shared" si="10"/>
        <v>5.9356273006078171</v>
      </c>
      <c r="CC9" s="59">
        <f t="shared" si="11"/>
        <v>299.26896063394111</v>
      </c>
      <c r="CD9" s="59">
        <f ca="1">AVERAGE(OFFSET($CC$3,0,0,'Données projet'!$E$12+1,1))-AVERAGE(OFFSET($H$3,0,0,'Données projet'!$E$12+1,1))</f>
        <v>415.97633163853953</v>
      </c>
      <c r="CE9" s="59">
        <f t="shared" si="40"/>
        <v>356.23532720804423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12.6</v>
      </c>
      <c r="N10" s="13">
        <f>IF('Données projet'!$A$36&gt;35,N9+M10-V9,IF(A10&lt;'Données projet'!$A$36,$K$205^A10,IF(A10='Données projet'!$A$36,'Données projet'!$B$36,N9+M10-V9)))</f>
        <v>11.543801278171953</v>
      </c>
      <c r="O10" s="13">
        <f>N10*VLOOKUP('Données projet'!$B$9,Paramètres!$A$1:$I$89,3,0)*VLOOKUP('Données projet'!$B$9,Paramètres!$A$1:$I$89,5,0)</f>
        <v>6.4529849144981215</v>
      </c>
      <c r="P10" s="13">
        <f t="shared" si="33"/>
        <v>2.3936275513155714</v>
      </c>
      <c r="Q10" s="20">
        <f t="shared" si="2"/>
        <v>15.407850044625512</v>
      </c>
      <c r="R10" s="59">
        <f t="shared" si="0"/>
        <v>308.74118337795881</v>
      </c>
      <c r="S10" s="59">
        <f ca="1">AVERAGE(OFFSET($R$3,0,0,'Données projet'!$E$9+1,1))-AVERAGE(OFFSET($H$3,0,0,'Données projet'!$E$9+1,1))</f>
        <v>492.3498626914548</v>
      </c>
      <c r="T10" s="59">
        <f t="shared" si="34"/>
        <v>635.90304180030307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6.2222222222222223</v>
      </c>
      <c r="AI10" s="13">
        <f>IF('Données projet'!$A$62&gt;35,AI9+AH10-AQ9,IF(A10&lt;'Données projet'!$A$62,$AF$205^A10,IF(A10='Données projet'!$A$62,'Données projet'!$B$62,AI9+AH10-AQ9)))</f>
        <v>6.2649573664027773</v>
      </c>
      <c r="AJ10" s="13">
        <f>AI10*VLOOKUP('Données projet'!$B$10,Paramètres!$A$1:$I$89,3,0)*VLOOKUP('Données projet'!$B$10,Paramètres!$A$1:$I$89,5,0)</f>
        <v>3.9093333966353332</v>
      </c>
      <c r="AK10" s="13">
        <f t="shared" si="35"/>
        <v>1.5372128955964925</v>
      </c>
      <c r="AL10" s="20">
        <f t="shared" si="4"/>
        <v>9.4860681256370967</v>
      </c>
      <c r="AM10" s="59">
        <f t="shared" si="5"/>
        <v>302.81940145897039</v>
      </c>
      <c r="AN10" s="59">
        <f ca="1">AVERAGE(OFFSET($AM$3,0,0,'Données projet'!$E$10+1,1))-AVERAGE(OFFSET($H$3,0,0,'Données projet'!$E$10+1,1))</f>
        <v>175.05987582828078</v>
      </c>
      <c r="AO10" s="59">
        <f t="shared" si="36"/>
        <v>268.54782308462387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4.9000000000000004</v>
      </c>
      <c r="BD10" s="12">
        <f>IF('Données projet'!$A$88&gt;35,BD9+BC10-BL9,IF(A10&lt;'Données projet'!$A$88,$BA$205^A10,IF(A10='Données projet'!$A$88,'Données projet'!$B$88,BD9+BC10-BL9)))</f>
        <v>4.976558647555648</v>
      </c>
      <c r="BE10" s="13">
        <f>BD10*VLOOKUP('Données projet'!$B$11,Paramètres!$A$1:$I$89,3,0)*VLOOKUP('Données projet'!$B$11,Paramètres!$A$1:$I$89,5,0)</f>
        <v>2.9759820712382781</v>
      </c>
      <c r="BF10" s="13">
        <f t="shared" si="37"/>
        <v>1.2079579244296048</v>
      </c>
      <c r="BG10" s="20">
        <f t="shared" si="7"/>
        <v>7.2870288257882292</v>
      </c>
      <c r="BH10" s="59">
        <f t="shared" si="8"/>
        <v>300.62036215912156</v>
      </c>
      <c r="BI10" s="59">
        <f ca="1">AVERAGE(OFFSET($BH$3,0,0,'Données projet'!$E$11+1,1))-AVERAGE(OFFSET($H$3,0,0,'Données projet'!$E$11+1,1))</f>
        <v>381.78368385345919</v>
      </c>
      <c r="BJ10" s="59">
        <f t="shared" si="38"/>
        <v>257.35575295655639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3.7333333333333334</v>
      </c>
      <c r="BY10" s="12">
        <f>IF('Données projet'!$A$114&gt;35,BY9+BX10-CG9,IF(A10&lt;'Données projet'!$A$114,$BV$205^A10,IF(A10='Données projet'!$A$114,'Données projet'!$B$114,BY9+BX10-CG9)))</f>
        <v>6.5436653246825864</v>
      </c>
      <c r="BZ10" s="13">
        <f>BY10*VLOOKUP('Données projet'!$B$12,Paramètres!$A$1:$I$89,3,0)*VLOOKUP('Données projet'!$B$12,Paramètres!$A$1:$I$89,5,0)</f>
        <v>3.1475030211723238</v>
      </c>
      <c r="CA10" s="13">
        <f t="shared" si="39"/>
        <v>1.2692727608356806</v>
      </c>
      <c r="CB10" s="20">
        <f t="shared" si="10"/>
        <v>7.692551153663941</v>
      </c>
      <c r="CC10" s="59">
        <f t="shared" si="11"/>
        <v>301.02588448699726</v>
      </c>
      <c r="CD10" s="59">
        <f ca="1">AVERAGE(OFFSET($CC$3,0,0,'Données projet'!$E$12+1,1))-AVERAGE(OFFSET($H$3,0,0,'Données projet'!$E$12+1,1))</f>
        <v>415.97633163853953</v>
      </c>
      <c r="CE10" s="59">
        <f t="shared" si="40"/>
        <v>356.23532720804423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12.6</v>
      </c>
      <c r="N11" s="13">
        <f>IF('Données projet'!$A$36&gt;35,N10+M11-V10,IF(A11&lt;'Données projet'!$A$36,$K$205^A11,IF(A11='Données projet'!$A$36,'Données projet'!$B$36,N10+M11-V10)))</f>
        <v>16.372423211873727</v>
      </c>
      <c r="O11" s="13">
        <f>N11*VLOOKUP('Données projet'!$B$9,Paramètres!$A$1:$I$89,3,0)*VLOOKUP('Données projet'!$B$9,Paramètres!$A$1:$I$89,5,0)</f>
        <v>9.1521845754374134</v>
      </c>
      <c r="P11" s="13">
        <f t="shared" si="33"/>
        <v>3.2595327709354898</v>
      </c>
      <c r="Q11" s="20">
        <f t="shared" si="2"/>
        <v>21.617074378266139</v>
      </c>
      <c r="R11" s="59">
        <f t="shared" si="0"/>
        <v>314.95040771159944</v>
      </c>
      <c r="S11" s="59">
        <f ca="1">AVERAGE(OFFSET($R$3,0,0,'Données projet'!$E$9+1,1))-AVERAGE(OFFSET($H$3,0,0,'Données projet'!$E$9+1,1))</f>
        <v>492.3498626914548</v>
      </c>
      <c r="T11" s="59">
        <f t="shared" si="34"/>
        <v>635.90304180030307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6.2222222222222223</v>
      </c>
      <c r="AI11" s="13">
        <f>IF('Données projet'!$A$62&gt;35,AI10+AH11-AQ10,IF(A11&lt;'Données projet'!$A$62,$AF$205^A11,IF(A11='Données projet'!$A$62,'Données projet'!$B$62,AI10+AH11-AQ10)))</f>
        <v>8.1426087136553278</v>
      </c>
      <c r="AJ11" s="13">
        <f>AI11*VLOOKUP('Données projet'!$B$10,Paramètres!$A$1:$I$89,3,0)*VLOOKUP('Données projet'!$B$10,Paramètres!$A$1:$I$89,5,0)</f>
        <v>5.080987837320925</v>
      </c>
      <c r="AK11" s="13">
        <f t="shared" si="35"/>
        <v>1.9378843475584122</v>
      </c>
      <c r="AL11" s="20">
        <f t="shared" si="4"/>
        <v>12.224535721998178</v>
      </c>
      <c r="AM11" s="59">
        <f t="shared" si="5"/>
        <v>305.55786905533148</v>
      </c>
      <c r="AN11" s="59">
        <f ca="1">AVERAGE(OFFSET($AM$3,0,0,'Données projet'!$E$10+1,1))-AVERAGE(OFFSET($H$3,0,0,'Données projet'!$E$10+1,1))</f>
        <v>175.05987582828078</v>
      </c>
      <c r="AO11" s="59">
        <f t="shared" si="36"/>
        <v>268.54782308462387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4.9000000000000004</v>
      </c>
      <c r="BD11" s="12">
        <f>IF('Données projet'!$A$88&gt;35,BD10+BC11-BL10,IF(A11&lt;'Données projet'!$A$88,$BA$205^A11,IF(A11='Données projet'!$A$88,'Données projet'!$B$88,BD10+BC11-BL10)))</f>
        <v>6.258790724605868</v>
      </c>
      <c r="BE11" s="13">
        <f>BD11*VLOOKUP('Données projet'!$B$11,Paramètres!$A$1:$I$89,3,0)*VLOOKUP('Données projet'!$B$11,Paramètres!$A$1:$I$89,5,0)</f>
        <v>3.7427568533143094</v>
      </c>
      <c r="BF11" s="13">
        <f t="shared" si="37"/>
        <v>1.4791907258188837</v>
      </c>
      <c r="BG11" s="20">
        <f t="shared" si="7"/>
        <v>9.0948920336569774</v>
      </c>
      <c r="BH11" s="59">
        <f t="shared" si="8"/>
        <v>302.42822536699032</v>
      </c>
      <c r="BI11" s="59">
        <f ca="1">AVERAGE(OFFSET($BH$3,0,0,'Données projet'!$E$11+1,1))-AVERAGE(OFFSET($H$3,0,0,'Données projet'!$E$11+1,1))</f>
        <v>381.78368385345919</v>
      </c>
      <c r="BJ11" s="59">
        <f t="shared" si="38"/>
        <v>257.35575295655639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3.7333333333333334</v>
      </c>
      <c r="BY11" s="12">
        <f>IF('Données projet'!$A$114&gt;35,BY10+BX11-CG10,IF(A11&lt;'Données projet'!$A$114,$BV$205^A11,IF(A11='Données projet'!$A$114,'Données projet'!$B$114,BY10+BX11-CG10)))</f>
        <v>8.5578948832803157</v>
      </c>
      <c r="BZ11" s="13">
        <f>BY11*VLOOKUP('Données projet'!$B$12,Paramètres!$A$1:$I$89,3,0)*VLOOKUP('Données projet'!$B$12,Paramètres!$A$1:$I$89,5,0)</f>
        <v>4.1163474388578321</v>
      </c>
      <c r="CA11" s="13">
        <f t="shared" si="39"/>
        <v>1.6089216266250148</v>
      </c>
      <c r="CB11" s="20">
        <f t="shared" si="10"/>
        <v>9.9715102890492897</v>
      </c>
      <c r="CC11" s="59">
        <f t="shared" si="11"/>
        <v>303.30484362238258</v>
      </c>
      <c r="CD11" s="59">
        <f ca="1">AVERAGE(OFFSET($CC$3,0,0,'Données projet'!$E$12+1,1))-AVERAGE(OFFSET($H$3,0,0,'Données projet'!$E$12+1,1))</f>
        <v>415.97633163853953</v>
      </c>
      <c r="CE11" s="59">
        <f t="shared" si="40"/>
        <v>356.23532720804423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12.6</v>
      </c>
      <c r="N12" s="13">
        <f>IF('Données projet'!$A$36&gt;35,N11+M12-V11,IF(A12&lt;'Données projet'!$A$36,$K$205^A12,IF(A12='Données projet'!$A$36,'Données projet'!$B$36,N11+M12-V11)))</f>
        <v>23.220794898433166</v>
      </c>
      <c r="O12" s="13">
        <f>N12*VLOOKUP('Données projet'!$B$9,Paramètres!$A$1:$I$89,3,0)*VLOOKUP('Données projet'!$B$9,Paramètres!$A$1:$I$89,5,0)</f>
        <v>12.98042434822414</v>
      </c>
      <c r="P12" s="13">
        <f t="shared" si="33"/>
        <v>4.4386829851465368</v>
      </c>
      <c r="Q12" s="20">
        <f t="shared" si="2"/>
        <v>30.338278605620587</v>
      </c>
      <c r="R12" s="59">
        <f t="shared" si="0"/>
        <v>323.6716119389539</v>
      </c>
      <c r="S12" s="59">
        <f ca="1">AVERAGE(OFFSET($R$3,0,0,'Données projet'!$E$9+1,1))-AVERAGE(OFFSET($H$3,0,0,'Données projet'!$E$9+1,1))</f>
        <v>492.3498626914548</v>
      </c>
      <c r="T12" s="59">
        <f t="shared" si="34"/>
        <v>635.90304180030307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6.2222222222222223</v>
      </c>
      <c r="AI12" s="13">
        <f>IF('Données projet'!$A$62&gt;35,AI11+AH12-AQ11,IF(A12&lt;'Données projet'!$A$62,$AF$205^A12,IF(A12='Données projet'!$A$62,'Données projet'!$B$62,AI11+AH12-AQ11)))</f>
        <v>10.583005244258365</v>
      </c>
      <c r="AJ12" s="13">
        <f>AI12*VLOOKUP('Données projet'!$B$10,Paramètres!$A$1:$I$89,3,0)*VLOOKUP('Données projet'!$B$10,Paramètres!$A$1:$I$89,5,0)</f>
        <v>6.6037952724172193</v>
      </c>
      <c r="AK12" s="13">
        <f t="shared" si="35"/>
        <v>2.4429900082608067</v>
      </c>
      <c r="AL12" s="20">
        <f t="shared" si="4"/>
        <v>15.75648436384756</v>
      </c>
      <c r="AM12" s="59">
        <f t="shared" si="5"/>
        <v>309.08981769718088</v>
      </c>
      <c r="AN12" s="59">
        <f ca="1">AVERAGE(OFFSET($AM$3,0,0,'Données projet'!$E$10+1,1))-AVERAGE(OFFSET($H$3,0,0,'Données projet'!$E$10+1,1))</f>
        <v>175.05987582828078</v>
      </c>
      <c r="AO12" s="59">
        <f t="shared" si="36"/>
        <v>268.54782308462387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4.9000000000000004</v>
      </c>
      <c r="BD12" s="12">
        <f>IF('Données projet'!$A$88&gt;35,BD11+BC12-BL11,IF(A12&lt;'Données projet'!$A$88,$BA$205^A12,IF(A12='Données projet'!$A$88,'Données projet'!$B$88,BD11+BC12-BL11)))</f>
        <v>7.871395498102471</v>
      </c>
      <c r="BE12" s="13">
        <f>BD12*VLOOKUP('Données projet'!$B$11,Paramètres!$A$1:$I$89,3,0)*VLOOKUP('Données projet'!$B$11,Paramètres!$A$1:$I$89,5,0)</f>
        <v>4.7070945078652784</v>
      </c>
      <c r="BF12" s="13">
        <f t="shared" si="37"/>
        <v>1.8113256754218214</v>
      </c>
      <c r="BG12" s="20">
        <f t="shared" si="7"/>
        <v>11.352915152558365</v>
      </c>
      <c r="BH12" s="59">
        <f t="shared" si="8"/>
        <v>304.68624848589167</v>
      </c>
      <c r="BI12" s="59">
        <f ca="1">AVERAGE(OFFSET($BH$3,0,0,'Données projet'!$E$11+1,1))-AVERAGE(OFFSET($H$3,0,0,'Données projet'!$E$11+1,1))</f>
        <v>381.78368385345919</v>
      </c>
      <c r="BJ12" s="59">
        <f t="shared" si="38"/>
        <v>257.35575295655639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3.7333333333333334</v>
      </c>
      <c r="BY12" s="12">
        <f>IF('Données projet'!$A$114&gt;35,BY11+BX12-CG11,IF(A12&lt;'Données projet'!$A$114,$BV$205^A12,IF(A12='Données projet'!$A$114,'Données projet'!$B$114,BY11+BX12-CG11)))</f>
        <v>11.192131809832121</v>
      </c>
      <c r="BZ12" s="13">
        <f>BY12*VLOOKUP('Données projet'!$B$12,Paramètres!$A$1:$I$89,3,0)*VLOOKUP('Données projet'!$B$12,Paramètres!$A$1:$I$89,5,0)</f>
        <v>5.3834154005292509</v>
      </c>
      <c r="CA12" s="13">
        <f t="shared" si="39"/>
        <v>2.0394582476640779</v>
      </c>
      <c r="CB12" s="20">
        <f t="shared" si="10"/>
        <v>12.928171603936716</v>
      </c>
      <c r="CC12" s="59">
        <f t="shared" si="11"/>
        <v>306.26150493727005</v>
      </c>
      <c r="CD12" s="59">
        <f ca="1">AVERAGE(OFFSET($CC$3,0,0,'Données projet'!$E$12+1,1))-AVERAGE(OFFSET($H$3,0,0,'Données projet'!$E$12+1,1))</f>
        <v>415.97633163853953</v>
      </c>
      <c r="CE12" s="59">
        <f t="shared" si="40"/>
        <v>356.23532720804423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12.6</v>
      </c>
      <c r="N13" s="13">
        <f>IF('Données projet'!$A$36&gt;35,N12+M13-V12,IF(A13&lt;'Données projet'!$A$36,$K$205^A13,IF(A13='Données projet'!$A$36,'Données projet'!$B$36,N12+M13-V12)))</f>
        <v>32.933751390206758</v>
      </c>
      <c r="O13" s="13">
        <f>N13*VLOOKUP('Données projet'!$B$9,Paramètres!$A$1:$I$89,3,0)*VLOOKUP('Données projet'!$B$9,Paramètres!$A$1:$I$89,5,0)</f>
        <v>18.409967027125578</v>
      </c>
      <c r="P13" s="13">
        <f t="shared" si="33"/>
        <v>6.0443959386777069</v>
      </c>
      <c r="Q13" s="20">
        <f t="shared" si="2"/>
        <v>42.591348832107379</v>
      </c>
      <c r="R13" s="59">
        <f t="shared" si="0"/>
        <v>335.92468216544069</v>
      </c>
      <c r="S13" s="59">
        <f ca="1">AVERAGE(OFFSET($R$3,0,0,'Données projet'!$E$9+1,1))-AVERAGE(OFFSET($H$3,0,0,'Données projet'!$E$9+1,1))</f>
        <v>492.3498626914548</v>
      </c>
      <c r="T13" s="59">
        <f t="shared" si="34"/>
        <v>635.90304180030307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6.2222222222222223</v>
      </c>
      <c r="AI13" s="13">
        <f>IF('Données projet'!$A$62&gt;35,AI12+AH13-AQ12,IF(A13&lt;'Données projet'!$A$62,$AF$205^A13,IF(A13='Données projet'!$A$62,'Données projet'!$B$62,AI12+AH13-AQ12)))</f>
        <v>13.754805608204368</v>
      </c>
      <c r="AJ13" s="13">
        <f>AI13*VLOOKUP('Données projet'!$B$10,Paramètres!$A$1:$I$89,3,0)*VLOOKUP('Données projet'!$B$10,Paramètres!$A$1:$I$89,5,0)</f>
        <v>8.5829986995195267</v>
      </c>
      <c r="AK13" s="13">
        <f t="shared" si="35"/>
        <v>3.0797504443346257</v>
      </c>
      <c r="AL13" s="20">
        <f t="shared" si="4"/>
        <v>20.312621425545984</v>
      </c>
      <c r="AM13" s="59">
        <f t="shared" si="5"/>
        <v>313.64595475887927</v>
      </c>
      <c r="AN13" s="59">
        <f ca="1">AVERAGE(OFFSET($AM$3,0,0,'Données projet'!$E$10+1,1))-AVERAGE(OFFSET($H$3,0,0,'Données projet'!$E$10+1,1))</f>
        <v>175.05987582828078</v>
      </c>
      <c r="AO13" s="59">
        <f t="shared" si="36"/>
        <v>268.54782308462387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4.9000000000000004</v>
      </c>
      <c r="BD13" s="12">
        <f>IF('Données projet'!$A$88&gt;35,BD12+BC13-BL12,IF(A13&lt;'Données projet'!$A$88,$BA$205^A13,IF(A13='Données projet'!$A$88,'Données projet'!$B$88,BD12+BC13-BL12)))</f>
        <v>9.8994949366116654</v>
      </c>
      <c r="BE13" s="13">
        <f>BD13*VLOOKUP('Données projet'!$B$11,Paramètres!$A$1:$I$89,3,0)*VLOOKUP('Données projet'!$B$11,Paramètres!$A$1:$I$89,5,0)</f>
        <v>5.9198979720937759</v>
      </c>
      <c r="BF13" s="13">
        <f t="shared" si="37"/>
        <v>2.2180376371857005</v>
      </c>
      <c r="BG13" s="20">
        <f t="shared" si="7"/>
        <v>14.173571186161757</v>
      </c>
      <c r="BH13" s="59">
        <f t="shared" si="8"/>
        <v>307.50690451949509</v>
      </c>
      <c r="BI13" s="59">
        <f ca="1">AVERAGE(OFFSET($BH$3,0,0,'Données projet'!$E$11+1,1))-AVERAGE(OFFSET($H$3,0,0,'Données projet'!$E$11+1,1))</f>
        <v>381.78368385345919</v>
      </c>
      <c r="BJ13" s="59">
        <f t="shared" si="38"/>
        <v>257.35575295655639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3.7333333333333334</v>
      </c>
      <c r="BY13" s="12">
        <f>IF('Données projet'!$A$114&gt;35,BY12+BX13-CG12,IF(A13&lt;'Données projet'!$A$114,$BV$205^A13,IF(A13='Données projet'!$A$114,'Données projet'!$B$114,BY12+BX13-CG12)))</f>
        <v>14.637222840091875</v>
      </c>
      <c r="BZ13" s="13">
        <f>BY13*VLOOKUP('Données projet'!$B$12,Paramètres!$A$1:$I$89,3,0)*VLOOKUP('Données projet'!$B$12,Paramètres!$A$1:$I$89,5,0)</f>
        <v>7.0405041860841919</v>
      </c>
      <c r="CA13" s="13">
        <f t="shared" si="39"/>
        <v>2.5852035768144002</v>
      </c>
      <c r="CB13" s="20">
        <f t="shared" si="10"/>
        <v>16.764774353715051</v>
      </c>
      <c r="CC13" s="59">
        <f t="shared" si="11"/>
        <v>310.09810768704835</v>
      </c>
      <c r="CD13" s="59">
        <f ca="1">AVERAGE(OFFSET($CC$3,0,0,'Données projet'!$E$12+1,1))-AVERAGE(OFFSET($H$3,0,0,'Données projet'!$E$12+1,1))</f>
        <v>415.97633163853953</v>
      </c>
      <c r="CE13" s="59">
        <f t="shared" si="40"/>
        <v>356.23532720804423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12.6</v>
      </c>
      <c r="N14" s="13">
        <f>IF('Données projet'!$A$36&gt;35,N13+M14-V13,IF(A14&lt;'Données projet'!$A$36,$K$205^A14,IF(A14='Données projet'!$A$36,'Données projet'!$B$36,N13+M14-V13)))</f>
        <v>46.709511253860285</v>
      </c>
      <c r="O14" s="13">
        <f>N14*VLOOKUP('Données projet'!$B$9,Paramètres!$A$1:$I$89,3,0)*VLOOKUP('Données projet'!$B$9,Paramètres!$A$1:$I$89,5,0)</f>
        <v>26.110616790907901</v>
      </c>
      <c r="P14" s="13">
        <f t="shared" si="33"/>
        <v>8.2309825652704038</v>
      </c>
      <c r="Q14" s="20">
        <f t="shared" si="2"/>
        <v>59.811618878677223</v>
      </c>
      <c r="R14" s="59">
        <f t="shared" si="0"/>
        <v>353.14495221201054</v>
      </c>
      <c r="S14" s="59">
        <f ca="1">AVERAGE(OFFSET($R$3,0,0,'Données projet'!$E$9+1,1))-AVERAGE(OFFSET($H$3,0,0,'Données projet'!$E$9+1,1))</f>
        <v>492.3498626914548</v>
      </c>
      <c r="T14" s="59">
        <f t="shared" si="34"/>
        <v>635.90304180030307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6.2222222222222223</v>
      </c>
      <c r="AI14" s="13">
        <f>IF('Données projet'!$A$62&gt;35,AI13+AH14-AQ13,IF(A14&lt;'Données projet'!$A$62,$AF$205^A14,IF(A14='Données projet'!$A$62,'Données projet'!$B$62,AI13+AH14-AQ13)))</f>
        <v>17.877216627302985</v>
      </c>
      <c r="AJ14" s="13">
        <f>AI14*VLOOKUP('Données projet'!$B$10,Paramètres!$A$1:$I$89,3,0)*VLOOKUP('Données projet'!$B$10,Paramètres!$A$1:$I$89,5,0)</f>
        <v>11.155383175437063</v>
      </c>
      <c r="AK14" s="13">
        <f t="shared" si="35"/>
        <v>3.8824812083990929</v>
      </c>
      <c r="AL14" s="20">
        <f t="shared" si="4"/>
        <v>26.1909471351813</v>
      </c>
      <c r="AM14" s="59">
        <f t="shared" si="5"/>
        <v>319.52428046851463</v>
      </c>
      <c r="AN14" s="59">
        <f ca="1">AVERAGE(OFFSET($AM$3,0,0,'Données projet'!$E$10+1,1))-AVERAGE(OFFSET($H$3,0,0,'Données projet'!$E$10+1,1))</f>
        <v>175.05987582828078</v>
      </c>
      <c r="AO14" s="59">
        <f t="shared" si="36"/>
        <v>268.54782308462387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4.9000000000000004</v>
      </c>
      <c r="BD14" s="12">
        <f>IF('Données projet'!$A$88&gt;35,BD13+BC14-BL13,IF(A14&lt;'Données projet'!$A$88,$BA$205^A14,IF(A14='Données projet'!$A$88,'Données projet'!$B$88,BD13+BC14-BL13)))</f>
        <v>12.450143055780197</v>
      </c>
      <c r="BE14" s="13">
        <f>BD14*VLOOKUP('Données projet'!$B$11,Paramètres!$A$1:$I$89,3,0)*VLOOKUP('Données projet'!$B$11,Paramètres!$A$1:$I$89,5,0)</f>
        <v>7.4451855473565587</v>
      </c>
      <c r="BF14" s="13">
        <f t="shared" si="37"/>
        <v>2.7160720055638961</v>
      </c>
      <c r="BG14" s="20">
        <f t="shared" si="7"/>
        <v>17.697523571336458</v>
      </c>
      <c r="BH14" s="59">
        <f t="shared" si="8"/>
        <v>311.03085690466975</v>
      </c>
      <c r="BI14" s="59">
        <f ca="1">AVERAGE(OFFSET($BH$3,0,0,'Données projet'!$E$11+1,1))-AVERAGE(OFFSET($H$3,0,0,'Données projet'!$E$11+1,1))</f>
        <v>381.78368385345919</v>
      </c>
      <c r="BJ14" s="59">
        <f t="shared" si="38"/>
        <v>257.35575295655639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3.7333333333333334</v>
      </c>
      <c r="BY14" s="12">
        <f>IF('Données projet'!$A$114&gt;35,BY13+BX14-CG13,IF(A14&lt;'Données projet'!$A$114,$BV$205^A14,IF(A14='Données projet'!$A$114,'Données projet'!$B$114,BY13+BX14-CG13)))</f>
        <v>19.142759941613029</v>
      </c>
      <c r="BZ14" s="13">
        <f>BY14*VLOOKUP('Données projet'!$B$12,Paramètres!$A$1:$I$89,3,0)*VLOOKUP('Données projet'!$B$12,Paramètres!$A$1:$I$89,5,0)</f>
        <v>9.2076675319158667</v>
      </c>
      <c r="CA14" s="13">
        <f t="shared" si="39"/>
        <v>3.2769866905727323</v>
      </c>
      <c r="CB14" s="20">
        <f t="shared" si="10"/>
        <v>21.744106104167642</v>
      </c>
      <c r="CC14" s="59">
        <f t="shared" si="11"/>
        <v>315.07743943750097</v>
      </c>
      <c r="CD14" s="59">
        <f ca="1">AVERAGE(OFFSET($CC$3,0,0,'Données projet'!$E$12+1,1))-AVERAGE(OFFSET($H$3,0,0,'Données projet'!$E$12+1,1))</f>
        <v>415.97633163853953</v>
      </c>
      <c r="CE14" s="59">
        <f t="shared" si="40"/>
        <v>356.23532720804423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12.6</v>
      </c>
      <c r="N15" s="13">
        <f>IF('Données projet'!$A$36&gt;35,N14+M15-V14,IF(A15&lt;'Données projet'!$A$36,$K$205^A15,IF(A15='Données projet'!$A$36,'Données projet'!$B$36,N14+M15-V14)))</f>
        <v>66.247492298228693</v>
      </c>
      <c r="O15" s="13">
        <f>N15*VLOOKUP('Données projet'!$B$9,Paramètres!$A$1:$I$89,3,0)*VLOOKUP('Données projet'!$B$9,Paramètres!$A$1:$I$89,5,0)</f>
        <v>37.03234819470984</v>
      </c>
      <c r="P15" s="13">
        <f t="shared" si="33"/>
        <v>11.20857645282026</v>
      </c>
      <c r="Q15" s="20">
        <f t="shared" si="2"/>
        <v>84.019610427781586</v>
      </c>
      <c r="R15" s="59">
        <f t="shared" si="0"/>
        <v>377.35294376111489</v>
      </c>
      <c r="S15" s="59">
        <f ca="1">AVERAGE(OFFSET($R$3,0,0,'Données projet'!$E$9+1,1))-AVERAGE(OFFSET($H$3,0,0,'Données projet'!$E$9+1,1))</f>
        <v>492.3498626914548</v>
      </c>
      <c r="T15" s="59">
        <f t="shared" si="34"/>
        <v>635.90304180030307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6.2222222222222223</v>
      </c>
      <c r="AI15" s="13">
        <f>IF('Données projet'!$A$62&gt;35,AI14+AH15-AQ14,IF(A15&lt;'Données projet'!$A$62,$AF$205^A15,IF(A15='Données projet'!$A$62,'Données projet'!$B$62,AI14+AH15-AQ14)))</f>
        <v>23.235142934254824</v>
      </c>
      <c r="AJ15" s="13">
        <f>AI15*VLOOKUP('Données projet'!$B$10,Paramètres!$A$1:$I$89,3,0)*VLOOKUP('Données projet'!$B$10,Paramètres!$A$1:$I$89,5,0)</f>
        <v>14.498729190975009</v>
      </c>
      <c r="AK15" s="13">
        <f t="shared" si="35"/>
        <v>4.8944421329010357</v>
      </c>
      <c r="AL15" s="20">
        <f t="shared" si="4"/>
        <v>33.776440055750776</v>
      </c>
      <c r="AM15" s="59">
        <f t="shared" si="5"/>
        <v>327.10977338908407</v>
      </c>
      <c r="AN15" s="59">
        <f ca="1">AVERAGE(OFFSET($AM$3,0,0,'Données projet'!$E$10+1,1))-AVERAGE(OFFSET($H$3,0,0,'Données projet'!$E$10+1,1))</f>
        <v>175.05987582828078</v>
      </c>
      <c r="AO15" s="59">
        <f t="shared" si="36"/>
        <v>268.54782308462387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4.9000000000000004</v>
      </c>
      <c r="BD15" s="12">
        <f>IF('Données projet'!$A$88&gt;35,BD14+BC15-BL14,IF(A15&lt;'Données projet'!$A$88,$BA$205^A15,IF(A15='Données projet'!$A$88,'Données projet'!$B$88,BD14+BC15-BL14)))</f>
        <v>15.657976806082024</v>
      </c>
      <c r="BE15" s="13">
        <f>BD15*VLOOKUP('Données projet'!$B$11,Paramètres!$A$1:$I$89,3,0)*VLOOKUP('Données projet'!$B$11,Paramètres!$A$1:$I$89,5,0)</f>
        <v>9.3634701300370509</v>
      </c>
      <c r="BF15" s="13">
        <f t="shared" si="37"/>
        <v>3.3259341571714969</v>
      </c>
      <c r="BG15" s="20">
        <f t="shared" si="7"/>
        <v>22.100712466888222</v>
      </c>
      <c r="BH15" s="59">
        <f t="shared" si="8"/>
        <v>315.43404580022155</v>
      </c>
      <c r="BI15" s="59">
        <f ca="1">AVERAGE(OFFSET($BH$3,0,0,'Données projet'!$E$11+1,1))-AVERAGE(OFFSET($H$3,0,0,'Données projet'!$E$11+1,1))</f>
        <v>381.78368385345919</v>
      </c>
      <c r="BJ15" s="59">
        <f t="shared" si="38"/>
        <v>257.35575295655639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3.7333333333333334</v>
      </c>
      <c r="BY15" s="12">
        <f>IF('Données projet'!$A$114&gt;35,BY14+BX15-CG14,IF(A15&lt;'Données projet'!$A$114,$BV$205^A15,IF(A15='Données projet'!$A$114,'Données projet'!$B$114,BY14+BX15-CG14)))</f>
        <v>25.035162898423447</v>
      </c>
      <c r="BZ15" s="13">
        <f>BY15*VLOOKUP('Données projet'!$B$12,Paramètres!$A$1:$I$89,3,0)*VLOOKUP('Données projet'!$B$12,Paramètres!$A$1:$I$89,5,0)</f>
        <v>12.041913354141679</v>
      </c>
      <c r="CA15" s="13">
        <f t="shared" si="39"/>
        <v>4.1538863192443207</v>
      </c>
      <c r="CB15" s="20">
        <f t="shared" si="10"/>
        <v>28.207684431147282</v>
      </c>
      <c r="CC15" s="59">
        <f t="shared" si="11"/>
        <v>321.54101776448061</v>
      </c>
      <c r="CD15" s="59">
        <f ca="1">AVERAGE(OFFSET($CC$3,0,0,'Données projet'!$E$12+1,1))-AVERAGE(OFFSET($H$3,0,0,'Données projet'!$E$12+1,1))</f>
        <v>415.97633163853953</v>
      </c>
      <c r="CE15" s="59">
        <f t="shared" si="40"/>
        <v>356.23532720804423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12.6</v>
      </c>
      <c r="N16" s="13">
        <f>IF('Données projet'!$A$36&gt;35,N15+M16-V15,IF(A16&lt;'Données projet'!$A$36,$K$205^A16,IF(A16='Données projet'!$A$36,'Données projet'!$B$36,N15+M16-V15)))</f>
        <v>93.957956698619185</v>
      </c>
      <c r="O16" s="13">
        <f>N16*VLOOKUP('Données projet'!$B$9,Paramètres!$A$1:$I$89,3,0)*VLOOKUP('Données projet'!$B$9,Paramètres!$A$1:$I$89,5,0)</f>
        <v>52.522497794528128</v>
      </c>
      <c r="P16" s="13">
        <f t="shared" si="33"/>
        <v>15.263327932294025</v>
      </c>
      <c r="Q16" s="20">
        <f t="shared" si="2"/>
        <v>118.06031314088193</v>
      </c>
      <c r="R16" s="59">
        <f t="shared" si="0"/>
        <v>411.39364647421525</v>
      </c>
      <c r="S16" s="59">
        <f ca="1">AVERAGE(OFFSET($R$3,0,0,'Données projet'!$E$9+1,1))-AVERAGE(OFFSET($H$3,0,0,'Données projet'!$E$9+1,1))</f>
        <v>492.3498626914548</v>
      </c>
      <c r="T16" s="59">
        <f t="shared" si="34"/>
        <v>635.90304180030307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6.2222222222222223</v>
      </c>
      <c r="AI16" s="13">
        <f>IF('Données projet'!$A$62&gt;35,AI15+AH16-AQ15,IF(A16&lt;'Données projet'!$A$62,$AF$205^A16,IF(A16='Données projet'!$A$62,'Données projet'!$B$62,AI15+AH16-AQ15)))</f>
        <v>30.19887706404656</v>
      </c>
      <c r="AJ16" s="13">
        <f>AI16*VLOOKUP('Données projet'!$B$10,Paramètres!$A$1:$I$89,3,0)*VLOOKUP('Données projet'!$B$10,Paramètres!$A$1:$I$89,5,0)</f>
        <v>18.844099287965054</v>
      </c>
      <c r="AK16" s="13">
        <f t="shared" si="35"/>
        <v>6.1701686386769925</v>
      </c>
      <c r="AL16" s="20">
        <f t="shared" si="4"/>
        <v>43.566516638901568</v>
      </c>
      <c r="AM16" s="59">
        <f t="shared" si="5"/>
        <v>336.8998499722349</v>
      </c>
      <c r="AN16" s="59">
        <f ca="1">AVERAGE(OFFSET($AM$3,0,0,'Données projet'!$E$10+1,1))-AVERAGE(OFFSET($H$3,0,0,'Données projet'!$E$10+1,1))</f>
        <v>175.05987582828078</v>
      </c>
      <c r="AO16" s="59">
        <f t="shared" si="36"/>
        <v>268.54782308462387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4.9000000000000004</v>
      </c>
      <c r="BD16" s="12">
        <f>IF('Données projet'!$A$88&gt;35,BD15+BC16-BL15,IF(A16&lt;'Données projet'!$A$88,$BA$205^A16,IF(A16='Données projet'!$A$88,'Données projet'!$B$88,BD15+BC16-BL15)))</f>
        <v>19.692322936480405</v>
      </c>
      <c r="BE16" s="13">
        <f>BD16*VLOOKUP('Données projet'!$B$11,Paramètres!$A$1:$I$89,3,0)*VLOOKUP('Données projet'!$B$11,Paramètres!$A$1:$I$89,5,0)</f>
        <v>11.776009116015283</v>
      </c>
      <c r="BF16" s="13">
        <f t="shared" si="37"/>
        <v>4.0727337107336679</v>
      </c>
      <c r="BG16" s="20">
        <f t="shared" si="7"/>
        <v>27.603227089921088</v>
      </c>
      <c r="BH16" s="59">
        <f t="shared" si="8"/>
        <v>320.93656042325438</v>
      </c>
      <c r="BI16" s="59">
        <f ca="1">AVERAGE(OFFSET($BH$3,0,0,'Données projet'!$E$11+1,1))-AVERAGE(OFFSET($H$3,0,0,'Données projet'!$E$11+1,1))</f>
        <v>381.78368385345919</v>
      </c>
      <c r="BJ16" s="59">
        <f t="shared" si="38"/>
        <v>257.35575295655639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3.7333333333333334</v>
      </c>
      <c r="BY16" s="12">
        <f>IF('Données projet'!$A$114&gt;35,BY15+BX16-CG15,IF(A16&lt;'Données projet'!$A$114,$BV$205^A16,IF(A16='Données projet'!$A$114,'Données projet'!$B$114,BY15+BX16-CG15)))</f>
        <v>32.741327962230365</v>
      </c>
      <c r="BZ16" s="13">
        <f>BY16*VLOOKUP('Données projet'!$B$12,Paramètres!$A$1:$I$89,3,0)*VLOOKUP('Données projet'!$B$12,Paramètres!$A$1:$I$89,5,0)</f>
        <v>15.748578749832806</v>
      </c>
      <c r="CA16" s="13">
        <f t="shared" si="39"/>
        <v>5.265438398893667</v>
      </c>
      <c r="CB16" s="20">
        <f t="shared" si="10"/>
        <v>36.599413200698606</v>
      </c>
      <c r="CC16" s="59">
        <f t="shared" si="11"/>
        <v>329.93274653403193</v>
      </c>
      <c r="CD16" s="59">
        <f ca="1">AVERAGE(OFFSET($CC$3,0,0,'Données projet'!$E$12+1,1))-AVERAGE(OFFSET($H$3,0,0,'Données projet'!$E$12+1,1))</f>
        <v>415.97633163853953</v>
      </c>
      <c r="CE16" s="59">
        <f t="shared" si="40"/>
        <v>356.23532720804423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12.6</v>
      </c>
      <c r="N17" s="13">
        <f>IF('Données projet'!$A$36&gt;35,N16+M17-V16,IF(A17&lt;'Données projet'!$A$36,$K$205^A17,IF(A17='Données projet'!$A$36,'Données projet'!$B$36,N16+M17-V16)))</f>
        <v>133.25934794992446</v>
      </c>
      <c r="O17" s="13">
        <f>N17*VLOOKUP('Données projet'!$B$9,Paramètres!$A$1:$I$89,3,0)*VLOOKUP('Données projet'!$B$9,Paramètres!$A$1:$I$89,5,0)</f>
        <v>74.491975504007769</v>
      </c>
      <c r="P17" s="13">
        <f t="shared" si="33"/>
        <v>20.784903466499365</v>
      </c>
      <c r="Q17" s="20">
        <f t="shared" si="2"/>
        <v>165.9405642069666</v>
      </c>
      <c r="R17" s="59">
        <f t="shared" si="0"/>
        <v>459.27389754029991</v>
      </c>
      <c r="S17" s="59">
        <f ca="1">AVERAGE(OFFSET($R$3,0,0,'Données projet'!$E$9+1,1))-AVERAGE(OFFSET($H$3,0,0,'Données projet'!$E$9+1,1))</f>
        <v>492.3498626914548</v>
      </c>
      <c r="T17" s="59">
        <f t="shared" si="34"/>
        <v>635.90304180030307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6.2222222222222223</v>
      </c>
      <c r="AI17" s="13">
        <f>IF('Données projet'!$A$62&gt;35,AI16+AH17-AQ16,IF(A17&lt;'Données projet'!$A$62,$AF$205^A17,IF(A17='Données projet'!$A$62,'Données projet'!$B$62,AI16+AH17-AQ16)))</f>
        <v>39.249690802844427</v>
      </c>
      <c r="AJ17" s="13">
        <f>AI17*VLOOKUP('Données projet'!$B$10,Paramètres!$A$1:$I$89,3,0)*VLOOKUP('Données projet'!$B$10,Paramètres!$A$1:$I$89,5,0)</f>
        <v>24.491807060974921</v>
      </c>
      <c r="AK17" s="13">
        <f t="shared" si="35"/>
        <v>7.7784106944068903</v>
      </c>
      <c r="AL17" s="20">
        <f t="shared" si="4"/>
        <v>56.203962590623313</v>
      </c>
      <c r="AM17" s="59">
        <f t="shared" si="5"/>
        <v>349.53729592395661</v>
      </c>
      <c r="AN17" s="59">
        <f ca="1">AVERAGE(OFFSET($AM$3,0,0,'Données projet'!$E$10+1,1))-AVERAGE(OFFSET($H$3,0,0,'Données projet'!$E$10+1,1))</f>
        <v>175.05987582828078</v>
      </c>
      <c r="AO17" s="59">
        <f t="shared" si="36"/>
        <v>268.54782308462387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4.9000000000000004</v>
      </c>
      <c r="BD17" s="12">
        <f>IF('Données projet'!$A$88&gt;35,BD16+BC17-BL16,IF(A17&lt;'Données projet'!$A$88,$BA$205^A17,IF(A17='Données projet'!$A$88,'Données projet'!$B$88,BD16+BC17-BL16)))</f>
        <v>24.7661359725609</v>
      </c>
      <c r="BE17" s="13">
        <f>BD17*VLOOKUP('Données projet'!$B$11,Paramètres!$A$1:$I$89,3,0)*VLOOKUP('Données projet'!$B$11,Paramètres!$A$1:$I$89,5,0)</f>
        <v>14.81014931159142</v>
      </c>
      <c r="BF17" s="13">
        <f t="shared" si="37"/>
        <v>4.9872183557153731</v>
      </c>
      <c r="BG17" s="20">
        <f t="shared" si="7"/>
        <v>34.48041535389266</v>
      </c>
      <c r="BH17" s="59">
        <f t="shared" si="8"/>
        <v>327.813748687226</v>
      </c>
      <c r="BI17" s="59">
        <f ca="1">AVERAGE(OFFSET($BH$3,0,0,'Données projet'!$E$11+1,1))-AVERAGE(OFFSET($H$3,0,0,'Données projet'!$E$11+1,1))</f>
        <v>381.78368385345919</v>
      </c>
      <c r="BJ17" s="59">
        <f t="shared" si="38"/>
        <v>257.35575295655639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3.7333333333333334</v>
      </c>
      <c r="BY17" s="12">
        <f>IF('Données projet'!$A$114&gt;35,BY16+BX17-CG16,IF(A17&lt;'Données projet'!$A$114,$BV$205^A17,IF(A17='Données projet'!$A$114,'Données projet'!$B$114,BY16+BX17-CG16)))</f>
        <v>42.819555881453262</v>
      </c>
      <c r="BZ17" s="13">
        <f>BY17*VLOOKUP('Données projet'!$B$12,Paramètres!$A$1:$I$89,3,0)*VLOOKUP('Données projet'!$B$12,Paramètres!$A$1:$I$89,5,0)</f>
        <v>20.596206378979019</v>
      </c>
      <c r="CA17" s="13">
        <f t="shared" si="39"/>
        <v>6.6744343493703564</v>
      </c>
      <c r="CB17" s="20">
        <f t="shared" si="10"/>
        <v>47.496365935208495</v>
      </c>
      <c r="CC17" s="59">
        <f t="shared" si="11"/>
        <v>340.82969926854179</v>
      </c>
      <c r="CD17" s="59">
        <f ca="1">AVERAGE(OFFSET($CC$3,0,0,'Données projet'!$E$12+1,1))-AVERAGE(OFFSET($H$3,0,0,'Données projet'!$E$12+1,1))</f>
        <v>415.97633163853953</v>
      </c>
      <c r="CE17" s="59">
        <f t="shared" si="40"/>
        <v>356.23532720804423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189</v>
      </c>
      <c r="L18" s="12">
        <f>VLOOKUP(A18,'Données projet'!$A$35:$I$55,9,0)</f>
        <v>12.6</v>
      </c>
      <c r="M18" s="12">
        <f t="array" ref="M18">INDEX(L:L,MIN(IF(ISNUMBER(L18:L214),ROW(L18:L214),"")))</f>
        <v>12.6</v>
      </c>
      <c r="N18" s="13">
        <f>IF('Données projet'!$A$36&gt;35,N17+M18-V17,IF(A18&lt;'Données projet'!$A$36,$K$205^A18,IF(A18='Données projet'!$A$36,'Données projet'!$B$36,N17+M18-V17)))</f>
        <v>189</v>
      </c>
      <c r="O18" s="13">
        <f>N18*VLOOKUP('Données projet'!$B$9,Paramètres!$A$1:$I$89,3,0)*VLOOKUP('Données projet'!$B$9,Paramètres!$A$1:$I$89,5,0)</f>
        <v>105.651</v>
      </c>
      <c r="P18" s="13">
        <f t="shared" si="33"/>
        <v>28.303933062831547</v>
      </c>
      <c r="Q18" s="20">
        <f t="shared" si="2"/>
        <v>233.30484175109825</v>
      </c>
      <c r="R18" s="59">
        <f t="shared" si="0"/>
        <v>526.63817508443162</v>
      </c>
      <c r="S18" s="59">
        <f ca="1">AVERAGE(OFFSET($R$3,0,0,'Données projet'!$E$9+1,1))-AVERAGE(OFFSET($H$3,0,0,'Données projet'!$E$9+1,1))</f>
        <v>492.3498626914548</v>
      </c>
      <c r="T18" s="59">
        <f t="shared" si="34"/>
        <v>635.90304180030307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6.2222222222222223</v>
      </c>
      <c r="AI18" s="13">
        <f>IF('Données projet'!$A$62&gt;35,AI17+AH18-AQ17,IF(A18&lt;'Données projet'!$A$62,$AF$205^A18,IF(A18='Données projet'!$A$62,'Données projet'!$B$62,AI17+AH18-AQ17)))</f>
        <v>51.013096442350388</v>
      </c>
      <c r="AJ18" s="13">
        <f>AI18*VLOOKUP('Données projet'!$B$10,Paramètres!$A$1:$I$89,3,0)*VLOOKUP('Données projet'!$B$10,Paramètres!$A$1:$I$89,5,0)</f>
        <v>31.832172180026642</v>
      </c>
      <c r="AK18" s="13">
        <f t="shared" si="35"/>
        <v>9.8058378099430179</v>
      </c>
      <c r="AL18" s="20">
        <f t="shared" si="4"/>
        <v>72.519534065863823</v>
      </c>
      <c r="AM18" s="59">
        <f t="shared" si="5"/>
        <v>365.85286739919712</v>
      </c>
      <c r="AN18" s="59">
        <f ca="1">AVERAGE(OFFSET($AM$3,0,0,'Données projet'!$E$10+1,1))-AVERAGE(OFFSET($H$3,0,0,'Données projet'!$E$10+1,1))</f>
        <v>175.05987582828078</v>
      </c>
      <c r="AO18" s="59">
        <f t="shared" si="36"/>
        <v>268.54782308462387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4.9000000000000004</v>
      </c>
      <c r="BD18" s="12">
        <f>IF('Données projet'!$A$88&gt;35,BD17+BC18-BL17,IF(A18&lt;'Données projet'!$A$88,$BA$205^A18,IF(A18='Données projet'!$A$88,'Données projet'!$B$88,BD17+BC18-BL17)))</f>
        <v>31.147239103778414</v>
      </c>
      <c r="BE18" s="13">
        <f>BD18*VLOOKUP('Données projet'!$B$11,Paramètres!$A$1:$I$89,3,0)*VLOOKUP('Données projet'!$B$11,Paramètres!$A$1:$I$89,5,0)</f>
        <v>18.626048984059491</v>
      </c>
      <c r="BF18" s="13">
        <f t="shared" si="37"/>
        <v>6.1070398150592098</v>
      </c>
      <c r="BG18" s="20">
        <f t="shared" si="7"/>
        <v>43.076796325131738</v>
      </c>
      <c r="BH18" s="59">
        <f t="shared" si="8"/>
        <v>336.41012965846505</v>
      </c>
      <c r="BI18" s="59">
        <f ca="1">AVERAGE(OFFSET($BH$3,0,0,'Données projet'!$E$11+1,1))-AVERAGE(OFFSET($H$3,0,0,'Données projet'!$E$11+1,1))</f>
        <v>381.78368385345919</v>
      </c>
      <c r="BJ18" s="59">
        <f t="shared" si="38"/>
        <v>257.35575295655639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56</v>
      </c>
      <c r="BW18" s="12">
        <f>VLOOKUP(A18,'Données projet'!$A$113:$I$133,9,0)</f>
        <v>3.7333333333333334</v>
      </c>
      <c r="BX18" s="12">
        <f t="array" ref="BX18">INDEX(BW:BW,MIN(IF(ISNUMBER(BW18:BW214),ROW(BW18:BW214),"")))</f>
        <v>3.7333333333333334</v>
      </c>
      <c r="BY18" s="12">
        <f>IF('Données projet'!$A$114&gt;35,BY17+BX18-CG17,IF(A18&lt;'Données projet'!$A$114,$BV$205^A18,IF(A18='Données projet'!$A$114,'Données projet'!$B$114,BY17+BX18-CG17)))</f>
        <v>56</v>
      </c>
      <c r="BZ18" s="13">
        <f>BY18*VLOOKUP('Données projet'!$B$12,Paramètres!$A$1:$I$89,3,0)*VLOOKUP('Données projet'!$B$12,Paramètres!$A$1:$I$89,5,0)</f>
        <v>26.936</v>
      </c>
      <c r="CA18" s="13">
        <f t="shared" si="39"/>
        <v>8.4604681527401464</v>
      </c>
      <c r="CB18" s="20">
        <f t="shared" si="10"/>
        <v>61.64884869935576</v>
      </c>
      <c r="CC18" s="59">
        <f t="shared" si="11"/>
        <v>354.98218203268908</v>
      </c>
      <c r="CD18" s="59">
        <f ca="1">AVERAGE(OFFSET($CC$3,0,0,'Données projet'!$E$12+1,1))-AVERAGE(OFFSET($H$3,0,0,'Données projet'!$E$12+1,1))</f>
        <v>415.97633163853953</v>
      </c>
      <c r="CE18" s="59">
        <f t="shared" si="40"/>
        <v>356.23532720804423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28.4</v>
      </c>
      <c r="N19" s="13">
        <f>IF('Données projet'!$A$36&gt;35,N18+M19-V18,IF(A19&lt;'Données projet'!$A$36,$K$205^A19,IF(A19='Données projet'!$A$36,'Données projet'!$B$36,N18+M19-V18)))</f>
        <v>217.4</v>
      </c>
      <c r="O19" s="13">
        <f>N19*VLOOKUP('Données projet'!$B$9,Paramètres!$A$1:$I$89,3,0)*VLOOKUP('Données projet'!$B$9,Paramètres!$A$1:$I$89,5,0)</f>
        <v>121.5266</v>
      </c>
      <c r="P19" s="13">
        <f t="shared" si="33"/>
        <v>32.030791291183803</v>
      </c>
      <c r="Q19" s="20">
        <f t="shared" si="2"/>
        <v>267.44578983214518</v>
      </c>
      <c r="R19" s="59">
        <f t="shared" si="0"/>
        <v>560.7791231654785</v>
      </c>
      <c r="S19" s="59">
        <f ca="1">AVERAGE(OFFSET($R$3,0,0,'Données projet'!$E$9+1,1))-AVERAGE(OFFSET($H$3,0,0,'Données projet'!$E$9+1,1))</f>
        <v>492.3498626914548</v>
      </c>
      <c r="T19" s="59">
        <f t="shared" si="34"/>
        <v>635.90304180030307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6.2222222222222223</v>
      </c>
      <c r="AI19" s="13">
        <f>IF('Données projet'!$A$62&gt;35,AI18+AH19-AQ18,IF(A19&lt;'Données projet'!$A$62,$AF$205^A19,IF(A19='Données projet'!$A$62,'Données projet'!$B$62,AI18+AH19-AQ18)))</f>
        <v>66.302076663695672</v>
      </c>
      <c r="AJ19" s="13">
        <f>AI19*VLOOKUP('Données projet'!$B$10,Paramètres!$A$1:$I$89,3,0)*VLOOKUP('Données projet'!$B$10,Paramètres!$A$1:$I$89,5,0)</f>
        <v>41.372495838146101</v>
      </c>
      <c r="AK19" s="13">
        <f t="shared" si="35"/>
        <v>12.361709728704412</v>
      </c>
      <c r="AL19" s="20">
        <f t="shared" si="4"/>
        <v>93.587074695597963</v>
      </c>
      <c r="AM19" s="59">
        <f t="shared" si="5"/>
        <v>386.92040802893126</v>
      </c>
      <c r="AN19" s="59">
        <f ca="1">AVERAGE(OFFSET($AM$3,0,0,'Données projet'!$E$10+1,1))-AVERAGE(OFFSET($H$3,0,0,'Données projet'!$E$10+1,1))</f>
        <v>175.05987582828078</v>
      </c>
      <c r="AO19" s="59">
        <f t="shared" si="36"/>
        <v>268.54782308462387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4.9000000000000004</v>
      </c>
      <c r="BD19" s="12">
        <f>IF('Données projet'!$A$88&gt;35,BD18+BC19-BL18,IF(A19&lt;'Données projet'!$A$88,$BA$205^A19,IF(A19='Données projet'!$A$88,'Données projet'!$B$88,BD18+BC19-BL18)))</f>
        <v>39.172461334412446</v>
      </c>
      <c r="BE19" s="13">
        <f>BD19*VLOOKUP('Données projet'!$B$11,Paramètres!$A$1:$I$89,3,0)*VLOOKUP('Données projet'!$B$11,Paramètres!$A$1:$I$89,5,0)</f>
        <v>23.425131877978647</v>
      </c>
      <c r="BF19" s="13">
        <f t="shared" si="37"/>
        <v>7.4783040650259762</v>
      </c>
      <c r="BG19" s="20">
        <f t="shared" si="7"/>
        <v>53.823484267399721</v>
      </c>
      <c r="BH19" s="59">
        <f t="shared" si="8"/>
        <v>347.15681760073301</v>
      </c>
      <c r="BI19" s="59">
        <f ca="1">AVERAGE(OFFSET($BH$3,0,0,'Données projet'!$E$11+1,1))-AVERAGE(OFFSET($H$3,0,0,'Données projet'!$E$11+1,1))</f>
        <v>381.78368385345919</v>
      </c>
      <c r="BJ19" s="59">
        <f t="shared" si="38"/>
        <v>257.35575295655639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25.8</v>
      </c>
      <c r="BY19" s="12">
        <f>IF('Données projet'!$A$114&gt;35,BY18+BX19-CG18,IF(A19&lt;'Données projet'!$A$114,$BV$205^A19,IF(A19='Données projet'!$A$114,'Données projet'!$B$114,BY18+BX19-CG18)))</f>
        <v>81.8</v>
      </c>
      <c r="BZ19" s="13">
        <f>BY19*VLOOKUP('Données projet'!$B$12,Paramètres!$A$1:$I$89,3,0)*VLOOKUP('Données projet'!$B$12,Paramètres!$A$1:$I$89,5,0)</f>
        <v>39.345799999999997</v>
      </c>
      <c r="CA19" s="13">
        <f t="shared" si="39"/>
        <v>11.825085062633269</v>
      </c>
      <c r="CB19" s="20">
        <f t="shared" si="10"/>
        <v>89.122624817419606</v>
      </c>
      <c r="CC19" s="59">
        <f t="shared" si="11"/>
        <v>382.45595815075291</v>
      </c>
      <c r="CD19" s="59">
        <f ca="1">AVERAGE(OFFSET($CC$3,0,0,'Données projet'!$E$12+1,1))-AVERAGE(OFFSET($H$3,0,0,'Données projet'!$E$12+1,1))</f>
        <v>415.97633163853953</v>
      </c>
      <c r="CE19" s="59">
        <f t="shared" si="40"/>
        <v>356.23532720804423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28.4</v>
      </c>
      <c r="N20" s="13">
        <f>IF('Données projet'!$A$36&gt;35,N19+M20-V19,IF(A20&lt;'Données projet'!$A$36,$K$205^A20,IF(A20='Données projet'!$A$36,'Données projet'!$B$36,N19+M20-V19)))</f>
        <v>245.8</v>
      </c>
      <c r="O20" s="13">
        <f>N20*VLOOKUP('Données projet'!$B$9,Paramètres!$A$1:$I$89,3,0)*VLOOKUP('Données projet'!$B$9,Paramètres!$A$1:$I$89,5,0)</f>
        <v>137.40220000000002</v>
      </c>
      <c r="P20" s="13">
        <f t="shared" si="33"/>
        <v>35.701238817612946</v>
      </c>
      <c r="Q20" s="20">
        <f t="shared" si="2"/>
        <v>301.48848927400928</v>
      </c>
      <c r="R20" s="59">
        <f t="shared" si="0"/>
        <v>594.8218226073426</v>
      </c>
      <c r="S20" s="59">
        <f ca="1">AVERAGE(OFFSET($R$3,0,0,'Données projet'!$E$9+1,1))-AVERAGE(OFFSET($H$3,0,0,'Données projet'!$E$9+1,1))</f>
        <v>492.3498626914548</v>
      </c>
      <c r="T20" s="59">
        <f t="shared" si="34"/>
        <v>635.90304180030307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6.2222222222222223</v>
      </c>
      <c r="AI20" s="13">
        <f>IF('Données projet'!$A$62&gt;35,AI19+AH20-AQ19,IF(A20&lt;'Données projet'!$A$62,$AF$205^A20,IF(A20='Données projet'!$A$62,'Données projet'!$B$62,AI19+AH20-AQ19)))</f>
        <v>86.1732707185582</v>
      </c>
      <c r="AJ20" s="13">
        <f>AI20*VLOOKUP('Données projet'!$B$10,Paramètres!$A$1:$I$89,3,0)*VLOOKUP('Données projet'!$B$10,Paramètres!$A$1:$I$89,5,0)</f>
        <v>53.772120928380318</v>
      </c>
      <c r="AK20" s="13">
        <f t="shared" si="35"/>
        <v>15.583764526657339</v>
      </c>
      <c r="AL20" s="20">
        <f t="shared" si="4"/>
        <v>120.79483383419057</v>
      </c>
      <c r="AM20" s="59">
        <f t="shared" si="5"/>
        <v>414.12816716752388</v>
      </c>
      <c r="AN20" s="59">
        <f ca="1">AVERAGE(OFFSET($AM$3,0,0,'Données projet'!$E$10+1,1))-AVERAGE(OFFSET($H$3,0,0,'Données projet'!$E$10+1,1))</f>
        <v>175.05987582828078</v>
      </c>
      <c r="AO20" s="59">
        <f t="shared" si="36"/>
        <v>268.54782308462387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4.9000000000000004</v>
      </c>
      <c r="BD20" s="12">
        <f>IF('Données projet'!$A$88&gt;35,BD19+BC20-BL19,IF(A20&lt;'Données projet'!$A$88,$BA$205^A20,IF(A20='Données projet'!$A$88,'Données projet'!$B$88,BD19+BC20-BL19)))</f>
        <v>49.265417133228127</v>
      </c>
      <c r="BE20" s="13">
        <f>BD20*VLOOKUP('Données projet'!$B$11,Paramètres!$A$1:$I$89,3,0)*VLOOKUP('Données projet'!$B$11,Paramètres!$A$1:$I$89,5,0)</f>
        <v>29.460719445670424</v>
      </c>
      <c r="BF20" s="13">
        <f t="shared" si="37"/>
        <v>9.1574696387404817</v>
      </c>
      <c r="BG20" s="20">
        <f t="shared" si="7"/>
        <v>67.260012655349001</v>
      </c>
      <c r="BH20" s="59">
        <f t="shared" si="8"/>
        <v>360.5933459886823</v>
      </c>
      <c r="BI20" s="59">
        <f ca="1">AVERAGE(OFFSET($BH$3,0,0,'Données projet'!$E$11+1,1))-AVERAGE(OFFSET($H$3,0,0,'Données projet'!$E$11+1,1))</f>
        <v>381.78368385345919</v>
      </c>
      <c r="BJ20" s="59">
        <f t="shared" si="38"/>
        <v>257.35575295655639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25.8</v>
      </c>
      <c r="BY20" s="12">
        <f>IF('Données projet'!$A$114&gt;35,BY19+BX20-CG19,IF(A20&lt;'Données projet'!$A$114,$BV$205^A20,IF(A20='Données projet'!$A$114,'Données projet'!$B$114,BY19+BX20-CG19)))</f>
        <v>107.6</v>
      </c>
      <c r="BZ20" s="13">
        <f>BY20*VLOOKUP('Données projet'!$B$12,Paramètres!$A$1:$I$89,3,0)*VLOOKUP('Données projet'!$B$12,Paramètres!$A$1:$I$89,5,0)</f>
        <v>51.755600000000001</v>
      </c>
      <c r="CA20" s="13">
        <f t="shared" si="39"/>
        <v>15.066236391696064</v>
      </c>
      <c r="CB20" s="20">
        <f t="shared" si="10"/>
        <v>116.38136504887065</v>
      </c>
      <c r="CC20" s="59">
        <f t="shared" si="11"/>
        <v>409.71469838220395</v>
      </c>
      <c r="CD20" s="59">
        <f ca="1">AVERAGE(OFFSET($CC$3,0,0,'Données projet'!$E$12+1,1))-AVERAGE(OFFSET($H$3,0,0,'Données projet'!$E$12+1,1))</f>
        <v>415.97633163853953</v>
      </c>
      <c r="CE20" s="59">
        <f t="shared" si="40"/>
        <v>356.23532720804423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28.4</v>
      </c>
      <c r="N21" s="13">
        <f>IF('Données projet'!$A$36&gt;35,N20+M21-V20,IF(A21&lt;'Données projet'!$A$36,$K$205^A21,IF(A21='Données projet'!$A$36,'Données projet'!$B$36,N20+M21-V20)))</f>
        <v>274.2</v>
      </c>
      <c r="O21" s="13">
        <f>N21*VLOOKUP('Données projet'!$B$9,Paramètres!$A$1:$I$89,3,0)*VLOOKUP('Données projet'!$B$9,Paramètres!$A$1:$I$89,5,0)</f>
        <v>153.27779999999998</v>
      </c>
      <c r="P21" s="13">
        <f t="shared" si="33"/>
        <v>39.32253770530393</v>
      </c>
      <c r="Q21" s="20">
        <f t="shared" si="2"/>
        <v>335.44558817007095</v>
      </c>
      <c r="R21" s="59">
        <f t="shared" si="0"/>
        <v>628.77892150340426</v>
      </c>
      <c r="S21" s="59">
        <f ca="1">AVERAGE(OFFSET($R$3,0,0,'Données projet'!$E$9+1,1))-AVERAGE(OFFSET($H$3,0,0,'Données projet'!$E$9+1,1))</f>
        <v>492.3498626914548</v>
      </c>
      <c r="T21" s="59">
        <f t="shared" si="34"/>
        <v>635.90304180030307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112</v>
      </c>
      <c r="AG21" s="12">
        <f>VLOOKUP(A21,'Données projet'!$A$61:$I$81,9,0)</f>
        <v>6.2222222222222223</v>
      </c>
      <c r="AH21" s="12">
        <f t="array" ref="AH21">INDEX(AG:AG,MIN(IF(ISNUMBER(AG21:AG217),ROW(AG21:AG217),"")))</f>
        <v>6.2222222222222223</v>
      </c>
      <c r="AI21" s="13">
        <f>IF('Données projet'!$A$62&gt;35,AI20+AH21-AQ20,IF(A21&lt;'Données projet'!$A$62,$AF$205^A21,IF(A21='Données projet'!$A$62,'Données projet'!$B$62,AI20+AH21-AQ20)))</f>
        <v>112</v>
      </c>
      <c r="AJ21" s="13">
        <f>AI21*VLOOKUP('Données projet'!$B$10,Paramètres!$A$1:$I$89,3,0)*VLOOKUP('Données projet'!$B$10,Paramètres!$A$1:$I$89,5,0)</f>
        <v>69.888000000000005</v>
      </c>
      <c r="AK21" s="13">
        <f t="shared" si="35"/>
        <v>19.645641432461961</v>
      </c>
      <c r="AL21" s="20">
        <f t="shared" si="4"/>
        <v>155.93775882820458</v>
      </c>
      <c r="AM21" s="59">
        <f t="shared" si="5"/>
        <v>449.27109216153792</v>
      </c>
      <c r="AN21" s="59">
        <f ca="1">AVERAGE(OFFSET($AM$3,0,0,'Données projet'!$E$10+1,1))-AVERAGE(OFFSET($H$3,0,0,'Données projet'!$E$10+1,1))</f>
        <v>175.05987582828078</v>
      </c>
      <c r="AO21" s="59">
        <f t="shared" si="36"/>
        <v>268.54782308462387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20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4.9000000000000004</v>
      </c>
      <c r="BD21" s="12">
        <f>IF('Données projet'!$A$88&gt;35,BD20+BC21-BL20,IF(A21&lt;'Données projet'!$A$88,$BA$205^A21,IF(A21='Données projet'!$A$88,'Données projet'!$B$88,BD20+BC21-BL20)))</f>
        <v>61.958867087547844</v>
      </c>
      <c r="BE21" s="13">
        <f>BD21*VLOOKUP('Données projet'!$B$11,Paramètres!$A$1:$I$89,3,0)*VLOOKUP('Données projet'!$B$11,Paramètres!$A$1:$I$89,5,0)</f>
        <v>37.051402518353612</v>
      </c>
      <c r="BF21" s="13">
        <f t="shared" si="37"/>
        <v>11.213672171561068</v>
      </c>
      <c r="BG21" s="20">
        <f t="shared" si="7"/>
        <v>84.061671751601395</v>
      </c>
      <c r="BH21" s="59">
        <f t="shared" si="8"/>
        <v>377.39500508493472</v>
      </c>
      <c r="BI21" s="59">
        <f ca="1">AVERAGE(OFFSET($BH$3,0,0,'Données projet'!$E$11+1,1))-AVERAGE(OFFSET($H$3,0,0,'Données projet'!$E$11+1,1))</f>
        <v>381.78368385345919</v>
      </c>
      <c r="BJ21" s="59">
        <f t="shared" si="38"/>
        <v>257.35575295655639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25.8</v>
      </c>
      <c r="BY21" s="12">
        <f>IF('Données projet'!$A$114&gt;35,BY20+BX21-CG20,IF(A21&lt;'Données projet'!$A$114,$BV$205^A21,IF(A21='Données projet'!$A$114,'Données projet'!$B$114,BY20+BX21-CG20)))</f>
        <v>133.4</v>
      </c>
      <c r="BZ21" s="13">
        <f>BY21*VLOOKUP('Données projet'!$B$12,Paramètres!$A$1:$I$89,3,0)*VLOOKUP('Données projet'!$B$12,Paramètres!$A$1:$I$89,5,0)</f>
        <v>64.165400000000005</v>
      </c>
      <c r="CA21" s="13">
        <f t="shared" si="39"/>
        <v>18.217263719442521</v>
      </c>
      <c r="CB21" s="20">
        <f t="shared" si="10"/>
        <v>143.48313931136238</v>
      </c>
      <c r="CC21" s="59">
        <f t="shared" si="11"/>
        <v>436.81647264469569</v>
      </c>
      <c r="CD21" s="59">
        <f ca="1">AVERAGE(OFFSET($CC$3,0,0,'Données projet'!$E$12+1,1))-AVERAGE(OFFSET($H$3,0,0,'Données projet'!$E$12+1,1))</f>
        <v>415.97633163853953</v>
      </c>
      <c r="CE21" s="59">
        <f t="shared" si="40"/>
        <v>356.23532720804423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28.4</v>
      </c>
      <c r="N22" s="13">
        <f>IF('Données projet'!$A$36&gt;35,N21+M22-V21,IF(A22&lt;'Données projet'!$A$36,$K$205^A22,IF(A22='Données projet'!$A$36,'Données projet'!$B$36,N21+M22-V21)))</f>
        <v>302.59999999999997</v>
      </c>
      <c r="O22" s="13">
        <f>N22*VLOOKUP('Données projet'!$B$9,Paramètres!$A$1:$I$89,3,0)*VLOOKUP('Données projet'!$B$9,Paramètres!$A$1:$I$89,5,0)</f>
        <v>169.1534</v>
      </c>
      <c r="P22" s="13">
        <f t="shared" si="33"/>
        <v>42.900358290021551</v>
      </c>
      <c r="Q22" s="20">
        <f t="shared" si="2"/>
        <v>369.32696235512088</v>
      </c>
      <c r="R22" s="59">
        <f t="shared" si="0"/>
        <v>662.6602956884542</v>
      </c>
      <c r="S22" s="59">
        <f ca="1">AVERAGE(OFFSET($R$3,0,0,'Données projet'!$E$9+1,1))-AVERAGE(OFFSET($H$3,0,0,'Données projet'!$E$9+1,1))</f>
        <v>492.3498626914548</v>
      </c>
      <c r="T22" s="59">
        <f t="shared" si="34"/>
        <v>635.90304180030307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</v>
      </c>
      <c r="AI22" s="13">
        <f>IF('Données projet'!$A$62&gt;35,AI21+AH22-AQ21,IF(A22&lt;'Données projet'!$A$62,$AF$205^A22,IF(A22='Données projet'!$A$62,'Données projet'!$B$62,AI21+AH22-AQ21)))</f>
        <v>110</v>
      </c>
      <c r="AJ22" s="13">
        <f>AI22*VLOOKUP('Données projet'!$B$10,Paramètres!$A$1:$I$89,3,0)*VLOOKUP('Données projet'!$B$10,Paramètres!$A$1:$I$89,5,0)</f>
        <v>68.64</v>
      </c>
      <c r="AK22" s="13">
        <f t="shared" si="35"/>
        <v>19.335336956640202</v>
      </c>
      <c r="AL22" s="20">
        <f t="shared" si="4"/>
        <v>153.22371186614836</v>
      </c>
      <c r="AM22" s="59">
        <f t="shared" si="5"/>
        <v>446.55704519948165</v>
      </c>
      <c r="AN22" s="59">
        <f ca="1">AVERAGE(OFFSET($AM$3,0,0,'Données projet'!$E$10+1,1))-AVERAGE(OFFSET($H$3,0,0,'Données projet'!$E$10+1,1))</f>
        <v>175.05987582828078</v>
      </c>
      <c r="AO22" s="59">
        <f t="shared" si="36"/>
        <v>268.54782308462387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4.9000000000000004</v>
      </c>
      <c r="BD22" s="12">
        <f>IF('Données projet'!$A$88&gt;35,BD21+BC22-BL21,IF(A22&lt;'Données projet'!$A$88,$BA$205^A22,IF(A22='Données projet'!$A$88,'Données projet'!$B$88,BD21+BC22-BL21)))</f>
        <v>77.922839877533264</v>
      </c>
      <c r="BE22" s="13">
        <f>BD22*VLOOKUP('Données projet'!$B$11,Paramètres!$A$1:$I$89,3,0)*VLOOKUP('Données projet'!$B$11,Paramètres!$A$1:$I$89,5,0)</f>
        <v>46.597858246764893</v>
      </c>
      <c r="BF22" s="13">
        <f t="shared" si="37"/>
        <v>13.731570895881042</v>
      </c>
      <c r="BG22" s="20">
        <f t="shared" si="7"/>
        <v>105.07375575677501</v>
      </c>
      <c r="BH22" s="59">
        <f t="shared" si="8"/>
        <v>398.40708909010834</v>
      </c>
      <c r="BI22" s="59">
        <f ca="1">AVERAGE(OFFSET($BH$3,0,0,'Données projet'!$E$11+1,1))-AVERAGE(OFFSET($H$3,0,0,'Données projet'!$E$11+1,1))</f>
        <v>381.78368385345919</v>
      </c>
      <c r="BJ22" s="59">
        <f t="shared" si="38"/>
        <v>257.35575295655639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25.8</v>
      </c>
      <c r="BY22" s="12">
        <f>IF('Données projet'!$A$114&gt;35,BY21+BX22-CG21,IF(A22&lt;'Données projet'!$A$114,$BV$205^A22,IF(A22='Données projet'!$A$114,'Données projet'!$B$114,BY21+BX22-CG21)))</f>
        <v>159.20000000000002</v>
      </c>
      <c r="BZ22" s="13">
        <f>BY22*VLOOKUP('Données projet'!$B$12,Paramètres!$A$1:$I$89,3,0)*VLOOKUP('Données projet'!$B$12,Paramètres!$A$1:$I$89,5,0)</f>
        <v>76.575200000000009</v>
      </c>
      <c r="CA22" s="13">
        <f t="shared" si="39"/>
        <v>21.297682341612077</v>
      </c>
      <c r="CB22" s="20">
        <f t="shared" si="10"/>
        <v>170.46193674497437</v>
      </c>
      <c r="CC22" s="59">
        <f t="shared" si="11"/>
        <v>463.79527007830768</v>
      </c>
      <c r="CD22" s="59">
        <f ca="1">AVERAGE(OFFSET($CC$3,0,0,'Données projet'!$E$12+1,1))-AVERAGE(OFFSET($H$3,0,0,'Données projet'!$E$12+1,1))</f>
        <v>415.97633163853953</v>
      </c>
      <c r="CE22" s="59">
        <f t="shared" si="40"/>
        <v>356.23532720804423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331</v>
      </c>
      <c r="L23" s="12">
        <f>VLOOKUP(A23,'Données projet'!$A$35:$I$55,9,0)</f>
        <v>28.4</v>
      </c>
      <c r="M23" s="12">
        <f t="array" ref="M23">INDEX(L:L,MIN(IF(ISNUMBER(L23:L219),ROW(L23:L219),"")))</f>
        <v>28.4</v>
      </c>
      <c r="N23" s="13">
        <f>IF('Données projet'!$A$36&gt;35,N22+M23-V22,IF(A23&lt;'Données projet'!$A$36,$K$205^A23,IF(A23='Données projet'!$A$36,'Données projet'!$B$36,N22+M23-V22)))</f>
        <v>330.99999999999994</v>
      </c>
      <c r="O23" s="13">
        <f>N23*VLOOKUP('Données projet'!$B$9,Paramètres!$A$1:$I$89,3,0)*VLOOKUP('Données projet'!$B$9,Paramètres!$A$1:$I$89,5,0)</f>
        <v>185.029</v>
      </c>
      <c r="P23" s="13">
        <f t="shared" si="33"/>
        <v>46.439245338703373</v>
      </c>
      <c r="Q23" s="20">
        <f t="shared" si="2"/>
        <v>403.14052729824169</v>
      </c>
      <c r="R23" s="59">
        <f t="shared" si="0"/>
        <v>696.47386063157501</v>
      </c>
      <c r="S23" s="59">
        <f ca="1">AVERAGE(OFFSET($R$3,0,0,'Données projet'!$E$9+1,1))-AVERAGE(OFFSET($H$3,0,0,'Données projet'!$E$9+1,1))</f>
        <v>492.3498626914548</v>
      </c>
      <c r="T23" s="59">
        <f t="shared" si="34"/>
        <v>635.90304180030307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11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0.22000000000000003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1.7874840374377119</v>
      </c>
      <c r="AB23" s="21">
        <f>EXP(-LN(2)/2)*AB22+(1-EXP(-LN(2)/2))/(LN(2)/2)*V23*Y23*VLOOKUP('Données projet'!$B$9,Paramètres!$A$1:$I$89,3,0)*0.475*44/12</f>
        <v>4.1772578384941434</v>
      </c>
      <c r="AC23" s="22">
        <f t="shared" si="3"/>
        <v>5.9647418759318551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18</v>
      </c>
      <c r="AI23" s="13">
        <f>IF('Données projet'!$A$62&gt;35,AI22+AH23-AQ22,IF(A23&lt;'Données projet'!$A$62,$AF$205^A23,IF(A23='Données projet'!$A$62,'Données projet'!$B$62,AI22+AH23-AQ22)))</f>
        <v>128</v>
      </c>
      <c r="AJ23" s="13">
        <f>AI23*VLOOKUP('Données projet'!$B$10,Paramètres!$A$1:$I$89,3,0)*VLOOKUP('Données projet'!$B$10,Paramètres!$A$1:$I$89,5,0)</f>
        <v>79.872</v>
      </c>
      <c r="AK23" s="13">
        <f t="shared" si="35"/>
        <v>22.105884547145418</v>
      </c>
      <c r="AL23" s="20">
        <f t="shared" si="4"/>
        <v>177.61148225294494</v>
      </c>
      <c r="AM23" s="59">
        <f t="shared" si="5"/>
        <v>470.94481558627825</v>
      </c>
      <c r="AN23" s="59">
        <f ca="1">AVERAGE(OFFSET($AM$3,0,0,'Données projet'!$E$10+1,1))-AVERAGE(OFFSET($H$3,0,0,'Données projet'!$E$10+1,1))</f>
        <v>175.05987582828078</v>
      </c>
      <c r="AO23" s="59">
        <f t="shared" si="36"/>
        <v>268.54782308462387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98</v>
      </c>
      <c r="BB23" s="12">
        <f>VLOOKUP(A23,'Données projet'!$A$87:$I$107,9,0)</f>
        <v>4.9000000000000004</v>
      </c>
      <c r="BC23" s="12">
        <f t="array" ref="BC23">INDEX(BB:BB,MIN(IF(ISNUMBER(BB23:BB219),ROW(BB23:BB219),"")))</f>
        <v>4.9000000000000004</v>
      </c>
      <c r="BD23" s="12">
        <f>IF('Données projet'!$A$88&gt;35,BD22+BC23-BL22,IF(A23&lt;'Données projet'!$A$88,$BA$205^A23,IF(A23='Données projet'!$A$88,'Données projet'!$B$88,BD22+BC23-BL22)))</f>
        <v>98</v>
      </c>
      <c r="BE23" s="13">
        <f>BD23*VLOOKUP('Données projet'!$B$11,Paramètres!$A$1:$I$89,3,0)*VLOOKUP('Données projet'!$B$11,Paramètres!$A$1:$I$89,5,0)</f>
        <v>58.604000000000006</v>
      </c>
      <c r="BF23" s="13">
        <f t="shared" si="37"/>
        <v>16.814834282992791</v>
      </c>
      <c r="BG23" s="20">
        <f t="shared" si="7"/>
        <v>131.35446970954578</v>
      </c>
      <c r="BH23" s="59">
        <f t="shared" si="8"/>
        <v>424.68780304287907</v>
      </c>
      <c r="BI23" s="59">
        <f ca="1">AVERAGE(OFFSET($BH$3,0,0,'Données projet'!$E$11+1,1))-AVERAGE(OFFSET($H$3,0,0,'Données projet'!$E$11+1,1))</f>
        <v>381.78368385345919</v>
      </c>
      <c r="BJ23" s="59">
        <f t="shared" si="38"/>
        <v>257.35575295655639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185</v>
      </c>
      <c r="BW23" s="12">
        <f>VLOOKUP(A23,'Données projet'!$A$113:$I$133,9,0)</f>
        <v>25.8</v>
      </c>
      <c r="BX23" s="12">
        <f t="array" ref="BX23">INDEX(BW:BW,MIN(IF(ISNUMBER(BW23:BW219),ROW(BW23:BW219),"")))</f>
        <v>25.8</v>
      </c>
      <c r="BY23" s="12">
        <f>IF('Données projet'!$A$114&gt;35,BY22+BX23-CG22,IF(A23&lt;'Données projet'!$A$114,$BV$205^A23,IF(A23='Données projet'!$A$114,'Données projet'!$B$114,BY22+BX23-CG22)))</f>
        <v>185.00000000000003</v>
      </c>
      <c r="BZ23" s="13">
        <f>BY23*VLOOKUP('Données projet'!$B$12,Paramètres!$A$1:$I$89,3,0)*VLOOKUP('Données projet'!$B$12,Paramètres!$A$1:$I$89,5,0)</f>
        <v>88.985000000000014</v>
      </c>
      <c r="CA23" s="13">
        <f t="shared" si="39"/>
        <v>24.320270082348873</v>
      </c>
      <c r="CB23" s="20">
        <f t="shared" si="10"/>
        <v>197.34001206009097</v>
      </c>
      <c r="CC23" s="59">
        <f t="shared" si="11"/>
        <v>490.67334539342426</v>
      </c>
      <c r="CD23" s="59">
        <f ca="1">AVERAGE(OFFSET($CC$3,0,0,'Données projet'!$E$12+1,1))-AVERAGE(OFFSET($H$3,0,0,'Données projet'!$E$12+1,1))</f>
        <v>415.97633163853953</v>
      </c>
      <c r="CE23" s="59">
        <f t="shared" si="40"/>
        <v>356.23532720804423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43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0.11000000000000001</v>
      </c>
      <c r="CJ23" s="16">
        <f>IF(ISNA(VLOOKUP(A23,'Données projet'!$A$113:$I$133,7,0)),0%,VLOOKUP(A23,'Données projet'!$A$113:$I$133,7,0))</f>
        <v>0.8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3.006223153872515</v>
      </c>
      <c r="CM23" s="21">
        <f>EXP(-LN(2)/2)*CM22+(1-EXP(-LN(2)/2))/(LN(2)/2)*CG23*CJ23*VLOOKUP('Données projet'!$B$12,Paramètres!$A$1:$I$89,3,0)*0.475*44/12</f>
        <v>18.734368487791915</v>
      </c>
      <c r="CN23" s="22">
        <f t="shared" si="12"/>
        <v>21.74059164166443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29.8</v>
      </c>
      <c r="N24" s="13">
        <f>IF('Données projet'!$A$36&gt;35,N23+M24-V23,IF(A24&lt;'Données projet'!$A$36,$K$205^A24,IF(A24='Données projet'!$A$36,'Données projet'!$B$36,N23+M24-V23)))</f>
        <v>349.79999999999995</v>
      </c>
      <c r="O24" s="13">
        <f>N24*VLOOKUP('Données projet'!$B$9,Paramètres!$A$1:$I$89,3,0)*VLOOKUP('Données projet'!$B$9,Paramètres!$A$1:$I$89,5,0)</f>
        <v>195.53819999999999</v>
      </c>
      <c r="P24" s="13">
        <f t="shared" si="33"/>
        <v>48.762315280106222</v>
      </c>
      <c r="Q24" s="20">
        <f t="shared" si="2"/>
        <v>425.4900641128516</v>
      </c>
      <c r="R24" s="59">
        <f t="shared" si="0"/>
        <v>718.82339744618491</v>
      </c>
      <c r="S24" s="59">
        <f ca="1">AVERAGE(OFFSET($R$3,0,0,'Données projet'!$E$9+1,1))-AVERAGE(OFFSET($H$3,0,0,'Données projet'!$E$9+1,1))</f>
        <v>492.3498626914548</v>
      </c>
      <c r="T24" s="59">
        <f t="shared" si="34"/>
        <v>635.90304180030307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1.7386051924342776</v>
      </c>
      <c r="AB24" s="21">
        <f>EXP(-LN(2)/2)*AB23+(1-EXP(-LN(2)/2))/(LN(2)/2)*V24*Y24*VLOOKUP('Données projet'!$B$9,Paramètres!$A$1:$I$89,3,0)*0.475*44/12</f>
        <v>2.953767344363869</v>
      </c>
      <c r="AC24" s="22">
        <f t="shared" si="3"/>
        <v>4.6923725367981461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146</v>
      </c>
      <c r="AG24" s="12">
        <f>VLOOKUP(A24,'Données projet'!$A$61:$I$81,9,0)</f>
        <v>18</v>
      </c>
      <c r="AH24" s="12">
        <f t="array" ref="AH24">INDEX(AG:AG,MIN(IF(ISNUMBER(AG24:AG220),ROW(AG24:AG220),"")))</f>
        <v>18</v>
      </c>
      <c r="AI24" s="13">
        <f>IF('Données projet'!$A$62&gt;35,AI23+AH24-AQ23,IF(A24&lt;'Données projet'!$A$62,$AF$205^A24,IF(A24='Données projet'!$A$62,'Données projet'!$B$62,AI23+AH24-AQ23)))</f>
        <v>146</v>
      </c>
      <c r="AJ24" s="13">
        <f>AI24*VLOOKUP('Données projet'!$B$10,Paramètres!$A$1:$I$89,3,0)*VLOOKUP('Données projet'!$B$10,Paramètres!$A$1:$I$89,5,0)</f>
        <v>91.103999999999999</v>
      </c>
      <c r="AK24" s="13">
        <f t="shared" si="35"/>
        <v>24.831293984707884</v>
      </c>
      <c r="AL24" s="20">
        <f t="shared" si="4"/>
        <v>201.92063702336623</v>
      </c>
      <c r="AM24" s="59">
        <f t="shared" si="5"/>
        <v>495.25397035669954</v>
      </c>
      <c r="AN24" s="59">
        <f ca="1">AVERAGE(OFFSET($AM$3,0,0,'Données projet'!$E$10+1,1))-AVERAGE(OFFSET($H$3,0,0,'Données projet'!$E$10+1,1))</f>
        <v>175.05987582828078</v>
      </c>
      <c r="AO24" s="59">
        <f t="shared" si="36"/>
        <v>268.54782308462387</v>
      </c>
      <c r="AP24" s="15">
        <f>IF(ISNA(VLOOKUP(A24,'Données projet'!$A$61:$I$81,3,0)),0,VLOOKUP(A24,'Données projet'!$A$61:$I$81,3,0))</f>
        <v>2</v>
      </c>
      <c r="AQ24" s="15">
        <f>IF(ISNA(VLOOKUP(A24,'Données projet'!$A$61:$I$81,4,0)),0,VLOOKUP(A24,'Données projet'!$A$61:$I$81,4,0))</f>
        <v>26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1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18.369336795069383</v>
      </c>
      <c r="AX24" s="21">
        <f t="shared" si="6"/>
        <v>18.369336795069383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13.4</v>
      </c>
      <c r="BD24" s="12">
        <f>IF('Données projet'!$A$88&gt;35,BD23+BC24-BL23,IF(A24&lt;'Données projet'!$A$88,$BA$205^A24,IF(A24='Données projet'!$A$88,'Données projet'!$B$88,BD23+BC24-BL23)))</f>
        <v>104.4</v>
      </c>
      <c r="BE24" s="13">
        <f>BD24*VLOOKUP('Données projet'!$B$11,Paramètres!$A$1:$I$89,3,0)*VLOOKUP('Données projet'!$B$11,Paramètres!$A$1:$I$89,5,0)</f>
        <v>62.431200000000011</v>
      </c>
      <c r="BF24" s="13">
        <f t="shared" si="37"/>
        <v>17.781524466058684</v>
      </c>
      <c r="BG24" s="20">
        <f t="shared" si="7"/>
        <v>139.70382844505221</v>
      </c>
      <c r="BH24" s="59">
        <f t="shared" si="8"/>
        <v>433.03716177838555</v>
      </c>
      <c r="BI24" s="59">
        <f ca="1">AVERAGE(OFFSET($BH$3,0,0,'Données projet'!$E$11+1,1))-AVERAGE(OFFSET($H$3,0,0,'Données projet'!$E$11+1,1))</f>
        <v>381.78368385345919</v>
      </c>
      <c r="BJ24" s="59">
        <f t="shared" si="38"/>
        <v>257.35575295655639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30.4</v>
      </c>
      <c r="BY24" s="12">
        <f>IF('Données projet'!$A$114&gt;35,BY23+BX24-CG23,IF(A24&lt;'Données projet'!$A$114,$BV$205^A24,IF(A24='Données projet'!$A$114,'Données projet'!$B$114,BY23+BX24-CG23)))</f>
        <v>172.40000000000003</v>
      </c>
      <c r="BZ24" s="13">
        <f>BY24*VLOOKUP('Données projet'!$B$12,Paramètres!$A$1:$I$89,3,0)*VLOOKUP('Données projet'!$B$12,Paramètres!$A$1:$I$89,5,0)</f>
        <v>82.92440000000002</v>
      </c>
      <c r="CA24" s="13">
        <f t="shared" si="39"/>
        <v>22.850714205009858</v>
      </c>
      <c r="CB24" s="20">
        <f t="shared" si="10"/>
        <v>184.22499057372553</v>
      </c>
      <c r="CC24" s="59">
        <f t="shared" si="11"/>
        <v>477.55832390705882</v>
      </c>
      <c r="CD24" s="59">
        <f ca="1">AVERAGE(OFFSET($CC$3,0,0,'Données projet'!$E$12+1,1))-AVERAGE(OFFSET($H$3,0,0,'Données projet'!$E$12+1,1))</f>
        <v>415.97633163853953</v>
      </c>
      <c r="CE24" s="59">
        <f t="shared" si="40"/>
        <v>356.23532720804423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2.9240178236394661</v>
      </c>
      <c r="CM24" s="21">
        <f>EXP(-LN(2)/2)*CM23+(1-EXP(-LN(2)/2))/(LN(2)/2)*CG24*CJ24*VLOOKUP('Données projet'!$B$12,Paramètres!$A$1:$I$89,3,0)*0.475*44/12</f>
        <v>13.24719899896523</v>
      </c>
      <c r="CN24" s="22">
        <f t="shared" si="12"/>
        <v>16.171216822604695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29.8</v>
      </c>
      <c r="N25" s="13">
        <f>IF('Données projet'!$A$36&gt;35,N24+M25-V24,IF(A25&lt;'Données projet'!$A$36,$K$205^A25,IF(A25='Données projet'!$A$36,'Données projet'!$B$36,N24+M25-V24)))</f>
        <v>379.59999999999997</v>
      </c>
      <c r="O25" s="13">
        <f>N25*VLOOKUP('Données projet'!$B$9,Paramètres!$A$1:$I$89,3,0)*VLOOKUP('Données projet'!$B$9,Paramètres!$A$1:$I$89,5,0)</f>
        <v>212.19639999999998</v>
      </c>
      <c r="P25" s="13">
        <f t="shared" si="33"/>
        <v>52.415263324942657</v>
      </c>
      <c r="Q25" s="20">
        <f t="shared" si="2"/>
        <v>460.86531362427507</v>
      </c>
      <c r="R25" s="59">
        <f t="shared" si="0"/>
        <v>754.19864695760839</v>
      </c>
      <c r="S25" s="59">
        <f ca="1">AVERAGE(OFFSET($R$3,0,0,'Données projet'!$E$9+1,1))-AVERAGE(OFFSET($H$3,0,0,'Données projet'!$E$9+1,1))</f>
        <v>492.3498626914548</v>
      </c>
      <c r="T25" s="59">
        <f t="shared" si="34"/>
        <v>635.90304180030307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1.6910629420178889</v>
      </c>
      <c r="AB25" s="21">
        <f>EXP(-LN(2)/2)*AB24+(1-EXP(-LN(2)/2))/(LN(2)/2)*V25*Y25*VLOOKUP('Données projet'!$B$9,Paramètres!$A$1:$I$89,3,0)*0.475*44/12</f>
        <v>2.0886289192470722</v>
      </c>
      <c r="AC25" s="22">
        <f t="shared" si="3"/>
        <v>3.7796918612649613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</v>
      </c>
      <c r="AI25" s="13">
        <f>IF('Données projet'!$A$62&gt;35,AI24+AH25-AQ24,IF(A25&lt;'Données projet'!$A$62,$AF$205^A25,IF(A25='Données projet'!$A$62,'Données projet'!$B$62,AI24+AH25-AQ24)))</f>
        <v>136</v>
      </c>
      <c r="AJ25" s="13">
        <f>AI25*VLOOKUP('Données projet'!$B$10,Paramètres!$A$1:$I$89,3,0)*VLOOKUP('Données projet'!$B$10,Paramètres!$A$1:$I$89,5,0)</f>
        <v>84.864000000000004</v>
      </c>
      <c r="AK25" s="13">
        <f t="shared" si="35"/>
        <v>23.322341364766192</v>
      </c>
      <c r="AL25" s="20">
        <f t="shared" si="4"/>
        <v>188.42454454363443</v>
      </c>
      <c r="AM25" s="59">
        <f t="shared" si="5"/>
        <v>481.75787787696777</v>
      </c>
      <c r="AN25" s="59">
        <f ca="1">AVERAGE(OFFSET($AM$3,0,0,'Données projet'!$E$10+1,1))-AVERAGE(OFFSET($H$3,0,0,'Données projet'!$E$10+1,1))</f>
        <v>175.05987582828078</v>
      </c>
      <c r="AO25" s="59">
        <f t="shared" si="36"/>
        <v>268.54782308462387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12.989082613693123</v>
      </c>
      <c r="AX25" s="21">
        <f t="shared" si="6"/>
        <v>12.989082613693123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13.4</v>
      </c>
      <c r="BD25" s="12">
        <f>IF('Données projet'!$A$88&gt;35,BD24+BC25-BL24,IF(A25&lt;'Données projet'!$A$88,$BA$205^A25,IF(A25='Données projet'!$A$88,'Données projet'!$B$88,BD24+BC25-BL24)))</f>
        <v>117.80000000000001</v>
      </c>
      <c r="BE25" s="13">
        <f>BD25*VLOOKUP('Données projet'!$B$11,Paramètres!$A$1:$I$89,3,0)*VLOOKUP('Données projet'!$B$11,Paramètres!$A$1:$I$89,5,0)</f>
        <v>70.444400000000016</v>
      </c>
      <c r="BF25" s="13">
        <f t="shared" si="37"/>
        <v>19.783777073379611</v>
      </c>
      <c r="BG25" s="20">
        <f t="shared" si="7"/>
        <v>157.14740840280285</v>
      </c>
      <c r="BH25" s="59">
        <f t="shared" si="8"/>
        <v>450.48074173613617</v>
      </c>
      <c r="BI25" s="59">
        <f ca="1">AVERAGE(OFFSET($BH$3,0,0,'Données projet'!$E$11+1,1))-AVERAGE(OFFSET($H$3,0,0,'Données projet'!$E$11+1,1))</f>
        <v>381.78368385345919</v>
      </c>
      <c r="BJ25" s="59">
        <f t="shared" si="38"/>
        <v>257.35575295655639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30.4</v>
      </c>
      <c r="BY25" s="12">
        <f>IF('Données projet'!$A$114&gt;35,BY24+BX25-CG24,IF(A25&lt;'Données projet'!$A$114,$BV$205^A25,IF(A25='Données projet'!$A$114,'Données projet'!$B$114,BY24+BX25-CG24)))</f>
        <v>202.80000000000004</v>
      </c>
      <c r="BZ25" s="13">
        <f>BY25*VLOOKUP('Données projet'!$B$12,Paramètres!$A$1:$I$89,3,0)*VLOOKUP('Données projet'!$B$12,Paramètres!$A$1:$I$89,5,0)</f>
        <v>97.546800000000019</v>
      </c>
      <c r="CA25" s="13">
        <f t="shared" si="39"/>
        <v>26.376714315973636</v>
      </c>
      <c r="CB25" s="20">
        <f t="shared" si="10"/>
        <v>215.83345410032075</v>
      </c>
      <c r="CC25" s="59">
        <f t="shared" si="11"/>
        <v>509.16678743365406</v>
      </c>
      <c r="CD25" s="59">
        <f ca="1">AVERAGE(OFFSET($CC$3,0,0,'Données projet'!$E$12+1,1))-AVERAGE(OFFSET($H$3,0,0,'Données projet'!$E$12+1,1))</f>
        <v>415.97633163853953</v>
      </c>
      <c r="CE25" s="59">
        <f t="shared" si="40"/>
        <v>356.23532720804423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2.8440604024846303</v>
      </c>
      <c r="CM25" s="21">
        <f>EXP(-LN(2)/2)*CM24+(1-EXP(-LN(2)/2))/(LN(2)/2)*CG25*CJ25*VLOOKUP('Données projet'!$B$12,Paramètres!$A$1:$I$89,3,0)*0.475*44/12</f>
        <v>9.3671842438959594</v>
      </c>
      <c r="CN25" s="22">
        <f t="shared" si="12"/>
        <v>12.211244646380589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29.8</v>
      </c>
      <c r="N26" s="13">
        <f>IF('Données projet'!$A$36&gt;35,N25+M26-V25,IF(A26&lt;'Données projet'!$A$36,$K$205^A26,IF(A26='Données projet'!$A$36,'Données projet'!$B$36,N25+M26-V25)))</f>
        <v>409.4</v>
      </c>
      <c r="O26" s="13">
        <f>N26*VLOOKUP('Données projet'!$B$9,Paramètres!$A$1:$I$89,3,0)*VLOOKUP('Données projet'!$B$9,Paramètres!$A$1:$I$89,5,0)</f>
        <v>228.8546</v>
      </c>
      <c r="P26" s="13">
        <f t="shared" si="33"/>
        <v>56.034947356867114</v>
      </c>
      <c r="Q26" s="20">
        <f t="shared" si="2"/>
        <v>496.18262831321022</v>
      </c>
      <c r="R26" s="59">
        <f t="shared" si="0"/>
        <v>789.51596164654347</v>
      </c>
      <c r="S26" s="59">
        <f ca="1">AVERAGE(OFFSET($R$3,0,0,'Données projet'!$E$9+1,1))-AVERAGE(OFFSET($H$3,0,0,'Données projet'!$E$9+1,1))</f>
        <v>492.3498626914548</v>
      </c>
      <c r="T26" s="59">
        <f t="shared" si="34"/>
        <v>635.90304180030307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1.6448207369392747</v>
      </c>
      <c r="AB26" s="21">
        <f>EXP(-LN(2)/2)*AB25+(1-EXP(-LN(2)/2))/(LN(2)/2)*V26*Y26*VLOOKUP('Données projet'!$B$9,Paramètres!$A$1:$I$89,3,0)*0.475*44/12</f>
        <v>1.4768836721819347</v>
      </c>
      <c r="AC26" s="22">
        <f t="shared" si="3"/>
        <v>3.1217044091212092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152</v>
      </c>
      <c r="AJ26" s="13">
        <f>AI26*VLOOKUP('Données projet'!$B$10,Paramètres!$A$1:$I$89,3,0)*VLOOKUP('Données projet'!$B$10,Paramètres!$A$1:$I$89,5,0)</f>
        <v>94.847999999999999</v>
      </c>
      <c r="AK26" s="13">
        <f t="shared" si="35"/>
        <v>25.730851751939202</v>
      </c>
      <c r="AL26" s="20">
        <f t="shared" si="4"/>
        <v>210.0081668012941</v>
      </c>
      <c r="AM26" s="59">
        <f t="shared" si="5"/>
        <v>503.34150013462738</v>
      </c>
      <c r="AN26" s="59">
        <f ca="1">AVERAGE(OFFSET($AM$3,0,0,'Données projet'!$E$10+1,1))-AVERAGE(OFFSET($H$3,0,0,'Données projet'!$E$10+1,1))</f>
        <v>175.05987582828078</v>
      </c>
      <c r="AO26" s="59">
        <f t="shared" si="36"/>
        <v>268.54782308462387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9.1846683975346917</v>
      </c>
      <c r="AX26" s="21">
        <f t="shared" si="6"/>
        <v>9.1846683975346917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13.4</v>
      </c>
      <c r="BD26" s="12">
        <f>IF('Données projet'!$A$88&gt;35,BD25+BC26-BL25,IF(A26&lt;'Données projet'!$A$88,$BA$205^A26,IF(A26='Données projet'!$A$88,'Données projet'!$B$88,BD25+BC26-BL25)))</f>
        <v>131.20000000000002</v>
      </c>
      <c r="BE26" s="13">
        <f>BD26*VLOOKUP('Données projet'!$B$11,Paramètres!$A$1:$I$89,3,0)*VLOOKUP('Données projet'!$B$11,Paramètres!$A$1:$I$89,5,0)</f>
        <v>78.457600000000014</v>
      </c>
      <c r="BF26" s="13">
        <f t="shared" si="37"/>
        <v>21.759633072453035</v>
      </c>
      <c r="BG26" s="20">
        <f t="shared" si="7"/>
        <v>174.54501426785569</v>
      </c>
      <c r="BH26" s="59">
        <f t="shared" si="8"/>
        <v>467.87834760118903</v>
      </c>
      <c r="BI26" s="59">
        <f ca="1">AVERAGE(OFFSET($BH$3,0,0,'Données projet'!$E$11+1,1))-AVERAGE(OFFSET($H$3,0,0,'Données projet'!$E$11+1,1))</f>
        <v>381.78368385345919</v>
      </c>
      <c r="BJ26" s="59">
        <f t="shared" si="38"/>
        <v>257.35575295655639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30.4</v>
      </c>
      <c r="BY26" s="12">
        <f>IF('Données projet'!$A$114&gt;35,BY25+BX26-CG25,IF(A26&lt;'Données projet'!$A$114,$BV$205^A26,IF(A26='Données projet'!$A$114,'Données projet'!$B$114,BY25+BX26-CG25)))</f>
        <v>233.20000000000005</v>
      </c>
      <c r="BZ26" s="13">
        <f>BY26*VLOOKUP('Données projet'!$B$12,Paramètres!$A$1:$I$89,3,0)*VLOOKUP('Données projet'!$B$12,Paramètres!$A$1:$I$89,5,0)</f>
        <v>112.16920000000003</v>
      </c>
      <c r="CA26" s="13">
        <f t="shared" si="39"/>
        <v>29.84148270278088</v>
      </c>
      <c r="CB26" s="20">
        <f t="shared" si="10"/>
        <v>247.33527237401009</v>
      </c>
      <c r="CC26" s="59">
        <f t="shared" si="11"/>
        <v>540.66860570734343</v>
      </c>
      <c r="CD26" s="59">
        <f ca="1">AVERAGE(OFFSET($CC$3,0,0,'Données projet'!$E$12+1,1))-AVERAGE(OFFSET($H$3,0,0,'Données projet'!$E$12+1,1))</f>
        <v>415.97633163853953</v>
      </c>
      <c r="CE26" s="59">
        <f t="shared" si="40"/>
        <v>356.23532720804423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2.7662894212160518</v>
      </c>
      <c r="CM26" s="21">
        <f>EXP(-LN(2)/2)*CM25+(1-EXP(-LN(2)/2))/(LN(2)/2)*CG26*CJ26*VLOOKUP('Données projet'!$B$12,Paramètres!$A$1:$I$89,3,0)*0.475*44/12</f>
        <v>6.6235994994826166</v>
      </c>
      <c r="CN26" s="22">
        <f t="shared" si="12"/>
        <v>9.3898889206986684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29.8</v>
      </c>
      <c r="N27" s="13">
        <f>IF('Données projet'!$A$36&gt;35,N26+M27-V26,IF(A27&lt;'Données projet'!$A$36,$K$205^A27,IF(A27='Données projet'!$A$36,'Données projet'!$B$36,N26+M27-V26)))</f>
        <v>439.2</v>
      </c>
      <c r="O27" s="13">
        <f>N27*VLOOKUP('Données projet'!$B$9,Paramètres!$A$1:$I$89,3,0)*VLOOKUP('Données projet'!$B$9,Paramètres!$A$1:$I$89,5,0)</f>
        <v>245.5128</v>
      </c>
      <c r="P27" s="13">
        <f t="shared" si="33"/>
        <v>59.624063998553147</v>
      </c>
      <c r="Q27" s="20">
        <f t="shared" si="2"/>
        <v>531.44670479748004</v>
      </c>
      <c r="R27" s="59">
        <f t="shared" si="0"/>
        <v>824.78003813081341</v>
      </c>
      <c r="S27" s="59">
        <f ca="1">AVERAGE(OFFSET($R$3,0,0,'Données projet'!$E$9+1,1))-AVERAGE(OFFSET($H$3,0,0,'Données projet'!$E$9+1,1))</f>
        <v>492.3498626914548</v>
      </c>
      <c r="T27" s="59">
        <f t="shared" si="34"/>
        <v>635.90304180030307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1.599843027390307</v>
      </c>
      <c r="AB27" s="21">
        <f>EXP(-LN(2)/2)*AB26+(1-EXP(-LN(2)/2))/(LN(2)/2)*V27*Y27*VLOOKUP('Données projet'!$B$9,Paramètres!$A$1:$I$89,3,0)*0.475*44/12</f>
        <v>1.0443144596235361</v>
      </c>
      <c r="AC27" s="22">
        <f t="shared" si="3"/>
        <v>2.6441574870138433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168</v>
      </c>
      <c r="AG27" s="12">
        <f>VLOOKUP(A27,'Données projet'!$A$61:$I$81,9,0)</f>
        <v>16</v>
      </c>
      <c r="AH27" s="12">
        <f t="array" ref="AH27">INDEX(AG:AG,MIN(IF(ISNUMBER(AG27:AG223),ROW(AG27:AG223),"")))</f>
        <v>16</v>
      </c>
      <c r="AI27" s="13">
        <f>IF('Données projet'!$A$62&gt;35,AI26+AH27-AQ26,IF(A27&lt;'Données projet'!$A$62,$AF$205^A27,IF(A27='Données projet'!$A$62,'Données projet'!$B$62,AI26+AH27-AQ26)))</f>
        <v>168</v>
      </c>
      <c r="AJ27" s="13">
        <f>AI27*VLOOKUP('Données projet'!$B$10,Paramètres!$A$1:$I$89,3,0)*VLOOKUP('Données projet'!$B$10,Paramètres!$A$1:$I$89,5,0)</f>
        <v>104.83200000000001</v>
      </c>
      <c r="AK27" s="13">
        <f t="shared" si="35"/>
        <v>28.109974371137717</v>
      </c>
      <c r="AL27" s="20">
        <f t="shared" si="4"/>
        <v>231.54060536306486</v>
      </c>
      <c r="AM27" s="59">
        <f t="shared" si="5"/>
        <v>524.87393869639823</v>
      </c>
      <c r="AN27" s="59">
        <f ca="1">AVERAGE(OFFSET($AM$3,0,0,'Données projet'!$E$10+1,1))-AVERAGE(OFFSET($H$3,0,0,'Données projet'!$E$10+1,1))</f>
        <v>175.05987582828078</v>
      </c>
      <c r="AO27" s="59">
        <f t="shared" si="36"/>
        <v>268.54782308462387</v>
      </c>
      <c r="AP27" s="15">
        <f>IF(ISNA(VLOOKUP(A27,'Données projet'!$A$61:$I$81,3,0)),0,VLOOKUP(A27,'Données projet'!$A$61:$I$81,3,0))</f>
        <v>3</v>
      </c>
      <c r="AQ27" s="15">
        <f>IF(ISNA(VLOOKUP(A27,'Données projet'!$A$61:$I$81,4,0)),0,VLOOKUP(A27,'Données projet'!$A$61:$I$81,4,0))</f>
        <v>29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0.12</v>
      </c>
      <c r="AT27" s="16">
        <f>IF(ISNA(VLOOKUP(A27,'Données projet'!$A$61:$I$81,7,0)),0%,VLOOKUP(A27,'Données projet'!$A$61:$I$81,7,0))</f>
        <v>0.8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2.8693189853314944</v>
      </c>
      <c r="AW27" s="21">
        <f>EXP(-LN(2)/2)*AW26+(1-EXP(-LN(2)/2))/(LN(2)/2)*AQ27*AT27*VLOOKUP('Données projet'!$B$10,Paramètres!$A$1:$I$89,3,0)*0.475*44/12</f>
        <v>22.885641831677702</v>
      </c>
      <c r="AX27" s="21">
        <f t="shared" si="6"/>
        <v>25.754960817009199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13.4</v>
      </c>
      <c r="BD27" s="12">
        <f>IF('Données projet'!$A$88&gt;35,BD26+BC27-BL26,IF(A27&lt;'Données projet'!$A$88,$BA$205^A27,IF(A27='Données projet'!$A$88,'Données projet'!$B$88,BD26+BC27-BL26)))</f>
        <v>144.60000000000002</v>
      </c>
      <c r="BE27" s="13">
        <f>BD27*VLOOKUP('Données projet'!$B$11,Paramètres!$A$1:$I$89,3,0)*VLOOKUP('Données projet'!$B$11,Paramètres!$A$1:$I$89,5,0)</f>
        <v>86.470800000000025</v>
      </c>
      <c r="BF27" s="13">
        <f t="shared" si="37"/>
        <v>23.712095460938677</v>
      </c>
      <c r="BG27" s="20">
        <f t="shared" si="7"/>
        <v>191.9018762611349</v>
      </c>
      <c r="BH27" s="59">
        <f t="shared" si="8"/>
        <v>485.23520959446819</v>
      </c>
      <c r="BI27" s="59">
        <f ca="1">AVERAGE(OFFSET($BH$3,0,0,'Données projet'!$E$11+1,1))-AVERAGE(OFFSET($H$3,0,0,'Données projet'!$E$11+1,1))</f>
        <v>381.78368385345919</v>
      </c>
      <c r="BJ27" s="59">
        <f t="shared" si="38"/>
        <v>257.35575295655639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30.4</v>
      </c>
      <c r="BY27" s="12">
        <f>IF('Données projet'!$A$114&gt;35,BY26+BX27-CG26,IF(A27&lt;'Données projet'!$A$114,$BV$205^A27,IF(A27='Données projet'!$A$114,'Données projet'!$B$114,BY26+BX27-CG26)))</f>
        <v>263.60000000000002</v>
      </c>
      <c r="BZ27" s="13">
        <f>BY27*VLOOKUP('Données projet'!$B$12,Paramètres!$A$1:$I$89,3,0)*VLOOKUP('Données projet'!$B$12,Paramètres!$A$1:$I$89,5,0)</f>
        <v>126.79160000000002</v>
      </c>
      <c r="CA27" s="13">
        <f t="shared" si="39"/>
        <v>33.2539175016191</v>
      </c>
      <c r="CB27" s="20">
        <f t="shared" si="10"/>
        <v>278.74594298198662</v>
      </c>
      <c r="CC27" s="59">
        <f t="shared" si="11"/>
        <v>572.07927631531993</v>
      </c>
      <c r="CD27" s="59">
        <f ca="1">AVERAGE(OFFSET($CC$3,0,0,'Données projet'!$E$12+1,1))-AVERAGE(OFFSET($H$3,0,0,'Données projet'!$E$12+1,1))</f>
        <v>415.97633163853953</v>
      </c>
      <c r="CE27" s="59">
        <f t="shared" si="40"/>
        <v>356.23532720804423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2.6906450915200608</v>
      </c>
      <c r="CM27" s="21">
        <f>EXP(-LN(2)/2)*CM26+(1-EXP(-LN(2)/2))/(LN(2)/2)*CG27*CJ27*VLOOKUP('Données projet'!$B$12,Paramètres!$A$1:$I$89,3,0)*0.475*44/12</f>
        <v>4.6835921219479806</v>
      </c>
      <c r="CN27" s="22">
        <f t="shared" si="12"/>
        <v>7.3742372134680414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469</v>
      </c>
      <c r="L28" s="12">
        <f>VLOOKUP(A28,'Données projet'!$A$35:$I$55,9,0)</f>
        <v>29.8</v>
      </c>
      <c r="M28" s="12">
        <f t="array" ref="M28">INDEX(L:L,MIN(IF(ISNUMBER(L28:L224),ROW(L28:L224),"")))</f>
        <v>29.8</v>
      </c>
      <c r="N28" s="13">
        <f>IF('Données projet'!$A$36&gt;35,N27+M28-V27,IF(A28&lt;'Données projet'!$A$36,$K$205^A28,IF(A28='Données projet'!$A$36,'Données projet'!$B$36,N27+M28-V27)))</f>
        <v>469</v>
      </c>
      <c r="O28" s="13">
        <f>N28*VLOOKUP('Données projet'!$B$9,Paramètres!$A$1:$I$89,3,0)*VLOOKUP('Données projet'!$B$9,Paramètres!$A$1:$I$89,5,0)</f>
        <v>262.17099999999999</v>
      </c>
      <c r="P28" s="13">
        <f t="shared" si="33"/>
        <v>63.184923227726436</v>
      </c>
      <c r="Q28" s="20">
        <f t="shared" si="2"/>
        <v>566.66156628829015</v>
      </c>
      <c r="R28" s="59">
        <f t="shared" si="0"/>
        <v>859.99489962162352</v>
      </c>
      <c r="S28" s="59">
        <f ca="1">AVERAGE(OFFSET($R$3,0,0,'Données projet'!$E$9+1,1))-AVERAGE(OFFSET($H$3,0,0,'Données projet'!$E$9+1,1))</f>
        <v>492.3498626914548</v>
      </c>
      <c r="T28" s="59">
        <f t="shared" si="34"/>
        <v>635.90304180030307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46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0.22000000000000003</v>
      </c>
      <c r="Y28" s="16">
        <f>IF(ISNA(VLOOKUP(A28,'Données projet'!$A$35:$I$55,7,0)),0%,VLOOKUP(A28,'Données projet'!$A$35:$I$55,7,0))</f>
        <v>0.6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9.0310284831410268</v>
      </c>
      <c r="AB28" s="21">
        <f>EXP(-LN(2)/2)*AB27+(1-EXP(-LN(2)/2))/(LN(2)/2)*V28*Y28*VLOOKUP('Données projet'!$B$9,Paramètres!$A$1:$I$89,3,0)*0.475*44/12</f>
        <v>18.206974615248292</v>
      </c>
      <c r="AC28" s="22">
        <f t="shared" si="3"/>
        <v>27.238003098389321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14.166666666666666</v>
      </c>
      <c r="AI28" s="13">
        <f>IF('Données projet'!$A$62&gt;35,AI27+AH28-AQ27,IF(A28&lt;'Données projet'!$A$62,$AF$205^A28,IF(A28='Données projet'!$A$62,'Données projet'!$B$62,AI27+AH28-AQ27)))</f>
        <v>153.16666666666666</v>
      </c>
      <c r="AJ28" s="13">
        <f>AI28*VLOOKUP('Données projet'!$B$10,Paramètres!$A$1:$I$89,3,0)*VLOOKUP('Données projet'!$B$10,Paramètres!$A$1:$I$89,5,0)</f>
        <v>95.575999999999993</v>
      </c>
      <c r="AK28" s="13">
        <f t="shared" si="35"/>
        <v>25.905281107545633</v>
      </c>
      <c r="AL28" s="20">
        <f t="shared" si="4"/>
        <v>211.57989792897527</v>
      </c>
      <c r="AM28" s="59">
        <f t="shared" si="5"/>
        <v>504.91323126230861</v>
      </c>
      <c r="AN28" s="59">
        <f ca="1">AVERAGE(OFFSET($AM$3,0,0,'Données projet'!$E$10+1,1))-AVERAGE(OFFSET($H$3,0,0,'Données projet'!$E$10+1,1))</f>
        <v>175.05987582828078</v>
      </c>
      <c r="AO28" s="59">
        <f t="shared" si="36"/>
        <v>268.54782308462387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2.7908573067866773</v>
      </c>
      <c r="AW28" s="21">
        <f>EXP(-LN(2)/2)*AW27+(1-EXP(-LN(2)/2))/(LN(2)/2)*AQ28*AT28*VLOOKUP('Données projet'!$B$10,Paramètres!$A$1:$I$89,3,0)*0.475*44/12</f>
        <v>16.182592530985826</v>
      </c>
      <c r="AX28" s="21">
        <f t="shared" si="6"/>
        <v>18.973449837772502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13.4</v>
      </c>
      <c r="BD28" s="12">
        <f>IF('Données projet'!$A$88&gt;35,BD27+BC28-BL27,IF(A28&lt;'Données projet'!$A$88,$BA$205^A28,IF(A28='Données projet'!$A$88,'Données projet'!$B$88,BD27+BC28-BL27)))</f>
        <v>158.00000000000003</v>
      </c>
      <c r="BE28" s="13">
        <f>BD28*VLOOKUP('Données projet'!$B$11,Paramètres!$A$1:$I$89,3,0)*VLOOKUP('Données projet'!$B$11,Paramètres!$A$1:$I$89,5,0)</f>
        <v>94.484000000000037</v>
      </c>
      <c r="BF28" s="13">
        <f t="shared" si="37"/>
        <v>25.643578691511802</v>
      </c>
      <c r="BG28" s="20">
        <f t="shared" si="7"/>
        <v>209.22219955438311</v>
      </c>
      <c r="BH28" s="59">
        <f t="shared" si="8"/>
        <v>502.55553288771642</v>
      </c>
      <c r="BI28" s="59">
        <f ca="1">AVERAGE(OFFSET($BH$3,0,0,'Données projet'!$E$11+1,1))-AVERAGE(OFFSET($H$3,0,0,'Données projet'!$E$11+1,1))</f>
        <v>381.78368385345919</v>
      </c>
      <c r="BJ28" s="59">
        <f t="shared" si="38"/>
        <v>257.35575295655639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294</v>
      </c>
      <c r="BW28" s="12">
        <f>VLOOKUP(A28,'Données projet'!$A$113:$I$133,9,0)</f>
        <v>30.4</v>
      </c>
      <c r="BX28" s="12">
        <f t="array" ref="BX28">INDEX(BW:BW,MIN(IF(ISNUMBER(BW28:BW224),ROW(BW28:BW224),"")))</f>
        <v>30.4</v>
      </c>
      <c r="BY28" s="12">
        <f>IF('Données projet'!$A$114&gt;35,BY27+BX28-CG27,IF(A28&lt;'Données projet'!$A$114,$BV$205^A28,IF(A28='Données projet'!$A$114,'Données projet'!$B$114,BY27+BX28-CG27)))</f>
        <v>294</v>
      </c>
      <c r="BZ28" s="13">
        <f>BY28*VLOOKUP('Données projet'!$B$12,Paramètres!$A$1:$I$89,3,0)*VLOOKUP('Données projet'!$B$12,Paramètres!$A$1:$I$89,5,0)</f>
        <v>141.41400000000002</v>
      </c>
      <c r="CA28" s="13">
        <f t="shared" si="39"/>
        <v>36.620743339746923</v>
      </c>
      <c r="CB28" s="20">
        <f t="shared" si="10"/>
        <v>310.07717798339257</v>
      </c>
      <c r="CC28" s="59">
        <f t="shared" si="11"/>
        <v>603.41051131672589</v>
      </c>
      <c r="CD28" s="59">
        <f ca="1">AVERAGE(OFFSET($CC$3,0,0,'Données projet'!$E$12+1,1))-AVERAGE(OFFSET($H$3,0,0,'Données projet'!$E$12+1,1))</f>
        <v>415.97633163853953</v>
      </c>
      <c r="CE28" s="59">
        <f t="shared" si="40"/>
        <v>356.23532720804423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77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0.11000000000000001</v>
      </c>
      <c r="CJ28" s="16">
        <f>IF(ISNA(VLOOKUP(A28,'Données projet'!$A$113:$I$133,7,0)),0%,VLOOKUP(A28,'Données projet'!$A$113:$I$133,7,0))</f>
        <v>0.8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8.0003060704204465</v>
      </c>
      <c r="CM28" s="21">
        <f>EXP(-LN(2)/2)*CM27+(1-EXP(-LN(2)/2))/(LN(2)/2)*CG28*CJ28*VLOOKUP('Données projet'!$B$12,Paramètres!$A$1:$I$89,3,0)*0.475*44/12</f>
        <v>36.859389832531484</v>
      </c>
      <c r="CN28" s="22">
        <f t="shared" si="12"/>
        <v>44.859695902951927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27.4</v>
      </c>
      <c r="N29" s="13">
        <f>IF('Données projet'!$A$36&gt;35,N28+M29-V28,IF(A29&lt;'Données projet'!$A$36,$K$205^A29,IF(A29='Données projet'!$A$36,'Données projet'!$B$36,N28+M29-V28)))</f>
        <v>450.4</v>
      </c>
      <c r="O29" s="13">
        <f>N29*VLOOKUP('Données projet'!$B$9,Paramètres!$A$1:$I$89,3,0)*VLOOKUP('Données projet'!$B$9,Paramètres!$A$1:$I$89,5,0)</f>
        <v>251.77360000000002</v>
      </c>
      <c r="P29" s="13">
        <f t="shared" si="33"/>
        <v>60.965574198020335</v>
      </c>
      <c r="Q29" s="20">
        <f t="shared" si="2"/>
        <v>544.68739506155214</v>
      </c>
      <c r="R29" s="59">
        <f t="shared" si="0"/>
        <v>838.02072839488551</v>
      </c>
      <c r="S29" s="59">
        <f ca="1">AVERAGE(OFFSET($R$3,0,0,'Données projet'!$E$9+1,1))-AVERAGE(OFFSET($H$3,0,0,'Données projet'!$E$9+1,1))</f>
        <v>492.3498626914548</v>
      </c>
      <c r="T29" s="59">
        <f t="shared" si="34"/>
        <v>635.90304180030307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8.7840745343483881</v>
      </c>
      <c r="AB29" s="21">
        <f>EXP(-LN(2)/2)*AB28+(1-EXP(-LN(2)/2))/(LN(2)/2)*V29*Y29*VLOOKUP('Données projet'!$B$9,Paramètres!$A$1:$I$89,3,0)*0.475*44/12</f>
        <v>12.8742752153334</v>
      </c>
      <c r="AC29" s="22">
        <f t="shared" si="3"/>
        <v>21.65834974968179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14.166666666666666</v>
      </c>
      <c r="AI29" s="13">
        <f>IF('Données projet'!$A$62&gt;35,AI28+AH29-AQ28,IF(A29&lt;'Données projet'!$A$62,$AF$205^A29,IF(A29='Données projet'!$A$62,'Données projet'!$B$62,AI28+AH29-AQ28)))</f>
        <v>167.33333333333331</v>
      </c>
      <c r="AJ29" s="13">
        <f>AI29*VLOOKUP('Données projet'!$B$10,Paramètres!$A$1:$I$89,3,0)*VLOOKUP('Données projet'!$B$10,Paramètres!$A$1:$I$89,5,0)</f>
        <v>104.416</v>
      </c>
      <c r="AK29" s="13">
        <f t="shared" si="35"/>
        <v>28.01138818767625</v>
      </c>
      <c r="AL29" s="20">
        <f t="shared" si="4"/>
        <v>230.64436776020281</v>
      </c>
      <c r="AM29" s="59">
        <f t="shared" si="5"/>
        <v>523.9777010935361</v>
      </c>
      <c r="AN29" s="59">
        <f ca="1">AVERAGE(OFFSET($AM$3,0,0,'Données projet'!$E$10+1,1))-AVERAGE(OFFSET($H$3,0,0,'Données projet'!$E$10+1,1))</f>
        <v>175.05987582828078</v>
      </c>
      <c r="AO29" s="59">
        <f t="shared" si="36"/>
        <v>268.54782308462387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2.7145411669677886</v>
      </c>
      <c r="AW29" s="21">
        <f>EXP(-LN(2)/2)*AW28+(1-EXP(-LN(2)/2))/(LN(2)/2)*AQ29*AT29*VLOOKUP('Données projet'!$B$10,Paramètres!$A$1:$I$89,3,0)*0.475*44/12</f>
        <v>11.442820915838853</v>
      </c>
      <c r="AX29" s="21">
        <f t="shared" si="6"/>
        <v>14.157362082806642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13.4</v>
      </c>
      <c r="BD29" s="12">
        <f>IF('Données projet'!$A$88&gt;35,BD28+BC29-BL28,IF(A29&lt;'Données projet'!$A$88,$BA$205^A29,IF(A29='Données projet'!$A$88,'Données projet'!$B$88,BD28+BC29-BL28)))</f>
        <v>171.40000000000003</v>
      </c>
      <c r="BE29" s="13">
        <f>BD29*VLOOKUP('Données projet'!$B$11,Paramètres!$A$1:$I$89,3,0)*VLOOKUP('Données projet'!$B$11,Paramètres!$A$1:$I$89,5,0)</f>
        <v>102.49720000000003</v>
      </c>
      <c r="BF29" s="13">
        <f t="shared" si="37"/>
        <v>27.556064299174871</v>
      </c>
      <c r="BG29" s="20">
        <f t="shared" si="7"/>
        <v>226.50943532106294</v>
      </c>
      <c r="BH29" s="59">
        <f t="shared" si="8"/>
        <v>519.8427686543962</v>
      </c>
      <c r="BI29" s="59">
        <f ca="1">AVERAGE(OFFSET($BH$3,0,0,'Données projet'!$E$11+1,1))-AVERAGE(OFFSET($H$3,0,0,'Données projet'!$E$11+1,1))</f>
        <v>381.78368385345919</v>
      </c>
      <c r="BJ29" s="59">
        <f t="shared" si="38"/>
        <v>257.35575295655639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31.8</v>
      </c>
      <c r="BY29" s="12">
        <f>IF('Données projet'!$A$114&gt;35,BY28+BX29-CG28,IF(A29&lt;'Données projet'!$A$114,$BV$205^A29,IF(A29='Données projet'!$A$114,'Données projet'!$B$114,BY28+BX29-CG28)))</f>
        <v>248.8</v>
      </c>
      <c r="BZ29" s="13">
        <f>BY29*VLOOKUP('Données projet'!$B$12,Paramètres!$A$1:$I$89,3,0)*VLOOKUP('Données projet'!$B$12,Paramètres!$A$1:$I$89,5,0)</f>
        <v>119.6728</v>
      </c>
      <c r="CA29" s="13">
        <f t="shared" si="39"/>
        <v>31.598673144625497</v>
      </c>
      <c r="CB29" s="20">
        <f t="shared" si="10"/>
        <v>263.46448239355612</v>
      </c>
      <c r="CC29" s="59">
        <f t="shared" si="11"/>
        <v>556.79781572688944</v>
      </c>
      <c r="CD29" s="59">
        <f ca="1">AVERAGE(OFFSET($CC$3,0,0,'Données projet'!$E$12+1,1))-AVERAGE(OFFSET($H$3,0,0,'Données projet'!$E$12+1,1))</f>
        <v>415.97633163853953</v>
      </c>
      <c r="CE29" s="59">
        <f t="shared" si="40"/>
        <v>356.23532720804423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7.7815372802069884</v>
      </c>
      <c r="CM29" s="21">
        <f>EXP(-LN(2)/2)*CM28+(1-EXP(-LN(2)/2))/(LN(2)/2)*CG29*CJ29*VLOOKUP('Données projet'!$B$12,Paramètres!$A$1:$I$89,3,0)*0.475*44/12</f>
        <v>26.063524500981497</v>
      </c>
      <c r="CN29" s="22">
        <f t="shared" si="12"/>
        <v>33.845061781188484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27.4</v>
      </c>
      <c r="N30" s="13">
        <f>IF('Données projet'!$A$36&gt;35,N29+M30-V29,IF(A30&lt;'Données projet'!$A$36,$K$205^A30,IF(A30='Données projet'!$A$36,'Données projet'!$B$36,N29+M30-V29)))</f>
        <v>477.79999999999995</v>
      </c>
      <c r="O30" s="13">
        <f>N30*VLOOKUP('Données projet'!$B$9,Paramètres!$A$1:$I$89,3,0)*VLOOKUP('Données projet'!$B$9,Paramètres!$A$1:$I$89,5,0)</f>
        <v>267.09019999999998</v>
      </c>
      <c r="P30" s="13">
        <f t="shared" si="33"/>
        <v>64.231347395864233</v>
      </c>
      <c r="Q30" s="20">
        <f t="shared" si="2"/>
        <v>577.0516950477969</v>
      </c>
      <c r="R30" s="59">
        <f t="shared" si="0"/>
        <v>870.38502838113027</v>
      </c>
      <c r="S30" s="59">
        <f ca="1">AVERAGE(OFFSET($R$3,0,0,'Données projet'!$E$9+1,1))-AVERAGE(OFFSET($H$3,0,0,'Données projet'!$E$9+1,1))</f>
        <v>492.3498626914548</v>
      </c>
      <c r="T30" s="59">
        <f t="shared" si="34"/>
        <v>635.90304180030307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8.5438735542722277</v>
      </c>
      <c r="AB30" s="21">
        <f>EXP(-LN(2)/2)*AB29+(1-EXP(-LN(2)/2))/(LN(2)/2)*V30*Y30*VLOOKUP('Données projet'!$B$9,Paramètres!$A$1:$I$89,3,0)*0.475*44/12</f>
        <v>9.1034873076241478</v>
      </c>
      <c r="AC30" s="22">
        <f t="shared" si="3"/>
        <v>17.647360861896374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14.166666666666666</v>
      </c>
      <c r="AI30" s="13">
        <f>IF('Données projet'!$A$62&gt;35,AI29+AH30-AQ29,IF(A30&lt;'Données projet'!$A$62,$AF$205^A30,IF(A30='Données projet'!$A$62,'Données projet'!$B$62,AI29+AH30-AQ29)))</f>
        <v>181.49999999999997</v>
      </c>
      <c r="AJ30" s="13">
        <f>AI30*VLOOKUP('Données projet'!$B$10,Paramètres!$A$1:$I$89,3,0)*VLOOKUP('Données projet'!$B$10,Paramètres!$A$1:$I$89,5,0)</f>
        <v>113.25599999999997</v>
      </c>
      <c r="AK30" s="13">
        <f t="shared" si="35"/>
        <v>30.096816336106439</v>
      </c>
      <c r="AL30" s="20">
        <f t="shared" si="4"/>
        <v>249.67282178538531</v>
      </c>
      <c r="AM30" s="59">
        <f t="shared" si="5"/>
        <v>543.00615511871865</v>
      </c>
      <c r="AN30" s="59">
        <f ca="1">AVERAGE(OFFSET($AM$3,0,0,'Données projet'!$E$10+1,1))-AVERAGE(OFFSET($H$3,0,0,'Données projet'!$E$10+1,1))</f>
        <v>175.05987582828078</v>
      </c>
      <c r="AO30" s="59">
        <f t="shared" si="36"/>
        <v>268.54782308462387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2.6403118960055387</v>
      </c>
      <c r="AW30" s="21">
        <f>EXP(-LN(2)/2)*AW29+(1-EXP(-LN(2)/2))/(LN(2)/2)*AQ30*AT30*VLOOKUP('Données projet'!$B$10,Paramètres!$A$1:$I$89,3,0)*0.475*44/12</f>
        <v>8.0912962654929146</v>
      </c>
      <c r="AX30" s="21">
        <f t="shared" si="6"/>
        <v>10.731608161498453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13.4</v>
      </c>
      <c r="BD30" s="12">
        <f>IF('Données projet'!$A$88&gt;35,BD29+BC30-BL29,IF(A30&lt;'Données projet'!$A$88,$BA$205^A30,IF(A30='Données projet'!$A$88,'Données projet'!$B$88,BD29+BC30-BL29)))</f>
        <v>184.80000000000004</v>
      </c>
      <c r="BE30" s="13">
        <f>BD30*VLOOKUP('Données projet'!$B$11,Paramètres!$A$1:$I$89,3,0)*VLOOKUP('Données projet'!$B$11,Paramètres!$A$1:$I$89,5,0)</f>
        <v>110.51040000000003</v>
      </c>
      <c r="BF30" s="13">
        <f t="shared" si="37"/>
        <v>29.451206375056412</v>
      </c>
      <c r="BG30" s="20">
        <f t="shared" si="7"/>
        <v>243.76646443655662</v>
      </c>
      <c r="BH30" s="59">
        <f t="shared" si="8"/>
        <v>537.09979776988996</v>
      </c>
      <c r="BI30" s="59">
        <f ca="1">AVERAGE(OFFSET($BH$3,0,0,'Données projet'!$E$11+1,1))-AVERAGE(OFFSET($H$3,0,0,'Données projet'!$E$11+1,1))</f>
        <v>381.78368385345919</v>
      </c>
      <c r="BJ30" s="59">
        <f t="shared" si="38"/>
        <v>257.35575295655639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31.8</v>
      </c>
      <c r="BY30" s="12">
        <f>IF('Données projet'!$A$114&gt;35,BY29+BX30-CG29,IF(A30&lt;'Données projet'!$A$114,$BV$205^A30,IF(A30='Données projet'!$A$114,'Données projet'!$B$114,BY29+BX30-CG29)))</f>
        <v>280.60000000000002</v>
      </c>
      <c r="BZ30" s="13">
        <f>BY30*VLOOKUP('Données projet'!$B$12,Paramètres!$A$1:$I$89,3,0)*VLOOKUP('Données projet'!$B$12,Paramètres!$A$1:$I$89,5,0)</f>
        <v>134.96860000000001</v>
      </c>
      <c r="CA30" s="13">
        <f t="shared" si="39"/>
        <v>35.141938683339475</v>
      </c>
      <c r="CB30" s="20">
        <f t="shared" si="10"/>
        <v>296.2758548734829</v>
      </c>
      <c r="CC30" s="59">
        <f t="shared" si="11"/>
        <v>589.60918820681627</v>
      </c>
      <c r="CD30" s="59">
        <f ca="1">AVERAGE(OFFSET($CC$3,0,0,'Données projet'!$E$12+1,1))-AVERAGE(OFFSET($H$3,0,0,'Données projet'!$E$12+1,1))</f>
        <v>415.97633163853953</v>
      </c>
      <c r="CE30" s="59">
        <f t="shared" si="40"/>
        <v>356.23532720804423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7.5687507340664677</v>
      </c>
      <c r="CM30" s="21">
        <f>EXP(-LN(2)/2)*CM29+(1-EXP(-LN(2)/2))/(LN(2)/2)*CG30*CJ30*VLOOKUP('Données projet'!$B$12,Paramètres!$A$1:$I$89,3,0)*0.475*44/12</f>
        <v>18.429694916265746</v>
      </c>
      <c r="CN30" s="22">
        <f t="shared" si="12"/>
        <v>25.998445650332215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27.4</v>
      </c>
      <c r="N31" s="13">
        <f>IF('Données projet'!$A$36&gt;35,N30+M31-V30,IF(A31&lt;'Données projet'!$A$36,$K$205^A31,IF(A31='Données projet'!$A$36,'Données projet'!$B$36,N30+M31-V30)))</f>
        <v>505.19999999999993</v>
      </c>
      <c r="O31" s="13">
        <f>N31*VLOOKUP('Données projet'!$B$9,Paramètres!$A$1:$I$89,3,0)*VLOOKUP('Données projet'!$B$9,Paramètres!$A$1:$I$89,5,0)</f>
        <v>282.40679999999998</v>
      </c>
      <c r="P31" s="13">
        <f t="shared" si="33"/>
        <v>67.475381268028372</v>
      </c>
      <c r="Q31" s="20">
        <f t="shared" si="2"/>
        <v>609.37813237514945</v>
      </c>
      <c r="R31" s="59">
        <f t="shared" si="0"/>
        <v>902.71146570848282</v>
      </c>
      <c r="S31" s="59">
        <f ca="1">AVERAGE(OFFSET($R$3,0,0,'Données projet'!$E$9+1,1))-AVERAGE(OFFSET($H$3,0,0,'Données projet'!$E$9+1,1))</f>
        <v>492.3498626914548</v>
      </c>
      <c r="T31" s="59">
        <f t="shared" si="34"/>
        <v>635.90304180030307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8.3102408826278715</v>
      </c>
      <c r="AB31" s="21">
        <f>EXP(-LN(2)/2)*AB30+(1-EXP(-LN(2)/2))/(LN(2)/2)*V31*Y31*VLOOKUP('Données projet'!$B$9,Paramètres!$A$1:$I$89,3,0)*0.475*44/12</f>
        <v>6.4371376076667017</v>
      </c>
      <c r="AC31" s="22">
        <f t="shared" si="3"/>
        <v>14.747378490294572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14.166666666666666</v>
      </c>
      <c r="AI31" s="13">
        <f>IF('Données projet'!$A$62&gt;35,AI30+AH31-AQ30,IF(A31&lt;'Données projet'!$A$62,$AF$205^A31,IF(A31='Données projet'!$A$62,'Données projet'!$B$62,AI30+AH31-AQ30)))</f>
        <v>195.66666666666663</v>
      </c>
      <c r="AJ31" s="13">
        <f>AI31*VLOOKUP('Données projet'!$B$10,Paramètres!$A$1:$I$89,3,0)*VLOOKUP('Données projet'!$B$10,Paramètres!$A$1:$I$89,5,0)</f>
        <v>122.09599999999998</v>
      </c>
      <c r="AK31" s="13">
        <f t="shared" si="35"/>
        <v>32.163363121463028</v>
      </c>
      <c r="AL31" s="20">
        <f t="shared" si="4"/>
        <v>268.6683907698814</v>
      </c>
      <c r="AM31" s="59">
        <f t="shared" si="5"/>
        <v>562.00172410321466</v>
      </c>
      <c r="AN31" s="59">
        <f ca="1">AVERAGE(OFFSET($AM$3,0,0,'Données projet'!$E$10+1,1))-AVERAGE(OFFSET($H$3,0,0,'Données projet'!$E$10+1,1))</f>
        <v>175.05987582828078</v>
      </c>
      <c r="AO31" s="59">
        <f t="shared" si="36"/>
        <v>268.54782308462387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2.568112428361299</v>
      </c>
      <c r="AW31" s="21">
        <f>EXP(-LN(2)/2)*AW30+(1-EXP(-LN(2)/2))/(LN(2)/2)*AQ31*AT31*VLOOKUP('Données projet'!$B$10,Paramètres!$A$1:$I$89,3,0)*0.475*44/12</f>
        <v>5.7214104579194283</v>
      </c>
      <c r="AX31" s="21">
        <f t="shared" si="6"/>
        <v>8.2895228862807269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13.4</v>
      </c>
      <c r="BD31" s="12">
        <f>IF('Données projet'!$A$88&gt;35,BD30+BC31-BL30,IF(A31&lt;'Données projet'!$A$88,$BA$205^A31,IF(A31='Données projet'!$A$88,'Données projet'!$B$88,BD30+BC31-BL30)))</f>
        <v>198.20000000000005</v>
      </c>
      <c r="BE31" s="13">
        <f>BD31*VLOOKUP('Données projet'!$B$11,Paramètres!$A$1:$I$89,3,0)*VLOOKUP('Données projet'!$B$11,Paramètres!$A$1:$I$89,5,0)</f>
        <v>118.52360000000003</v>
      </c>
      <c r="BF31" s="13">
        <f t="shared" si="37"/>
        <v>31.330405532670223</v>
      </c>
      <c r="BG31" s="20">
        <f t="shared" si="7"/>
        <v>260.995726302734</v>
      </c>
      <c r="BH31" s="59">
        <f t="shared" si="8"/>
        <v>554.32905963606731</v>
      </c>
      <c r="BI31" s="59">
        <f ca="1">AVERAGE(OFFSET($BH$3,0,0,'Données projet'!$E$11+1,1))-AVERAGE(OFFSET($H$3,0,0,'Données projet'!$E$11+1,1))</f>
        <v>381.78368385345919</v>
      </c>
      <c r="BJ31" s="59">
        <f t="shared" si="38"/>
        <v>257.35575295655639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31.8</v>
      </c>
      <c r="BY31" s="12">
        <f>IF('Données projet'!$A$114&gt;35,BY30+BX31-CG30,IF(A31&lt;'Données projet'!$A$114,$BV$205^A31,IF(A31='Données projet'!$A$114,'Données projet'!$B$114,BY30+BX31-CG30)))</f>
        <v>312.40000000000003</v>
      </c>
      <c r="BZ31" s="13">
        <f>BY31*VLOOKUP('Données projet'!$B$12,Paramètres!$A$1:$I$89,3,0)*VLOOKUP('Données projet'!$B$12,Paramètres!$A$1:$I$89,5,0)</f>
        <v>150.26440000000002</v>
      </c>
      <c r="CA31" s="13">
        <f t="shared" si="39"/>
        <v>38.63866530961765</v>
      </c>
      <c r="CB31" s="20">
        <f t="shared" si="10"/>
        <v>329.00617208091745</v>
      </c>
      <c r="CC31" s="59">
        <f t="shared" si="11"/>
        <v>622.33950541425077</v>
      </c>
      <c r="CD31" s="59">
        <f ca="1">AVERAGE(OFFSET($CC$3,0,0,'Données projet'!$E$12+1,1))-AVERAGE(OFFSET($H$3,0,0,'Données projet'!$E$12+1,1))</f>
        <v>415.97633163853953</v>
      </c>
      <c r="CE31" s="59">
        <f t="shared" si="40"/>
        <v>356.23532720804423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7.3617828472201179</v>
      </c>
      <c r="CM31" s="21">
        <f>EXP(-LN(2)/2)*CM30+(1-EXP(-LN(2)/2))/(LN(2)/2)*CG31*CJ31*VLOOKUP('Données projet'!$B$12,Paramètres!$A$1:$I$89,3,0)*0.475*44/12</f>
        <v>13.03176225049075</v>
      </c>
      <c r="CN31" s="22">
        <f t="shared" si="12"/>
        <v>20.39354509771087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27.4</v>
      </c>
      <c r="N32" s="13">
        <f>IF('Données projet'!$A$36&gt;35,N31+M32-V31,IF(A32&lt;'Données projet'!$A$36,$K$205^A32,IF(A32='Données projet'!$A$36,'Données projet'!$B$36,N31+M32-V31)))</f>
        <v>532.59999999999991</v>
      </c>
      <c r="O32" s="13">
        <f>N32*VLOOKUP('Données projet'!$B$9,Paramètres!$A$1:$I$89,3,0)*VLOOKUP('Données projet'!$B$9,Paramètres!$A$1:$I$89,5,0)</f>
        <v>297.72339999999991</v>
      </c>
      <c r="P32" s="13">
        <f t="shared" si="33"/>
        <v>70.698989284770079</v>
      </c>
      <c r="Q32" s="20">
        <f t="shared" si="2"/>
        <v>641.66899467097437</v>
      </c>
      <c r="R32" s="59">
        <f t="shared" si="0"/>
        <v>935.00232800430763</v>
      </c>
      <c r="S32" s="59">
        <f ca="1">AVERAGE(OFFSET($R$3,0,0,'Données projet'!$E$9+1,1))-AVERAGE(OFFSET($H$3,0,0,'Données projet'!$E$9+1,1))</f>
        <v>492.3498626914548</v>
      </c>
      <c r="T32" s="59">
        <f t="shared" si="34"/>
        <v>635.90304180030307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8.0829969086758382</v>
      </c>
      <c r="AB32" s="21">
        <f>EXP(-LN(2)/2)*AB31+(1-EXP(-LN(2)/2))/(LN(2)/2)*V32*Y32*VLOOKUP('Données projet'!$B$9,Paramètres!$A$1:$I$89,3,0)*0.475*44/12</f>
        <v>4.5517436538120748</v>
      </c>
      <c r="AC32" s="22">
        <f t="shared" si="3"/>
        <v>12.634740562487913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14.166666666666666</v>
      </c>
      <c r="AI32" s="13">
        <f>IF('Données projet'!$A$62&gt;35,AI31+AH32-AQ31,IF(A32&lt;'Données projet'!$A$62,$AF$205^A32,IF(A32='Données projet'!$A$62,'Données projet'!$B$62,AI31+AH32-AQ31)))</f>
        <v>209.83333333333329</v>
      </c>
      <c r="AJ32" s="13">
        <f>AI32*VLOOKUP('Données projet'!$B$10,Paramètres!$A$1:$I$89,3,0)*VLOOKUP('Données projet'!$B$10,Paramètres!$A$1:$I$89,5,0)</f>
        <v>130.93599999999998</v>
      </c>
      <c r="AK32" s="13">
        <f t="shared" si="35"/>
        <v>34.21255106176632</v>
      </c>
      <c r="AL32" s="20">
        <f t="shared" si="4"/>
        <v>287.63372643257628</v>
      </c>
      <c r="AM32" s="59">
        <f t="shared" si="5"/>
        <v>580.96705976590965</v>
      </c>
      <c r="AN32" s="59">
        <f ca="1">AVERAGE(OFFSET($AM$3,0,0,'Données projet'!$E$10+1,1))-AVERAGE(OFFSET($H$3,0,0,'Données projet'!$E$10+1,1))</f>
        <v>175.05987582828078</v>
      </c>
      <c r="AO32" s="59">
        <f t="shared" si="36"/>
        <v>268.54782308462387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2.4978872589565961</v>
      </c>
      <c r="AW32" s="21">
        <f>EXP(-LN(2)/2)*AW31+(1-EXP(-LN(2)/2))/(LN(2)/2)*AQ32*AT32*VLOOKUP('Données projet'!$B$10,Paramètres!$A$1:$I$89,3,0)*0.475*44/12</f>
        <v>4.0456481327464582</v>
      </c>
      <c r="AX32" s="21">
        <f t="shared" si="6"/>
        <v>6.5435353917030543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13.4</v>
      </c>
      <c r="BD32" s="12">
        <f>IF('Données projet'!$A$88&gt;35,BD31+BC32-BL31,IF(A32&lt;'Données projet'!$A$88,$BA$205^A32,IF(A32='Données projet'!$A$88,'Données projet'!$B$88,BD31+BC32-BL31)))</f>
        <v>211.60000000000005</v>
      </c>
      <c r="BE32" s="13">
        <f>BD32*VLOOKUP('Données projet'!$B$11,Paramètres!$A$1:$I$89,3,0)*VLOOKUP('Données projet'!$B$11,Paramètres!$A$1:$I$89,5,0)</f>
        <v>126.53680000000004</v>
      </c>
      <c r="BF32" s="13">
        <f t="shared" si="37"/>
        <v>33.194862281434972</v>
      </c>
      <c r="BG32" s="20">
        <f t="shared" si="7"/>
        <v>278.19931180683267</v>
      </c>
      <c r="BH32" s="59">
        <f t="shared" si="8"/>
        <v>571.53264514016598</v>
      </c>
      <c r="BI32" s="59">
        <f ca="1">AVERAGE(OFFSET($BH$3,0,0,'Données projet'!$E$11+1,1))-AVERAGE(OFFSET($H$3,0,0,'Données projet'!$E$11+1,1))</f>
        <v>381.78368385345919</v>
      </c>
      <c r="BJ32" s="59">
        <f t="shared" si="38"/>
        <v>257.35575295655639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31.8</v>
      </c>
      <c r="BY32" s="12">
        <f>IF('Données projet'!$A$114&gt;35,BY31+BX32-CG31,IF(A32&lt;'Données projet'!$A$114,$BV$205^A32,IF(A32='Données projet'!$A$114,'Données projet'!$B$114,BY31+BX32-CG31)))</f>
        <v>344.20000000000005</v>
      </c>
      <c r="BZ32" s="13">
        <f>BY32*VLOOKUP('Données projet'!$B$12,Paramètres!$A$1:$I$89,3,0)*VLOOKUP('Données projet'!$B$12,Paramètres!$A$1:$I$89,5,0)</f>
        <v>165.56020000000001</v>
      </c>
      <c r="CA32" s="13">
        <f t="shared" si="39"/>
        <v>42.094129765293275</v>
      </c>
      <c r="CB32" s="20">
        <f t="shared" si="10"/>
        <v>361.66462434121917</v>
      </c>
      <c r="CC32" s="59">
        <f t="shared" si="11"/>
        <v>654.99795767455248</v>
      </c>
      <c r="CD32" s="59">
        <f ca="1">AVERAGE(OFFSET($CC$3,0,0,'Données projet'!$E$12+1,1))-AVERAGE(OFFSET($H$3,0,0,'Données projet'!$E$12+1,1))</f>
        <v>415.97633163853953</v>
      </c>
      <c r="CE32" s="59">
        <f t="shared" si="40"/>
        <v>356.23532720804423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7.1604745081235492</v>
      </c>
      <c r="CM32" s="21">
        <f>EXP(-LN(2)/2)*CM31+(1-EXP(-LN(2)/2))/(LN(2)/2)*CG32*CJ32*VLOOKUP('Données projet'!$B$12,Paramètres!$A$1:$I$89,3,0)*0.475*44/12</f>
        <v>9.2148474581328745</v>
      </c>
      <c r="CN32" s="22">
        <f t="shared" si="12"/>
        <v>16.375321966256422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560</v>
      </c>
      <c r="L33" s="12">
        <f>VLOOKUP(A33,'Données projet'!$A$35:$I$55,9,0)</f>
        <v>27.4</v>
      </c>
      <c r="M33" s="12">
        <f t="array" ref="M33">INDEX(L:L,MIN(IF(ISNUMBER(L33:L229),ROW(L33:L229),"")))</f>
        <v>27.4</v>
      </c>
      <c r="N33" s="13">
        <f>IF('Données projet'!$A$36&gt;35,N32+M33-V32,IF(A33&lt;'Données projet'!$A$36,$K$205^A33,IF(A33='Données projet'!$A$36,'Données projet'!$B$36,N32+M33-V32)))</f>
        <v>559.99999999999989</v>
      </c>
      <c r="O33" s="13">
        <f>N33*VLOOKUP('Données projet'!$B$9,Paramètres!$A$1:$I$89,3,0)*VLOOKUP('Données projet'!$B$9,Paramètres!$A$1:$I$89,5,0)</f>
        <v>313.03999999999996</v>
      </c>
      <c r="P33" s="13">
        <f t="shared" si="33"/>
        <v>73.903342138054057</v>
      </c>
      <c r="Q33" s="20">
        <f t="shared" si="2"/>
        <v>673.92632089044412</v>
      </c>
      <c r="R33" s="59">
        <f t="shared" si="0"/>
        <v>967.25965422377749</v>
      </c>
      <c r="S33" s="59">
        <f ca="1">AVERAGE(OFFSET($R$3,0,0,'Données projet'!$E$9+1,1))-AVERAGE(OFFSET($H$3,0,0,'Données projet'!$E$9+1,1))</f>
        <v>492.3498626914548</v>
      </c>
      <c r="T33" s="59">
        <f t="shared" si="34"/>
        <v>635.90304180030307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0.33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5.465220040453481</v>
      </c>
      <c r="AA33" s="21">
        <f>EXP(-LN(2)/25)*AA32+(1-EXP(-LN(2)/25))/(LN(2)/25)*Calculateur!V33*Calculateur!X33*VLOOKUP('Données projet'!$B$9,Paramètres!$A$1:$I$89,3,0)*0.475*44/12</f>
        <v>24.193071093368133</v>
      </c>
      <c r="AB33" s="21">
        <f>EXP(-LN(2)/2)*AB32+(1-EXP(-LN(2)/2))/(LN(2)/2)*V33*Y33*VLOOKUP('Données projet'!$B$9,Paramètres!$A$1:$I$89,3,0)*0.475*44/12</f>
        <v>11.699668051685096</v>
      </c>
      <c r="AC33" s="22">
        <f t="shared" si="3"/>
        <v>41.357959185506708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224</v>
      </c>
      <c r="AG33" s="12">
        <f>VLOOKUP(A33,'Données projet'!$A$61:$I$81,9,0)</f>
        <v>14.166666666666666</v>
      </c>
      <c r="AH33" s="12">
        <f t="array" ref="AH33">INDEX(AG:AG,MIN(IF(ISNUMBER(AG33:AG229),ROW(AG33:AG229),"")))</f>
        <v>14.166666666666666</v>
      </c>
      <c r="AI33" s="13">
        <f>IF('Données projet'!$A$62&gt;35,AI32+AH33-AQ32,IF(A33&lt;'Données projet'!$A$62,$AF$205^A33,IF(A33='Données projet'!$A$62,'Données projet'!$B$62,AI32+AH33-AQ32)))</f>
        <v>223.99999999999994</v>
      </c>
      <c r="AJ33" s="13">
        <f>AI33*VLOOKUP('Données projet'!$B$10,Paramètres!$A$1:$I$89,3,0)*VLOOKUP('Données projet'!$B$10,Paramètres!$A$1:$I$89,5,0)</f>
        <v>139.77599999999995</v>
      </c>
      <c r="AK33" s="13">
        <f t="shared" si="35"/>
        <v>36.245685459195258</v>
      </c>
      <c r="AL33" s="20">
        <f t="shared" si="4"/>
        <v>306.57110217476503</v>
      </c>
      <c r="AM33" s="59">
        <f t="shared" si="5"/>
        <v>599.90443550809835</v>
      </c>
      <c r="AN33" s="59">
        <f ca="1">AVERAGE(OFFSET($AM$3,0,0,'Données projet'!$E$10+1,1))-AVERAGE(OFFSET($H$3,0,0,'Données projet'!$E$10+1,1))</f>
        <v>175.05987582828078</v>
      </c>
      <c r="AO33" s="59">
        <f t="shared" si="36"/>
        <v>268.54782308462387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53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0.36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5.2646567604355772</v>
      </c>
      <c r="AV33" s="21">
        <f>EXP(-LN(2)/25)*AV32+(1-EXP(-LN(2)/25))/(LN(2)/25)*Calculateur!AQ33*Calculateur!AS33*VLOOKUP('Données projet'!$B$10,Paramètres!$A$1:$I$89,3,0)*0.475*44/12</f>
        <v>18.161365802836993</v>
      </c>
      <c r="AW33" s="21">
        <f>EXP(-LN(2)/2)*AW32+(1-EXP(-LN(2)/2))/(LN(2)/2)*AQ33*AT33*VLOOKUP('Données projet'!$B$10,Paramètres!$A$1:$I$89,3,0)*0.475*44/12</f>
        <v>10.34974253771877</v>
      </c>
      <c r="AX33" s="21">
        <f t="shared" si="6"/>
        <v>33.775765100991343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225</v>
      </c>
      <c r="BB33" s="12">
        <f>VLOOKUP(A33,'Données projet'!$A$87:$I$107,9,0)</f>
        <v>13.4</v>
      </c>
      <c r="BC33" s="12">
        <f t="array" ref="BC33">INDEX(BB:BB,MIN(IF(ISNUMBER(BB33:BB229),ROW(BB33:BB229),"")))</f>
        <v>13.4</v>
      </c>
      <c r="BD33" s="12">
        <f>IF('Données projet'!$A$88&gt;35,BD32+BC33-BL32,IF(A33&lt;'Données projet'!$A$88,$BA$205^A33,IF(A33='Données projet'!$A$88,'Données projet'!$B$88,BD32+BC33-BL32)))</f>
        <v>225.00000000000006</v>
      </c>
      <c r="BE33" s="13">
        <f>BD33*VLOOKUP('Données projet'!$B$11,Paramètres!$A$1:$I$89,3,0)*VLOOKUP('Données projet'!$B$11,Paramètres!$A$1:$I$89,5,0)</f>
        <v>134.55000000000004</v>
      </c>
      <c r="BF33" s="13">
        <f t="shared" si="37"/>
        <v>35.045616486142094</v>
      </c>
      <c r="BG33" s="20">
        <f t="shared" si="7"/>
        <v>295.37903204669755</v>
      </c>
      <c r="BH33" s="59">
        <f t="shared" si="8"/>
        <v>588.71236538003086</v>
      </c>
      <c r="BI33" s="59">
        <f ca="1">AVERAGE(OFFSET($BH$3,0,0,'Données projet'!$E$11+1,1))-AVERAGE(OFFSET($H$3,0,0,'Données projet'!$E$11+1,1))</f>
        <v>381.78368385345919</v>
      </c>
      <c r="BJ33" s="59">
        <f t="shared" si="38"/>
        <v>257.35575295655639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9.0000000000000011E-2</v>
      </c>
      <c r="BO33" s="16">
        <f>IF(ISNA(VLOOKUP(A33,'Données projet'!$A$87:$I$107,7,0)),0%,VLOOKUP(A33,'Données projet'!$A$87:$I$107,7,0))</f>
        <v>0.8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1.5645209122604922</v>
      </c>
      <c r="BR33" s="21">
        <f>EXP(-LN(2)/2)*BR32+(1-EXP(-LN(2)/2))/(LN(2)/2)*BL33*BO33*VLOOKUP('Données projet'!$B$11,Paramètres!$A$1:$I$89,3,0)*0.475*44/12</f>
        <v>11.916518485006549</v>
      </c>
      <c r="BS33" s="22">
        <f t="shared" si="9"/>
        <v>13.481039397267041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376</v>
      </c>
      <c r="BW33" s="12">
        <f>VLOOKUP(A33,'Données projet'!$A$113:$I$133,9,0)</f>
        <v>31.8</v>
      </c>
      <c r="BX33" s="12">
        <f t="array" ref="BX33">INDEX(BW:BW,MIN(IF(ISNUMBER(BW33:BW229),ROW(BW33:BW229),"")))</f>
        <v>31.8</v>
      </c>
      <c r="BY33" s="12">
        <f>IF('Données projet'!$A$114&gt;35,BY32+BX33-CG32,IF(A33&lt;'Données projet'!$A$114,$BV$205^A33,IF(A33='Données projet'!$A$114,'Données projet'!$B$114,BY32+BX33-CG32)))</f>
        <v>376.00000000000006</v>
      </c>
      <c r="BZ33" s="13">
        <f>BY33*VLOOKUP('Données projet'!$B$12,Paramètres!$A$1:$I$89,3,0)*VLOOKUP('Données projet'!$B$12,Paramètres!$A$1:$I$89,5,0)</f>
        <v>180.85600000000005</v>
      </c>
      <c r="CA33" s="13">
        <f t="shared" si="39"/>
        <v>45.512577778862394</v>
      </c>
      <c r="CB33" s="20">
        <f t="shared" si="10"/>
        <v>394.25860629818544</v>
      </c>
      <c r="CC33" s="59">
        <f t="shared" si="11"/>
        <v>687.5919396315187</v>
      </c>
      <c r="CD33" s="59">
        <f ca="1">AVERAGE(OFFSET($CC$3,0,0,'Données projet'!$E$12+1,1))-AVERAGE(OFFSET($H$3,0,0,'Données projet'!$E$12+1,1))</f>
        <v>415.97633163853953</v>
      </c>
      <c r="CE33" s="59">
        <f t="shared" si="40"/>
        <v>356.23532720804423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77</v>
      </c>
      <c r="CH33" s="16">
        <f>IF(ISNA(VLOOKUP(A33,'Données projet'!$A$113:$I$133,5,0)),0%,VLOOKUP(A33,'Données projet'!$A$113:$I$133,5,0)*VLOOKUP('Données projet'!$B$12,Paramètres!$A$1:$I$89,7,0))</f>
        <v>5.5000000000000007E-2</v>
      </c>
      <c r="CI33" s="16">
        <f>IF(ISNA(VLOOKUP(A33,'Données projet'!$A$113:$I$133,6,0)),0%,VLOOKUP(A33,'Données projet'!$A$113:$I$133,6,0)*VLOOKUP('Données projet'!$B$12,Paramètres!$A$1:$I$89,7,0))</f>
        <v>0.16500000000000001</v>
      </c>
      <c r="CJ33" s="16">
        <f>IF(ISNA(VLOOKUP(A33,'Données projet'!$A$113:$I$133,7,0)),0%,VLOOKUP(A33,'Données projet'!$A$113:$I$133,7,0))</f>
        <v>0.6</v>
      </c>
      <c r="CK33" s="21">
        <f>EXP(-LN(2)/35)*CK32+(1-EXP(-LN(2)/35))/(LN(2)/35)*CG33*CH33*VLOOKUP('Données projet'!$B$12,Paramètres!$A$1:$I$89,3,0)*0.475*44/12</f>
        <v>2.7022582254862839</v>
      </c>
      <c r="CL33" s="21">
        <f>EXP(-LN(2)/25)*CL32+(1-EXP(-LN(2)/25))/(LN(2)/25)*Calculateur!CG33*Calculateur!CI33*VLOOKUP('Données projet'!$B$12,Paramètres!$A$1:$I$89,3,0)*0.475*44/12</f>
        <v>15.039526171780235</v>
      </c>
      <c r="CM33" s="21">
        <f>EXP(-LN(2)/2)*CM32+(1-EXP(-LN(2)/2))/(LN(2)/2)*CG33*CJ33*VLOOKUP('Données projet'!$B$12,Paramètres!$A$1:$I$89,3,0)*0.475*44/12</f>
        <v>31.676573687338006</v>
      </c>
      <c r="CN33" s="22">
        <f t="shared" si="12"/>
        <v>49.41835808460452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24.6</v>
      </c>
      <c r="N34" s="13">
        <f>IF('Données projet'!$A$36&gt;35,N33+M34-V33,IF(A34&lt;'Données projet'!$A$36,$K$205^A34,IF(A34='Données projet'!$A$36,'Données projet'!$B$36,N33+M34-V33)))</f>
        <v>517.59999999999991</v>
      </c>
      <c r="O34" s="13">
        <f>N34*VLOOKUP('Données projet'!$B$9,Paramètres!$A$1:$I$89,3,0)*VLOOKUP('Données projet'!$B$9,Paramètres!$A$1:$I$89,5,0)</f>
        <v>289.33839999999998</v>
      </c>
      <c r="P34" s="13">
        <f t="shared" si="33"/>
        <v>68.936697354141856</v>
      </c>
      <c r="Q34" s="20">
        <f t="shared" si="2"/>
        <v>623.99579455846367</v>
      </c>
      <c r="R34" s="59">
        <f t="shared" si="0"/>
        <v>917.32912789179704</v>
      </c>
      <c r="S34" s="59">
        <f ca="1">AVERAGE(OFFSET($R$3,0,0,'Données projet'!$E$9+1,1))-AVERAGE(OFFSET($H$3,0,0,'Données projet'!$E$9+1,1))</f>
        <v>492.3498626914548</v>
      </c>
      <c r="T34" s="59">
        <f t="shared" si="34"/>
        <v>635.90304180030307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5.3580504089152612</v>
      </c>
      <c r="AA34" s="21">
        <f>EXP(-LN(2)/25)*AA33+(1-EXP(-LN(2)/25))/(LN(2)/25)*Calculateur!V34*Calculateur!X34*VLOOKUP('Données projet'!$B$9,Paramètres!$A$1:$I$89,3,0)*0.475*44/12</f>
        <v>23.531510292061665</v>
      </c>
      <c r="AB34" s="21">
        <f>EXP(-LN(2)/2)*AB33+(1-EXP(-LN(2)/2))/(LN(2)/2)*V34*Y34*VLOOKUP('Données projet'!$B$9,Paramètres!$A$1:$I$89,3,0)*0.475*44/12</f>
        <v>8.2729146169781345</v>
      </c>
      <c r="AC34" s="22">
        <f t="shared" si="3"/>
        <v>37.162475317955057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12.833333333333334</v>
      </c>
      <c r="AI34" s="13">
        <f>IF('Données projet'!$A$62&gt;35,AI33+AH34-AQ33,IF(A34&lt;'Données projet'!$A$62,$AF$205^A34,IF(A34='Données projet'!$A$62,'Données projet'!$B$62,AI33+AH34-AQ33)))</f>
        <v>183.83333333333329</v>
      </c>
      <c r="AJ34" s="13">
        <f>AI34*VLOOKUP('Données projet'!$B$10,Paramètres!$A$1:$I$89,3,0)*VLOOKUP('Données projet'!$B$10,Paramètres!$A$1:$I$89,5,0)</f>
        <v>114.71199999999997</v>
      </c>
      <c r="AK34" s="13">
        <f t="shared" si="35"/>
        <v>30.438443898016164</v>
      </c>
      <c r="AL34" s="20">
        <f t="shared" si="4"/>
        <v>252.80368978904474</v>
      </c>
      <c r="AM34" s="59">
        <f t="shared" si="5"/>
        <v>546.13702312237808</v>
      </c>
      <c r="AN34" s="59">
        <f ca="1">AVERAGE(OFFSET($AM$3,0,0,'Données projet'!$E$10+1,1))-AVERAGE(OFFSET($H$3,0,0,'Données projet'!$E$10+1,1))</f>
        <v>175.05987582828078</v>
      </c>
      <c r="AO34" s="59">
        <f t="shared" si="36"/>
        <v>268.54782308462387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5.1614200524869869</v>
      </c>
      <c r="AV34" s="21">
        <f>EXP(-LN(2)/25)*AV33+(1-EXP(-LN(2)/25))/(LN(2)/25)*Calculateur!AQ34*Calculateur!AS34*VLOOKUP('Données projet'!$B$10,Paramètres!$A$1:$I$89,3,0)*0.475*44/12</f>
        <v>17.664742299893696</v>
      </c>
      <c r="AW34" s="21">
        <f>EXP(-LN(2)/2)*AW33+(1-EXP(-LN(2)/2))/(LN(2)/2)*AQ34*AT34*VLOOKUP('Données projet'!$B$10,Paramètres!$A$1:$I$89,3,0)*0.475*44/12</f>
        <v>7.3183731319558101</v>
      </c>
      <c r="AX34" s="21">
        <f t="shared" si="6"/>
        <v>30.144535484336494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13.2</v>
      </c>
      <c r="BD34" s="12">
        <f>IF('Données projet'!$A$88&gt;35,BD33+BC34-BL33,IF(A34&lt;'Données projet'!$A$88,$BA$205^A34,IF(A34='Données projet'!$A$88,'Données projet'!$B$88,BD33+BC34-BL33)))</f>
        <v>216.20000000000005</v>
      </c>
      <c r="BE34" s="13">
        <f>BD34*VLOOKUP('Données projet'!$B$11,Paramètres!$A$1:$I$89,3,0)*VLOOKUP('Données projet'!$B$11,Paramètres!$A$1:$I$89,5,0)</f>
        <v>129.28760000000003</v>
      </c>
      <c r="BF34" s="13">
        <f t="shared" si="37"/>
        <v>33.831691999989665</v>
      </c>
      <c r="BG34" s="20">
        <f t="shared" si="7"/>
        <v>284.09943356664866</v>
      </c>
      <c r="BH34" s="59">
        <f t="shared" si="8"/>
        <v>577.43276689998197</v>
      </c>
      <c r="BI34" s="59">
        <f ca="1">AVERAGE(OFFSET($BH$3,0,0,'Données projet'!$E$11+1,1))-AVERAGE(OFFSET($H$3,0,0,'Données projet'!$E$11+1,1))</f>
        <v>381.78368385345919</v>
      </c>
      <c r="BJ34" s="59">
        <f t="shared" si="38"/>
        <v>257.35575295655639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1.5217390056401501</v>
      </c>
      <c r="BR34" s="21">
        <f>EXP(-LN(2)/2)*BR33+(1-EXP(-LN(2)/2))/(LN(2)/2)*BL34*BO34*VLOOKUP('Données projet'!$B$11,Paramètres!$A$1:$I$89,3,0)*0.475*44/12</f>
        <v>8.4262510288829748</v>
      </c>
      <c r="BS34" s="22">
        <f t="shared" si="9"/>
        <v>9.9479900345231247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30.8</v>
      </c>
      <c r="BY34" s="12">
        <f>IF('Données projet'!$A$114&gt;35,BY33+BX34-CG33,IF(A34&lt;'Données projet'!$A$114,$BV$205^A34,IF(A34='Données projet'!$A$114,'Données projet'!$B$114,BY33+BX34-CG33)))</f>
        <v>329.80000000000007</v>
      </c>
      <c r="BZ34" s="13">
        <f>BY34*VLOOKUP('Données projet'!$B$12,Paramètres!$A$1:$I$89,3,0)*VLOOKUP('Données projet'!$B$12,Paramètres!$A$1:$I$89,5,0)</f>
        <v>158.63380000000004</v>
      </c>
      <c r="CA34" s="13">
        <f t="shared" si="39"/>
        <v>40.534211557493919</v>
      </c>
      <c r="CB34" s="20">
        <f t="shared" si="10"/>
        <v>346.88428679596865</v>
      </c>
      <c r="CC34" s="59">
        <f t="shared" si="11"/>
        <v>640.21762012930196</v>
      </c>
      <c r="CD34" s="59">
        <f ca="1">AVERAGE(OFFSET($CC$3,0,0,'Données projet'!$E$12+1,1))-AVERAGE(OFFSET($H$3,0,0,'Données projet'!$E$12+1,1))</f>
        <v>415.97633163853953</v>
      </c>
      <c r="CE34" s="59">
        <f t="shared" si="40"/>
        <v>356.23532720804423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2.6492685898992678</v>
      </c>
      <c r="CL34" s="21">
        <f>EXP(-LN(2)/25)*CL33+(1-EXP(-LN(2)/25))/(LN(2)/25)*Calculateur!CG34*Calculateur!CI34*VLOOKUP('Données projet'!$B$12,Paramètres!$A$1:$I$89,3,0)*0.475*44/12</f>
        <v>14.628269537718596</v>
      </c>
      <c r="CM34" s="21">
        <f>EXP(-LN(2)/2)*CM33+(1-EXP(-LN(2)/2))/(LN(2)/2)*CG34*CJ34*VLOOKUP('Données projet'!$B$12,Paramètres!$A$1:$I$89,3,0)*0.475*44/12</f>
        <v>22.398720059072065</v>
      </c>
      <c r="CN34" s="22">
        <f t="shared" si="12"/>
        <v>39.676258186689928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24.6</v>
      </c>
      <c r="N35" s="13">
        <f>IF('Données projet'!$A$36&gt;35,N34+M35-V34,IF(A35&lt;'Données projet'!$A$36,$K$205^A35,IF(A35='Données projet'!$A$36,'Données projet'!$B$36,N34+M35-V34)))</f>
        <v>542.19999999999993</v>
      </c>
      <c r="O35" s="13">
        <f>N35*VLOOKUP('Données projet'!$B$9,Paramètres!$A$1:$I$89,3,0)*VLOOKUP('Données projet'!$B$9,Paramètres!$A$1:$I$89,5,0)</f>
        <v>303.08979999999997</v>
      </c>
      <c r="P35" s="13">
        <f t="shared" si="33"/>
        <v>71.823817446744386</v>
      </c>
      <c r="Q35" s="20">
        <f t="shared" ref="Q35:Q66" si="53">(O35+P35)*0.475*44/12</f>
        <v>652.97455038641306</v>
      </c>
      <c r="R35" s="59">
        <f t="shared" si="0"/>
        <v>946.30788371974631</v>
      </c>
      <c r="S35" s="59">
        <f ca="1">AVERAGE(OFFSET($R$3,0,0,'Données projet'!$E$9+1,1))-AVERAGE(OFFSET($H$3,0,0,'Données projet'!$E$9+1,1))</f>
        <v>492.3498626914548</v>
      </c>
      <c r="T35" s="59">
        <f t="shared" si="34"/>
        <v>635.90304180030307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5.2529823084844853</v>
      </c>
      <c r="AA35" s="21">
        <f>EXP(-LN(2)/25)*AA34+(1-EXP(-LN(2)/25))/(LN(2)/25)*Calculateur!V35*Calculateur!X35*VLOOKUP('Données projet'!$B$9,Paramètres!$A$1:$I$89,3,0)*0.475*44/12</f>
        <v>22.888039905656893</v>
      </c>
      <c r="AB35" s="21">
        <f>EXP(-LN(2)/2)*AB34+(1-EXP(-LN(2)/2))/(LN(2)/2)*V35*Y35*VLOOKUP('Données projet'!$B$9,Paramètres!$A$1:$I$89,3,0)*0.475*44/12</f>
        <v>5.849834025842549</v>
      </c>
      <c r="AC35" s="22">
        <f t="shared" si="3"/>
        <v>33.990856239983927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12.833333333333334</v>
      </c>
      <c r="AI35" s="13">
        <f>IF('Données projet'!$A$62&gt;35,AI34+AH35-AQ34,IF(A35&lt;'Données projet'!$A$62,$AF$205^A35,IF(A35='Données projet'!$A$62,'Données projet'!$B$62,AI34+AH35-AQ34)))</f>
        <v>196.66666666666663</v>
      </c>
      <c r="AJ35" s="13">
        <f>AI35*VLOOKUP('Données projet'!$B$10,Paramètres!$A$1:$I$89,3,0)*VLOOKUP('Données projet'!$B$10,Paramètres!$A$1:$I$89,5,0)</f>
        <v>122.71999999999997</v>
      </c>
      <c r="AK35" s="13">
        <f t="shared" si="35"/>
        <v>32.308564708068729</v>
      </c>
      <c r="AL35" s="20">
        <f t="shared" si="4"/>
        <v>270.00808353321963</v>
      </c>
      <c r="AM35" s="59">
        <f t="shared" si="5"/>
        <v>563.34141686655289</v>
      </c>
      <c r="AN35" s="59">
        <f ca="1">AVERAGE(OFFSET($AM$3,0,0,'Données projet'!$E$10+1,1))-AVERAGE(OFFSET($H$3,0,0,'Données projet'!$E$10+1,1))</f>
        <v>175.05987582828078</v>
      </c>
      <c r="AO35" s="59">
        <f t="shared" si="36"/>
        <v>268.54782308462387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5.0602077534130947</v>
      </c>
      <c r="AV35" s="21">
        <f>EXP(-LN(2)/25)*AV34+(1-EXP(-LN(2)/25))/(LN(2)/25)*Calculateur!AQ35*Calculateur!AS35*VLOOKUP('Données projet'!$B$10,Paramètres!$A$1:$I$89,3,0)*0.475*44/12</f>
        <v>17.181698992754679</v>
      </c>
      <c r="AW35" s="21">
        <f>EXP(-LN(2)/2)*AW34+(1-EXP(-LN(2)/2))/(LN(2)/2)*AQ35*AT35*VLOOKUP('Données projet'!$B$10,Paramètres!$A$1:$I$89,3,0)*0.475*44/12</f>
        <v>5.1748712688593859</v>
      </c>
      <c r="AX35" s="21">
        <f t="shared" si="6"/>
        <v>27.416778015027162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13.2</v>
      </c>
      <c r="BD35" s="12">
        <f>IF('Données projet'!$A$88&gt;35,BD34+BC35-BL34,IF(A35&lt;'Données projet'!$A$88,$BA$205^A35,IF(A35='Données projet'!$A$88,'Données projet'!$B$88,BD34+BC35-BL34)))</f>
        <v>229.40000000000003</v>
      </c>
      <c r="BE35" s="13">
        <f>BD35*VLOOKUP('Données projet'!$B$11,Paramètres!$A$1:$I$89,3,0)*VLOOKUP('Données projet'!$B$11,Paramètres!$A$1:$I$89,5,0)</f>
        <v>137.18120000000002</v>
      </c>
      <c r="BF35" s="13">
        <f t="shared" si="37"/>
        <v>35.650495570194252</v>
      </c>
      <c r="BG35" s="20">
        <f t="shared" si="7"/>
        <v>301.01520311808832</v>
      </c>
      <c r="BH35" s="59">
        <f t="shared" si="8"/>
        <v>594.34853645142164</v>
      </c>
      <c r="BI35" s="59">
        <f ca="1">AVERAGE(OFFSET($BH$3,0,0,'Données projet'!$E$11+1,1))-AVERAGE(OFFSET($H$3,0,0,'Données projet'!$E$11+1,1))</f>
        <v>381.78368385345919</v>
      </c>
      <c r="BJ35" s="59">
        <f t="shared" si="38"/>
        <v>257.35575295655639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1.4801269725061439</v>
      </c>
      <c r="BR35" s="21">
        <f>EXP(-LN(2)/2)*BR34+(1-EXP(-LN(2)/2))/(LN(2)/2)*BL35*BO35*VLOOKUP('Données projet'!$B$11,Paramètres!$A$1:$I$89,3,0)*0.475*44/12</f>
        <v>5.9582592425032752</v>
      </c>
      <c r="BS35" s="22">
        <f t="shared" si="9"/>
        <v>7.4383862150094195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30.8</v>
      </c>
      <c r="BY35" s="12">
        <f>IF('Données projet'!$A$114&gt;35,BY34+BX35-CG34,IF(A35&lt;'Données projet'!$A$114,$BV$205^A35,IF(A35='Données projet'!$A$114,'Données projet'!$B$114,BY34+BX35-CG34)))</f>
        <v>360.60000000000008</v>
      </c>
      <c r="BZ35" s="13">
        <f>BY35*VLOOKUP('Données projet'!$B$12,Paramètres!$A$1:$I$89,3,0)*VLOOKUP('Données projet'!$B$12,Paramètres!$A$1:$I$89,5,0)</f>
        <v>173.44860000000003</v>
      </c>
      <c r="CA35" s="13">
        <f t="shared" si="39"/>
        <v>43.861490184725845</v>
      </c>
      <c r="CB35" s="20">
        <f t="shared" si="10"/>
        <v>378.48174040506427</v>
      </c>
      <c r="CC35" s="59">
        <f t="shared" si="11"/>
        <v>671.81507373839759</v>
      </c>
      <c r="CD35" s="59">
        <f ca="1">AVERAGE(OFFSET($CC$3,0,0,'Données projet'!$E$12+1,1))-AVERAGE(OFFSET($H$3,0,0,'Données projet'!$E$12+1,1))</f>
        <v>415.97633163853953</v>
      </c>
      <c r="CE35" s="59">
        <f t="shared" si="40"/>
        <v>356.23532720804423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2.5973180487456267</v>
      </c>
      <c r="CL35" s="21">
        <f>EXP(-LN(2)/25)*CL34+(1-EXP(-LN(2)/25))/(LN(2)/25)*Calculateur!CG35*Calculateur!CI35*VLOOKUP('Données projet'!$B$12,Paramètres!$A$1:$I$89,3,0)*0.475*44/12</f>
        <v>14.22825873794242</v>
      </c>
      <c r="CM35" s="21">
        <f>EXP(-LN(2)/2)*CM34+(1-EXP(-LN(2)/2))/(LN(2)/2)*CG35*CJ35*VLOOKUP('Données projet'!$B$12,Paramètres!$A$1:$I$89,3,0)*0.475*44/12</f>
        <v>15.838286843669005</v>
      </c>
      <c r="CN35" s="22">
        <f t="shared" si="12"/>
        <v>32.663863630357049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24.6</v>
      </c>
      <c r="N36" s="13">
        <f>IF('Données projet'!$A$36&gt;35,N35+M36-V35,IF(A36&lt;'Données projet'!$A$36,$K$205^A36,IF(A36='Données projet'!$A$36,'Données projet'!$B$36,N35+M36-V35)))</f>
        <v>566.79999999999995</v>
      </c>
      <c r="O36" s="13">
        <f>N36*VLOOKUP('Données projet'!$B$9,Paramètres!$A$1:$I$89,3,0)*VLOOKUP('Données projet'!$B$9,Paramètres!$A$1:$I$89,5,0)</f>
        <v>316.84120000000001</v>
      </c>
      <c r="P36" s="13">
        <f t="shared" si="33"/>
        <v>74.695724902330795</v>
      </c>
      <c r="Q36" s="20">
        <f t="shared" si="53"/>
        <v>681.9268108715595</v>
      </c>
      <c r="R36" s="59">
        <f t="shared" si="0"/>
        <v>975.26014420489287</v>
      </c>
      <c r="S36" s="59">
        <f ca="1">AVERAGE(OFFSET($R$3,0,0,'Données projet'!$E$9+1,1))-AVERAGE(OFFSET($H$3,0,0,'Données projet'!$E$9+1,1))</f>
        <v>492.3498626914548</v>
      </c>
      <c r="T36" s="59">
        <f t="shared" si="34"/>
        <v>635.90304180030307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5.1499745294179435</v>
      </c>
      <c r="AA36" s="21">
        <f>EXP(-LN(2)/25)*AA35+(1-EXP(-LN(2)/25))/(LN(2)/25)*Calculateur!V36*Calculateur!X36*VLOOKUP('Données projet'!$B$9,Paramètres!$A$1:$I$89,3,0)*0.475*44/12</f>
        <v>22.262165250806998</v>
      </c>
      <c r="AB36" s="21">
        <f>EXP(-LN(2)/2)*AB35+(1-EXP(-LN(2)/2))/(LN(2)/2)*V36*Y36*VLOOKUP('Données projet'!$B$9,Paramètres!$A$1:$I$89,3,0)*0.475*44/12</f>
        <v>4.1364573084890681</v>
      </c>
      <c r="AC36" s="22">
        <f t="shared" si="3"/>
        <v>31.548597088714008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12.833333333333334</v>
      </c>
      <c r="AI36" s="13">
        <f>IF('Données projet'!$A$62&gt;35,AI35+AH36-AQ35,IF(A36&lt;'Données projet'!$A$62,$AF$205^A36,IF(A36='Données projet'!$A$62,'Données projet'!$B$62,AI35+AH36-AQ35)))</f>
        <v>209.49999999999997</v>
      </c>
      <c r="AJ36" s="13">
        <f>AI36*VLOOKUP('Données projet'!$B$10,Paramètres!$A$1:$I$89,3,0)*VLOOKUP('Données projet'!$B$10,Paramètres!$A$1:$I$89,5,0)</f>
        <v>130.72799999999998</v>
      </c>
      <c r="AK36" s="13">
        <f t="shared" si="35"/>
        <v>34.164524045585857</v>
      </c>
      <c r="AL36" s="20">
        <f t="shared" si="4"/>
        <v>287.18781271272866</v>
      </c>
      <c r="AM36" s="59">
        <f t="shared" si="5"/>
        <v>580.52114604606197</v>
      </c>
      <c r="AN36" s="59">
        <f ca="1">AVERAGE(OFFSET($AM$3,0,0,'Données projet'!$E$10+1,1))-AVERAGE(OFFSET($H$3,0,0,'Données projet'!$E$10+1,1))</f>
        <v>175.05987582828078</v>
      </c>
      <c r="AO36" s="59">
        <f t="shared" si="36"/>
        <v>268.54782308462387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4.9609801657906347</v>
      </c>
      <c r="AV36" s="21">
        <f>EXP(-LN(2)/25)*AV35+(1-EXP(-LN(2)/25))/(LN(2)/25)*Calculateur!AQ36*Calculateur!AS36*VLOOKUP('Données projet'!$B$10,Paramètres!$A$1:$I$89,3,0)*0.475*44/12</f>
        <v>16.711864530251521</v>
      </c>
      <c r="AW36" s="21">
        <f>EXP(-LN(2)/2)*AW35+(1-EXP(-LN(2)/2))/(LN(2)/2)*AQ36*AT36*VLOOKUP('Données projet'!$B$10,Paramètres!$A$1:$I$89,3,0)*0.475*44/12</f>
        <v>3.6591865659779055</v>
      </c>
      <c r="AX36" s="21">
        <f t="shared" si="6"/>
        <v>25.33203126202006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13.2</v>
      </c>
      <c r="BD36" s="12">
        <f>IF('Données projet'!$A$88&gt;35,BD35+BC36-BL35,IF(A36&lt;'Données projet'!$A$88,$BA$205^A36,IF(A36='Données projet'!$A$88,'Données projet'!$B$88,BD35+BC36-BL35)))</f>
        <v>242.60000000000002</v>
      </c>
      <c r="BE36" s="13">
        <f>BD36*VLOOKUP('Données projet'!$B$11,Paramètres!$A$1:$I$89,3,0)*VLOOKUP('Données projet'!$B$11,Paramètres!$A$1:$I$89,5,0)</f>
        <v>145.07480000000004</v>
      </c>
      <c r="BF36" s="13">
        <f t="shared" si="37"/>
        <v>37.457150750265185</v>
      </c>
      <c r="BG36" s="20">
        <f t="shared" si="7"/>
        <v>317.90981422337859</v>
      </c>
      <c r="BH36" s="59">
        <f t="shared" si="8"/>
        <v>611.24314755671185</v>
      </c>
      <c r="BI36" s="59">
        <f ca="1">AVERAGE(OFFSET($BH$3,0,0,'Données projet'!$E$11+1,1))-AVERAGE(OFFSET($H$3,0,0,'Données projet'!$E$11+1,1))</f>
        <v>381.78368385345919</v>
      </c>
      <c r="BJ36" s="59">
        <f t="shared" si="38"/>
        <v>257.35575295655639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1.4396528226064689</v>
      </c>
      <c r="BR36" s="21">
        <f>EXP(-LN(2)/2)*BR35+(1-EXP(-LN(2)/2))/(LN(2)/2)*BL36*BO36*VLOOKUP('Données projet'!$B$11,Paramètres!$A$1:$I$89,3,0)*0.475*44/12</f>
        <v>4.2131255144414883</v>
      </c>
      <c r="BS36" s="22">
        <f t="shared" si="9"/>
        <v>5.6527783370479572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30.8</v>
      </c>
      <c r="BY36" s="12">
        <f>IF('Données projet'!$A$114&gt;35,BY35+BX36-CG35,IF(A36&lt;'Données projet'!$A$114,$BV$205^A36,IF(A36='Données projet'!$A$114,'Données projet'!$B$114,BY35+BX36-CG35)))</f>
        <v>391.40000000000009</v>
      </c>
      <c r="BZ36" s="13">
        <f>BY36*VLOOKUP('Données projet'!$B$12,Paramètres!$A$1:$I$89,3,0)*VLOOKUP('Données projet'!$B$12,Paramètres!$A$1:$I$89,5,0)</f>
        <v>188.26340000000005</v>
      </c>
      <c r="CA36" s="13">
        <f t="shared" si="39"/>
        <v>47.155810314963865</v>
      </c>
      <c r="CB36" s="20">
        <f t="shared" si="10"/>
        <v>410.02179129856216</v>
      </c>
      <c r="CC36" s="59">
        <f t="shared" si="11"/>
        <v>703.35512463189548</v>
      </c>
      <c r="CD36" s="59">
        <f ca="1">AVERAGE(OFFSET($CC$3,0,0,'Données projet'!$E$12+1,1))-AVERAGE(OFFSET($H$3,0,0,'Données projet'!$E$12+1,1))</f>
        <v>415.97633163853953</v>
      </c>
      <c r="CE36" s="59">
        <f t="shared" si="40"/>
        <v>356.23532720804423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2.5463862260173071</v>
      </c>
      <c r="CL36" s="21">
        <f>EXP(-LN(2)/25)*CL35+(1-EXP(-LN(2)/25))/(LN(2)/25)*Calculateur!CG36*Calculateur!CI36*VLOOKUP('Données projet'!$B$12,Paramètres!$A$1:$I$89,3,0)*0.475*44/12</f>
        <v>13.839186254521778</v>
      </c>
      <c r="CM36" s="21">
        <f>EXP(-LN(2)/2)*CM35+(1-EXP(-LN(2)/2))/(LN(2)/2)*CG36*CJ36*VLOOKUP('Données projet'!$B$12,Paramètres!$A$1:$I$89,3,0)*0.475*44/12</f>
        <v>11.199360029536034</v>
      </c>
      <c r="CN36" s="22">
        <f t="shared" si="12"/>
        <v>27.58493251007512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24.6</v>
      </c>
      <c r="N37" s="13">
        <f>IF('Données projet'!$A$36&gt;35,N36+M37-V36,IF(A37&lt;'Données projet'!$A$36,$K$205^A37,IF(A37='Données projet'!$A$36,'Données projet'!$B$36,N36+M37-V36)))</f>
        <v>591.4</v>
      </c>
      <c r="O37" s="13">
        <f>N37*VLOOKUP('Données projet'!$B$9,Paramètres!$A$1:$I$89,3,0)*VLOOKUP('Données projet'!$B$9,Paramètres!$A$1:$I$89,5,0)</f>
        <v>330.5926</v>
      </c>
      <c r="P37" s="13">
        <f t="shared" si="33"/>
        <v>77.553155439033247</v>
      </c>
      <c r="Q37" s="20">
        <f t="shared" si="53"/>
        <v>710.85385738964942</v>
      </c>
      <c r="R37" s="59">
        <f t="shared" si="0"/>
        <v>1004.1871907229827</v>
      </c>
      <c r="S37" s="59">
        <f ca="1">AVERAGE(OFFSET($R$3,0,0,'Données projet'!$E$9+1,1))-AVERAGE(OFFSET($H$3,0,0,'Données projet'!$E$9+1,1))</f>
        <v>492.3498626914548</v>
      </c>
      <c r="T37" s="59">
        <f t="shared" si="34"/>
        <v>635.90304180030307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5.0489866700703558</v>
      </c>
      <c r="AA37" s="21">
        <f>EXP(-LN(2)/25)*AA36+(1-EXP(-LN(2)/25))/(LN(2)/25)*Calculateur!V37*Calculateur!X37*VLOOKUP('Données projet'!$B$9,Paramètres!$A$1:$I$89,3,0)*0.475*44/12</f>
        <v>21.653405171307291</v>
      </c>
      <c r="AB37" s="21">
        <f>EXP(-LN(2)/2)*AB36+(1-EXP(-LN(2)/2))/(LN(2)/2)*V37*Y37*VLOOKUP('Données projet'!$B$9,Paramètres!$A$1:$I$89,3,0)*0.475*44/12</f>
        <v>2.9249170129212749</v>
      </c>
      <c r="AC37" s="22">
        <f t="shared" si="3"/>
        <v>29.627308854298921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12.833333333333334</v>
      </c>
      <c r="AI37" s="13">
        <f>IF('Données projet'!$A$62&gt;35,AI36+AH37-AQ36,IF(A37&lt;'Données projet'!$A$62,$AF$205^A37,IF(A37='Données projet'!$A$62,'Données projet'!$B$62,AI36+AH37-AQ36)))</f>
        <v>222.33333333333331</v>
      </c>
      <c r="AJ37" s="13">
        <f>AI37*VLOOKUP('Données projet'!$B$10,Paramètres!$A$1:$I$89,3,0)*VLOOKUP('Données projet'!$B$10,Paramètres!$A$1:$I$89,5,0)</f>
        <v>138.73599999999999</v>
      </c>
      <c r="AK37" s="13">
        <f t="shared" si="35"/>
        <v>36.007288175538044</v>
      </c>
      <c r="AL37" s="20">
        <f t="shared" si="4"/>
        <v>304.34456023906205</v>
      </c>
      <c r="AM37" s="59">
        <f t="shared" si="5"/>
        <v>597.67789357239531</v>
      </c>
      <c r="AN37" s="59">
        <f ca="1">AVERAGE(OFFSET($AM$3,0,0,'Données projet'!$E$10+1,1))-AVERAGE(OFFSET($H$3,0,0,'Données projet'!$E$10+1,1))</f>
        <v>175.05987582828078</v>
      </c>
      <c r="AO37" s="59">
        <f t="shared" si="36"/>
        <v>268.54782308462387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4.8636983706385992</v>
      </c>
      <c r="AV37" s="21">
        <f>EXP(-LN(2)/25)*AV36+(1-EXP(-LN(2)/25))/(LN(2)/25)*Calculateur!AQ37*Calculateur!AS37*VLOOKUP('Données projet'!$B$10,Paramètres!$A$1:$I$89,3,0)*0.475*44/12</f>
        <v>16.254877715833032</v>
      </c>
      <c r="AW37" s="21">
        <f>EXP(-LN(2)/2)*AW36+(1-EXP(-LN(2)/2))/(LN(2)/2)*AQ37*AT37*VLOOKUP('Données projet'!$B$10,Paramètres!$A$1:$I$89,3,0)*0.475*44/12</f>
        <v>2.5874356344296934</v>
      </c>
      <c r="AX37" s="21">
        <f t="shared" si="6"/>
        <v>23.706011720901323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13.2</v>
      </c>
      <c r="BD37" s="12">
        <f>IF('Données projet'!$A$88&gt;35,BD36+BC37-BL36,IF(A37&lt;'Données projet'!$A$88,$BA$205^A37,IF(A37='Données projet'!$A$88,'Données projet'!$B$88,BD36+BC37-BL36)))</f>
        <v>255.8</v>
      </c>
      <c r="BE37" s="13">
        <f>BD37*VLOOKUP('Données projet'!$B$11,Paramètres!$A$1:$I$89,3,0)*VLOOKUP('Données projet'!$B$11,Paramètres!$A$1:$I$89,5,0)</f>
        <v>152.9684</v>
      </c>
      <c r="BF37" s="13">
        <f t="shared" si="37"/>
        <v>39.252393895255061</v>
      </c>
      <c r="BG37" s="20">
        <f t="shared" si="7"/>
        <v>334.78454936756924</v>
      </c>
      <c r="BH37" s="59">
        <f t="shared" si="8"/>
        <v>628.11788270090256</v>
      </c>
      <c r="BI37" s="59">
        <f ca="1">AVERAGE(OFFSET($BH$3,0,0,'Données projet'!$E$11+1,1))-AVERAGE(OFFSET($H$3,0,0,'Données projet'!$E$11+1,1))</f>
        <v>381.78368385345919</v>
      </c>
      <c r="BJ37" s="59">
        <f t="shared" si="38"/>
        <v>257.35575295655639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1.4002854404642433</v>
      </c>
      <c r="BR37" s="21">
        <f>EXP(-LN(2)/2)*BR36+(1-EXP(-LN(2)/2))/(LN(2)/2)*BL37*BO37*VLOOKUP('Données projet'!$B$11,Paramètres!$A$1:$I$89,3,0)*0.475*44/12</f>
        <v>2.979129621251638</v>
      </c>
      <c r="BS37" s="22">
        <f t="shared" si="9"/>
        <v>4.3794150617158811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30.8</v>
      </c>
      <c r="BY37" s="12">
        <f>IF('Données projet'!$A$114&gt;35,BY36+BX37-CG36,IF(A37&lt;'Données projet'!$A$114,$BV$205^A37,IF(A37='Données projet'!$A$114,'Données projet'!$B$114,BY36+BX37-CG36)))</f>
        <v>422.2000000000001</v>
      </c>
      <c r="BZ37" s="13">
        <f>BY37*VLOOKUP('Données projet'!$B$12,Paramètres!$A$1:$I$89,3,0)*VLOOKUP('Données projet'!$B$12,Paramètres!$A$1:$I$89,5,0)</f>
        <v>203.07820000000004</v>
      </c>
      <c r="CA37" s="13">
        <f t="shared" si="39"/>
        <v>50.420060385502047</v>
      </c>
      <c r="CB37" s="20">
        <f t="shared" si="10"/>
        <v>441.50947017141607</v>
      </c>
      <c r="CC37" s="59">
        <f t="shared" si="11"/>
        <v>734.84280350474933</v>
      </c>
      <c r="CD37" s="59">
        <f ca="1">AVERAGE(OFFSET($CC$3,0,0,'Données projet'!$E$12+1,1))-AVERAGE(OFFSET($H$3,0,0,'Données projet'!$E$12+1,1))</f>
        <v>415.97633163853953</v>
      </c>
      <c r="CE37" s="59">
        <f t="shared" si="40"/>
        <v>356.23532720804423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2.4964531452673455</v>
      </c>
      <c r="CL37" s="21">
        <f>EXP(-LN(2)/25)*CL36+(1-EXP(-LN(2)/25))/(LN(2)/25)*Calculateur!CG37*Calculateur!CI37*VLOOKUP('Données projet'!$B$12,Paramètres!$A$1:$I$89,3,0)*0.475*44/12</f>
        <v>13.460752978620704</v>
      </c>
      <c r="CM37" s="21">
        <f>EXP(-LN(2)/2)*CM36+(1-EXP(-LN(2)/2))/(LN(2)/2)*CG37*CJ37*VLOOKUP('Données projet'!$B$12,Paramètres!$A$1:$I$89,3,0)*0.475*44/12</f>
        <v>7.9191434218345034</v>
      </c>
      <c r="CN37" s="22">
        <f t="shared" si="12"/>
        <v>23.876349545722555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616</v>
      </c>
      <c r="L38" s="12">
        <f>VLOOKUP(A38,'Données projet'!$A$35:$I$55,9,0)</f>
        <v>24.6</v>
      </c>
      <c r="M38" s="12">
        <f t="array" ref="M38">INDEX(L:L,MIN(IF(ISNUMBER(L38:L234),ROW(L38:L234),"")))</f>
        <v>24.6</v>
      </c>
      <c r="N38" s="13">
        <f>IF('Données projet'!$A$36&gt;35,N37+M38-V37,IF(A38&lt;'Données projet'!$A$36,$K$205^A38,IF(A38='Données projet'!$A$36,'Données projet'!$B$36,N37+M38-V37)))</f>
        <v>616</v>
      </c>
      <c r="O38" s="13">
        <f>N38*VLOOKUP('Données projet'!$B$9,Paramètres!$A$1:$I$89,3,0)*VLOOKUP('Données projet'!$B$9,Paramètres!$A$1:$I$89,5,0)</f>
        <v>344.34399999999999</v>
      </c>
      <c r="P38" s="13">
        <f t="shared" si="33"/>
        <v>80.396780105945552</v>
      </c>
      <c r="Q38" s="20">
        <f t="shared" si="53"/>
        <v>739.75685868452183</v>
      </c>
      <c r="R38" s="59">
        <f t="shared" si="0"/>
        <v>1033.0901920178551</v>
      </c>
      <c r="S38" s="59">
        <f ca="1">AVERAGE(OFFSET($R$3,0,0,'Données projet'!$E$9+1,1))-AVERAGE(OFFSET($H$3,0,0,'Données projet'!$E$9+1,1))</f>
        <v>492.3498626914548</v>
      </c>
      <c r="T38" s="59">
        <f t="shared" si="34"/>
        <v>635.90304180030307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72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4.9499791210480621</v>
      </c>
      <c r="AA38" s="21">
        <f>EXP(-LN(2)/25)*AA37+(1-EXP(-LN(2)/25))/(LN(2)/25)*Calculateur!V38*Calculateur!X38*VLOOKUP('Données projet'!$B$9,Paramètres!$A$1:$I$89,3,0)*0.475*44/12</f>
        <v>21.061291668194805</v>
      </c>
      <c r="AB38" s="21">
        <f>EXP(-LN(2)/2)*AB37+(1-EXP(-LN(2)/2))/(LN(2)/2)*V38*Y38*VLOOKUP('Données projet'!$B$9,Paramètres!$A$1:$I$89,3,0)*0.475*44/12</f>
        <v>2.0682286542445345</v>
      </c>
      <c r="AC38" s="22">
        <f t="shared" si="3"/>
        <v>28.079499443487403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12.833333333333334</v>
      </c>
      <c r="AI38" s="13">
        <f>IF('Données projet'!$A$62&gt;35,AI37+AH38-AQ37,IF(A38&lt;'Données projet'!$A$62,$AF$205^A38,IF(A38='Données projet'!$A$62,'Données projet'!$B$62,AI37+AH38-AQ37)))</f>
        <v>235.16666666666666</v>
      </c>
      <c r="AJ38" s="13">
        <f>AI38*VLOOKUP('Données projet'!$B$10,Paramètres!$A$1:$I$89,3,0)*VLOOKUP('Données projet'!$B$10,Paramètres!$A$1:$I$89,5,0)</f>
        <v>146.744</v>
      </c>
      <c r="AK38" s="13">
        <f t="shared" si="35"/>
        <v>37.837705514258651</v>
      </c>
      <c r="AL38" s="20">
        <f t="shared" si="4"/>
        <v>321.47980377066716</v>
      </c>
      <c r="AM38" s="59">
        <f t="shared" si="5"/>
        <v>614.81313710400048</v>
      </c>
      <c r="AN38" s="59">
        <f ca="1">AVERAGE(OFFSET($AM$3,0,0,'Données projet'!$E$10+1,1))-AVERAGE(OFFSET($H$3,0,0,'Données projet'!$E$10+1,1))</f>
        <v>175.05987582828078</v>
      </c>
      <c r="AO38" s="59">
        <f t="shared" si="36"/>
        <v>268.54782308462387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4.768324212153459</v>
      </c>
      <c r="AV38" s="21">
        <f>EXP(-LN(2)/25)*AV37+(1-EXP(-LN(2)/25))/(LN(2)/25)*Calculateur!AQ38*Calculateur!AS38*VLOOKUP('Données projet'!$B$10,Paramètres!$A$1:$I$89,3,0)*0.475*44/12</f>
        <v>15.810387229886711</v>
      </c>
      <c r="AW38" s="21">
        <f>EXP(-LN(2)/2)*AW37+(1-EXP(-LN(2)/2))/(LN(2)/2)*AQ38*AT38*VLOOKUP('Données projet'!$B$10,Paramètres!$A$1:$I$89,3,0)*0.475*44/12</f>
        <v>1.8295932829889532</v>
      </c>
      <c r="AX38" s="21">
        <f t="shared" si="6"/>
        <v>22.408304725029122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13.2</v>
      </c>
      <c r="BD38" s="12">
        <f>IF('Données projet'!$A$88&gt;35,BD37+BC38-BL37,IF(A38&lt;'Données projet'!$A$88,$BA$205^A38,IF(A38='Données projet'!$A$88,'Données projet'!$B$88,BD37+BC38-BL37)))</f>
        <v>269</v>
      </c>
      <c r="BE38" s="13">
        <f>BD38*VLOOKUP('Données projet'!$B$11,Paramètres!$A$1:$I$89,3,0)*VLOOKUP('Données projet'!$B$11,Paramètres!$A$1:$I$89,5,0)</f>
        <v>160.86200000000002</v>
      </c>
      <c r="BF38" s="13">
        <f t="shared" si="37"/>
        <v>41.03688107178359</v>
      </c>
      <c r="BG38" s="20">
        <f t="shared" si="7"/>
        <v>351.64055120002314</v>
      </c>
      <c r="BH38" s="59">
        <f t="shared" si="8"/>
        <v>644.97388453335645</v>
      </c>
      <c r="BI38" s="59">
        <f ca="1">AVERAGE(OFFSET($BH$3,0,0,'Données projet'!$E$11+1,1))-AVERAGE(OFFSET($H$3,0,0,'Données projet'!$E$11+1,1))</f>
        <v>381.78368385345919</v>
      </c>
      <c r="BJ38" s="59">
        <f t="shared" si="38"/>
        <v>257.35575295655639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1.3619945614569378</v>
      </c>
      <c r="BR38" s="21">
        <f>EXP(-LN(2)/2)*BR37+(1-EXP(-LN(2)/2))/(LN(2)/2)*BL38*BO38*VLOOKUP('Données projet'!$B$11,Paramètres!$A$1:$I$89,3,0)*0.475*44/12</f>
        <v>2.1065627572207442</v>
      </c>
      <c r="BS38" s="22">
        <f t="shared" si="9"/>
        <v>3.4685573186776821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453</v>
      </c>
      <c r="BW38" s="12">
        <f>VLOOKUP(A38,'Données projet'!$A$113:$I$133,9,0)</f>
        <v>30.8</v>
      </c>
      <c r="BX38" s="12">
        <f t="array" ref="BX38">INDEX(BW:BW,MIN(IF(ISNUMBER(BW38:BW234),ROW(BW38:BW234),"")))</f>
        <v>30.8</v>
      </c>
      <c r="BY38" s="12">
        <f>IF('Données projet'!$A$114&gt;35,BY37+BX38-CG37,IF(A38&lt;'Données projet'!$A$114,$BV$205^A38,IF(A38='Données projet'!$A$114,'Données projet'!$B$114,BY37+BX38-CG37)))</f>
        <v>453.00000000000011</v>
      </c>
      <c r="BZ38" s="13">
        <f>BY38*VLOOKUP('Données projet'!$B$12,Paramètres!$A$1:$I$89,3,0)*VLOOKUP('Données projet'!$B$12,Paramètres!$A$1:$I$89,5,0)</f>
        <v>217.89300000000006</v>
      </c>
      <c r="CA38" s="13">
        <f t="shared" si="39"/>
        <v>53.65668350861781</v>
      </c>
      <c r="CB38" s="20">
        <f t="shared" si="10"/>
        <v>472.94903211084278</v>
      </c>
      <c r="CC38" s="59">
        <f t="shared" si="11"/>
        <v>766.28236544417609</v>
      </c>
      <c r="CD38" s="59">
        <f ca="1">AVERAGE(OFFSET($CC$3,0,0,'Données projet'!$E$12+1,1))-AVERAGE(OFFSET($H$3,0,0,'Données projet'!$E$12+1,1))</f>
        <v>415.97633163853953</v>
      </c>
      <c r="CE38" s="59">
        <f t="shared" si="40"/>
        <v>356.23532720804423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77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2.4474992217747187</v>
      </c>
      <c r="CL38" s="21">
        <f>EXP(-LN(2)/25)*CL37+(1-EXP(-LN(2)/25))/(LN(2)/25)*Calculateur!CG38*Calculateur!CI38*VLOOKUP('Données projet'!$B$12,Paramètres!$A$1:$I$89,3,0)*0.475*44/12</f>
        <v>13.092667980550086</v>
      </c>
      <c r="CM38" s="21">
        <f>EXP(-LN(2)/2)*CM37+(1-EXP(-LN(2)/2))/(LN(2)/2)*CG38*CJ38*VLOOKUP('Données projet'!$B$12,Paramètres!$A$1:$I$89,3,0)*0.475*44/12</f>
        <v>5.5996800147680181</v>
      </c>
      <c r="CN38" s="22">
        <f t="shared" si="12"/>
        <v>21.139847217092822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</v>
      </c>
      <c r="N39" s="13">
        <f>IF('Données projet'!$A$36&gt;35,N38+M39-V38,IF(A39&lt;'Données projet'!$A$36,$K$205^A39,IF(A39='Données projet'!$A$36,'Données projet'!$B$36,N38+M39-V38)))</f>
        <v>566</v>
      </c>
      <c r="O39" s="13">
        <f>N39*VLOOKUP('Données projet'!$B$9,Paramètres!$A$1:$I$89,3,0)*VLOOKUP('Données projet'!$B$9,Paramètres!$A$1:$I$89,5,0)</f>
        <v>316.39400000000001</v>
      </c>
      <c r="P39" s="13">
        <f t="shared" si="33"/>
        <v>74.602561081494827</v>
      </c>
      <c r="Q39" s="20">
        <f t="shared" si="53"/>
        <v>680.98567721693689</v>
      </c>
      <c r="R39" s="59">
        <f t="shared" si="0"/>
        <v>974.31901055027015</v>
      </c>
      <c r="S39" s="59">
        <f ca="1">AVERAGE(OFFSET($R$3,0,0,'Données projet'!$E$9+1,1))-AVERAGE(OFFSET($H$3,0,0,'Données projet'!$E$9+1,1))</f>
        <v>492.3498626914548</v>
      </c>
      <c r="T39" s="59">
        <f t="shared" si="34"/>
        <v>635.90304180030307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4.8529130496734529</v>
      </c>
      <c r="AA39" s="21">
        <f>EXP(-LN(2)/25)*AA38+(1-EXP(-LN(2)/25))/(LN(2)/25)*Calculateur!V39*Calculateur!X39*VLOOKUP('Données projet'!$B$9,Paramètres!$A$1:$I$89,3,0)*0.475*44/12</f>
        <v>20.485369539962825</v>
      </c>
      <c r="AB39" s="21">
        <f>EXP(-LN(2)/2)*AB38+(1-EXP(-LN(2)/2))/(LN(2)/2)*V39*Y39*VLOOKUP('Données projet'!$B$9,Paramètres!$A$1:$I$89,3,0)*0.475*44/12</f>
        <v>1.4624585064606379</v>
      </c>
      <c r="AC39" s="22">
        <f t="shared" si="3"/>
        <v>26.800741096096917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248</v>
      </c>
      <c r="AG39" s="12">
        <f>VLOOKUP(A39,'Données projet'!$A$61:$I$81,9,0)</f>
        <v>12.833333333333334</v>
      </c>
      <c r="AH39" s="12">
        <f t="array" ref="AH39">INDEX(AG:AG,MIN(IF(ISNUMBER(AG39:AG235),ROW(AG39:AG235),"")))</f>
        <v>12.833333333333334</v>
      </c>
      <c r="AI39" s="13">
        <f>IF('Données projet'!$A$62&gt;35,AI38+AH39-AQ38,IF(A39&lt;'Données projet'!$A$62,$AF$205^A39,IF(A39='Données projet'!$A$62,'Données projet'!$B$62,AI38+AH39-AQ38)))</f>
        <v>248</v>
      </c>
      <c r="AJ39" s="13">
        <f>AI39*VLOOKUP('Données projet'!$B$10,Paramètres!$A$1:$I$89,3,0)*VLOOKUP('Données projet'!$B$10,Paramètres!$A$1:$I$89,5,0)</f>
        <v>154.75199999999998</v>
      </c>
      <c r="AK39" s="13">
        <f t="shared" si="35"/>
        <v>39.656526650076415</v>
      </c>
      <c r="AL39" s="20">
        <f t="shared" si="4"/>
        <v>338.5948505822164</v>
      </c>
      <c r="AM39" s="59">
        <f t="shared" si="5"/>
        <v>631.92818391554965</v>
      </c>
      <c r="AN39" s="59">
        <f ca="1">AVERAGE(OFFSET($AM$3,0,0,'Données projet'!$E$10+1,1))-AVERAGE(OFFSET($H$3,0,0,'Données projet'!$E$10+1,1))</f>
        <v>175.05987582828078</v>
      </c>
      <c r="AO39" s="59">
        <f t="shared" si="36"/>
        <v>268.54782308462387</v>
      </c>
      <c r="AP39" s="15">
        <f>IF(ISNA(VLOOKUP(A39,'Données projet'!$A$61:$I$81,3,0)),0,VLOOKUP(A39,'Données projet'!$A$61:$I$81,3,0))</f>
        <v>5</v>
      </c>
      <c r="AQ39" s="15">
        <f>IF(ISNA(VLOOKUP(A39,'Données projet'!$A$61:$I$81,4,0)),0,VLOOKUP(A39,'Données projet'!$A$61:$I$81,4,0))</f>
        <v>62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4.6748202827437195</v>
      </c>
      <c r="AV39" s="21">
        <f>EXP(-LN(2)/25)*AV38+(1-EXP(-LN(2)/25))/(LN(2)/25)*Calculateur!AQ39*Calculateur!AS39*VLOOKUP('Données projet'!$B$10,Paramètres!$A$1:$I$89,3,0)*0.475*44/12</f>
        <v>15.37805135965333</v>
      </c>
      <c r="AW39" s="21">
        <f>EXP(-LN(2)/2)*AW38+(1-EXP(-LN(2)/2))/(LN(2)/2)*AQ39*AT39*VLOOKUP('Données projet'!$B$10,Paramètres!$A$1:$I$89,3,0)*0.475*44/12</f>
        <v>1.2937178172148469</v>
      </c>
      <c r="AX39" s="21">
        <f t="shared" si="6"/>
        <v>21.346589459611899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13.2</v>
      </c>
      <c r="BD39" s="12">
        <f>IF('Données projet'!$A$88&gt;35,BD38+BC39-BL38,IF(A39&lt;'Données projet'!$A$88,$BA$205^A39,IF(A39='Données projet'!$A$88,'Données projet'!$B$88,BD38+BC39-BL38)))</f>
        <v>282.2</v>
      </c>
      <c r="BE39" s="13">
        <f>BD39*VLOOKUP('Données projet'!$B$11,Paramètres!$A$1:$I$89,3,0)*VLOOKUP('Données projet'!$B$11,Paramètres!$A$1:$I$89,5,0)</f>
        <v>168.75560000000002</v>
      </c>
      <c r="BF39" s="13">
        <f t="shared" si="37"/>
        <v>42.811200321709968</v>
      </c>
      <c r="BG39" s="20">
        <f t="shared" si="7"/>
        <v>368.47884389364486</v>
      </c>
      <c r="BH39" s="59">
        <f t="shared" si="8"/>
        <v>661.81217722697818</v>
      </c>
      <c r="BI39" s="59">
        <f ca="1">AVERAGE(OFFSET($BH$3,0,0,'Données projet'!$E$11+1,1))-AVERAGE(OFFSET($H$3,0,0,'Données projet'!$E$11+1,1))</f>
        <v>381.78368385345919</v>
      </c>
      <c r="BJ39" s="59">
        <f t="shared" si="38"/>
        <v>257.35575295655639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1.3247507485497168</v>
      </c>
      <c r="BR39" s="21">
        <f>EXP(-LN(2)/2)*BR38+(1-EXP(-LN(2)/2))/(LN(2)/2)*BL39*BO39*VLOOKUP('Données projet'!$B$11,Paramètres!$A$1:$I$89,3,0)*0.475*44/12</f>
        <v>1.489564810625819</v>
      </c>
      <c r="BS39" s="22">
        <f t="shared" si="9"/>
        <v>2.8143155591755358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29.6</v>
      </c>
      <c r="BY39" s="12">
        <f>IF('Données projet'!$A$114&gt;35,BY38+BX39-CG38,IF(A39&lt;'Données projet'!$A$114,$BV$205^A39,IF(A39='Données projet'!$A$114,'Données projet'!$B$114,BY38+BX39-CG38)))</f>
        <v>405.60000000000014</v>
      </c>
      <c r="BZ39" s="13">
        <f>BY39*VLOOKUP('Données projet'!$B$12,Paramètres!$A$1:$I$89,3,0)*VLOOKUP('Données projet'!$B$12,Paramètres!$A$1:$I$89,5,0)</f>
        <v>195.09360000000009</v>
      </c>
      <c r="CA39" s="13">
        <f t="shared" si="39"/>
        <v>48.6643357423848</v>
      </c>
      <c r="CB39" s="20">
        <f t="shared" si="10"/>
        <v>424.545071417987</v>
      </c>
      <c r="CC39" s="59">
        <f t="shared" si="11"/>
        <v>717.87840475132032</v>
      </c>
      <c r="CD39" s="59">
        <f ca="1">AVERAGE(OFFSET($CC$3,0,0,'Données projet'!$E$12+1,1))-AVERAGE(OFFSET($H$3,0,0,'Données projet'!$E$12+1,1))</f>
        <v>415.97633163853953</v>
      </c>
      <c r="CE39" s="59">
        <f t="shared" si="40"/>
        <v>356.23532720804423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2.3995052548628375</v>
      </c>
      <c r="CL39" s="21">
        <f>EXP(-LN(2)/25)*CL38+(1-EXP(-LN(2)/25))/(LN(2)/25)*Calculateur!CG39*Calculateur!CI39*VLOOKUP('Données projet'!$B$12,Paramètres!$A$1:$I$89,3,0)*0.475*44/12</f>
        <v>12.734648286108458</v>
      </c>
      <c r="CM39" s="21">
        <f>EXP(-LN(2)/2)*CM38+(1-EXP(-LN(2)/2))/(LN(2)/2)*CG39*CJ39*VLOOKUP('Données projet'!$B$12,Paramètres!$A$1:$I$89,3,0)*0.475*44/12</f>
        <v>3.9595717109172526</v>
      </c>
      <c r="CN39" s="22">
        <f t="shared" si="12"/>
        <v>19.09372525188855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</v>
      </c>
      <c r="N40" s="13">
        <f>IF('Données projet'!$A$36&gt;35,N39+M40-V39,IF(A40&lt;'Données projet'!$A$36,$K$205^A40,IF(A40='Données projet'!$A$36,'Données projet'!$B$36,N39+M40-V39)))</f>
        <v>588</v>
      </c>
      <c r="O40" s="13">
        <f>N40*VLOOKUP('Données projet'!$B$9,Paramètres!$A$1:$I$89,3,0)*VLOOKUP('Données projet'!$B$9,Paramètres!$A$1:$I$89,5,0)</f>
        <v>328.69200000000001</v>
      </c>
      <c r="P40" s="13">
        <f t="shared" si="33"/>
        <v>77.159062750651316</v>
      </c>
      <c r="Q40" s="20">
        <f t="shared" si="53"/>
        <v>706.85726762405102</v>
      </c>
      <c r="R40" s="59">
        <f t="shared" si="0"/>
        <v>1000.1906009573843</v>
      </c>
      <c r="S40" s="59">
        <f ca="1">AVERAGE(OFFSET($R$3,0,0,'Données projet'!$E$9+1,1))-AVERAGE(OFFSET($H$3,0,0,'Données projet'!$E$9+1,1))</f>
        <v>492.3498626914548</v>
      </c>
      <c r="T40" s="59">
        <f t="shared" si="34"/>
        <v>635.90304180030307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4.7577503847540425</v>
      </c>
      <c r="AA40" s="21">
        <f>EXP(-LN(2)/25)*AA39+(1-EXP(-LN(2)/25))/(LN(2)/25)*Calculateur!V40*Calculateur!X40*VLOOKUP('Données projet'!$B$9,Paramètres!$A$1:$I$89,3,0)*0.475*44/12</f>
        <v>19.925196032613776</v>
      </c>
      <c r="AB40" s="21">
        <f>EXP(-LN(2)/2)*AB39+(1-EXP(-LN(2)/2))/(LN(2)/2)*V40*Y40*VLOOKUP('Données projet'!$B$9,Paramètres!$A$1:$I$89,3,0)*0.475*44/12</f>
        <v>1.0341143271222675</v>
      </c>
      <c r="AC40" s="22">
        <f t="shared" si="3"/>
        <v>25.717060744490087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197.5</v>
      </c>
      <c r="AJ40" s="13">
        <f>AI40*VLOOKUP('Données projet'!$B$10,Paramètres!$A$1:$I$89,3,0)*VLOOKUP('Données projet'!$B$10,Paramètres!$A$1:$I$89,5,0)</f>
        <v>123.24</v>
      </c>
      <c r="AK40" s="13">
        <f t="shared" si="35"/>
        <v>32.429500380369056</v>
      </c>
      <c r="AL40" s="20">
        <f t="shared" si="4"/>
        <v>271.12437982914275</v>
      </c>
      <c r="AM40" s="59">
        <f t="shared" si="5"/>
        <v>564.45771316247601</v>
      </c>
      <c r="AN40" s="59">
        <f ca="1">AVERAGE(OFFSET($AM$3,0,0,'Données projet'!$E$10+1,1))-AVERAGE(OFFSET($H$3,0,0,'Données projet'!$E$10+1,1))</f>
        <v>175.05987582828078</v>
      </c>
      <c r="AO40" s="59">
        <f t="shared" si="36"/>
        <v>268.54782308462387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4.5831499083579397</v>
      </c>
      <c r="AV40" s="21">
        <f>EXP(-LN(2)/25)*AV39+(1-EXP(-LN(2)/25))/(LN(2)/25)*Calculateur!AQ40*Calculateur!AS40*VLOOKUP('Données projet'!$B$10,Paramètres!$A$1:$I$89,3,0)*0.475*44/12</f>
        <v>14.957537736527035</v>
      </c>
      <c r="AW40" s="21">
        <f>EXP(-LN(2)/2)*AW39+(1-EXP(-LN(2)/2))/(LN(2)/2)*AQ40*AT40*VLOOKUP('Données projet'!$B$10,Paramètres!$A$1:$I$89,3,0)*0.475*44/12</f>
        <v>0.9147966414944767</v>
      </c>
      <c r="AX40" s="21">
        <f t="shared" si="6"/>
        <v>20.455484286379452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13.2</v>
      </c>
      <c r="BD40" s="12">
        <f>IF('Données projet'!$A$88&gt;35,BD39+BC40-BL39,IF(A40&lt;'Données projet'!$A$88,$BA$205^A40,IF(A40='Données projet'!$A$88,'Données projet'!$B$88,BD39+BC40-BL39)))</f>
        <v>295.39999999999998</v>
      </c>
      <c r="BE40" s="13">
        <f>BD40*VLOOKUP('Données projet'!$B$11,Paramètres!$A$1:$I$89,3,0)*VLOOKUP('Données projet'!$B$11,Paramètres!$A$1:$I$89,5,0)</f>
        <v>176.64919999999998</v>
      </c>
      <c r="BF40" s="13">
        <f t="shared" si="37"/>
        <v>44.57588156630429</v>
      </c>
      <c r="BG40" s="20">
        <f t="shared" si="7"/>
        <v>385.30035039464656</v>
      </c>
      <c r="BH40" s="59">
        <f t="shared" si="8"/>
        <v>678.63368372797981</v>
      </c>
      <c r="BI40" s="59">
        <f ca="1">AVERAGE(OFFSET($BH$3,0,0,'Données projet'!$E$11+1,1))-AVERAGE(OFFSET($H$3,0,0,'Données projet'!$E$11+1,1))</f>
        <v>381.78368385345919</v>
      </c>
      <c r="BJ40" s="59">
        <f t="shared" si="38"/>
        <v>257.35575295655639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1.2885253696650107</v>
      </c>
      <c r="BR40" s="21">
        <f>EXP(-LN(2)/2)*BR39+(1-EXP(-LN(2)/2))/(LN(2)/2)*BL40*BO40*VLOOKUP('Données projet'!$B$11,Paramètres!$A$1:$I$89,3,0)*0.475*44/12</f>
        <v>1.0532813786103721</v>
      </c>
      <c r="BS40" s="22">
        <f t="shared" si="9"/>
        <v>2.341806748275383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29.6</v>
      </c>
      <c r="BY40" s="12">
        <f>IF('Données projet'!$A$114&gt;35,BY39+BX40-CG39,IF(A40&lt;'Données projet'!$A$114,$BV$205^A40,IF(A40='Données projet'!$A$114,'Données projet'!$B$114,BY39+BX40-CG39)))</f>
        <v>435.20000000000016</v>
      </c>
      <c r="BZ40" s="13">
        <f>BY40*VLOOKUP('Données projet'!$B$12,Paramètres!$A$1:$I$89,3,0)*VLOOKUP('Données projet'!$B$12,Paramètres!$A$1:$I$89,5,0)</f>
        <v>209.33120000000008</v>
      </c>
      <c r="CA40" s="13">
        <f t="shared" si="39"/>
        <v>51.789408950086234</v>
      </c>
      <c r="CB40" s="20">
        <f t="shared" si="10"/>
        <v>454.78506058806698</v>
      </c>
      <c r="CC40" s="59">
        <f t="shared" si="11"/>
        <v>748.1183939214003</v>
      </c>
      <c r="CD40" s="59">
        <f ca="1">AVERAGE(OFFSET($CC$3,0,0,'Données projet'!$E$12+1,1))-AVERAGE(OFFSET($H$3,0,0,'Données projet'!$E$12+1,1))</f>
        <v>415.97633163853953</v>
      </c>
      <c r="CE40" s="59">
        <f t="shared" si="40"/>
        <v>356.23532720804423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2.3524524203686688</v>
      </c>
      <c r="CL40" s="21">
        <f>EXP(-LN(2)/25)*CL39+(1-EXP(-LN(2)/25))/(LN(2)/25)*Calculateur!CG40*Calculateur!CI40*VLOOKUP('Données projet'!$B$12,Paramètres!$A$1:$I$89,3,0)*0.475*44/12</f>
        <v>12.386418659038775</v>
      </c>
      <c r="CM40" s="21">
        <f>EXP(-LN(2)/2)*CM39+(1-EXP(-LN(2)/2))/(LN(2)/2)*CG40*CJ40*VLOOKUP('Données projet'!$B$12,Paramètres!$A$1:$I$89,3,0)*0.475*44/12</f>
        <v>2.7998400073840095</v>
      </c>
      <c r="CN40" s="22">
        <f t="shared" si="12"/>
        <v>17.538711086791452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</v>
      </c>
      <c r="N41" s="13">
        <f>IF('Données projet'!$A$36&gt;35,N40+M41-V40,IF(A41&lt;'Données projet'!$A$36,$K$205^A41,IF(A41='Données projet'!$A$36,'Données projet'!$B$36,N40+M41-V40)))</f>
        <v>610</v>
      </c>
      <c r="O41" s="13">
        <f>N41*VLOOKUP('Données projet'!$B$9,Paramètres!$A$1:$I$89,3,0)*VLOOKUP('Données projet'!$B$9,Paramètres!$A$1:$I$89,5,0)</f>
        <v>340.99</v>
      </c>
      <c r="P41" s="13">
        <f t="shared" si="33"/>
        <v>79.704452064974646</v>
      </c>
      <c r="Q41" s="20">
        <f t="shared" si="53"/>
        <v>732.70950401316429</v>
      </c>
      <c r="R41" s="59">
        <f t="shared" si="0"/>
        <v>1026.0428373464977</v>
      </c>
      <c r="S41" s="59">
        <f ca="1">AVERAGE(OFFSET($R$3,0,0,'Données projet'!$E$9+1,1))-AVERAGE(OFFSET($H$3,0,0,'Données projet'!$E$9+1,1))</f>
        <v>492.3498626914548</v>
      </c>
      <c r="T41" s="59">
        <f t="shared" si="34"/>
        <v>635.90304180030307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4.6644538016502075</v>
      </c>
      <c r="AA41" s="21">
        <f>EXP(-LN(2)/25)*AA40+(1-EXP(-LN(2)/25))/(LN(2)/25)*Calculateur!V41*Calculateur!X41*VLOOKUP('Données projet'!$B$9,Paramètres!$A$1:$I$89,3,0)*0.475*44/12</f>
        <v>19.380340499281434</v>
      </c>
      <c r="AB41" s="21">
        <f>EXP(-LN(2)/2)*AB40+(1-EXP(-LN(2)/2))/(LN(2)/2)*V41*Y41*VLOOKUP('Données projet'!$B$9,Paramètres!$A$1:$I$89,3,0)*0.475*44/12</f>
        <v>0.73122925323031907</v>
      </c>
      <c r="AC41" s="22">
        <f t="shared" si="3"/>
        <v>24.776023554161959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209</v>
      </c>
      <c r="AJ41" s="13">
        <f>AI41*VLOOKUP('Données projet'!$B$10,Paramètres!$A$1:$I$89,3,0)*VLOOKUP('Données projet'!$B$10,Paramètres!$A$1:$I$89,5,0)</f>
        <v>130.416</v>
      </c>
      <c r="AK41" s="13">
        <f t="shared" si="35"/>
        <v>34.092466837179941</v>
      </c>
      <c r="AL41" s="20">
        <f t="shared" si="4"/>
        <v>286.51891307475506</v>
      </c>
      <c r="AM41" s="59">
        <f t="shared" si="5"/>
        <v>579.85224640808838</v>
      </c>
      <c r="AN41" s="59">
        <f ca="1">AVERAGE(OFFSET($AM$3,0,0,'Données projet'!$E$10+1,1))-AVERAGE(OFFSET($H$3,0,0,'Données projet'!$E$10+1,1))</f>
        <v>175.05987582828078</v>
      </c>
      <c r="AO41" s="59">
        <f t="shared" si="36"/>
        <v>268.54782308462387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4.4932771341004569</v>
      </c>
      <c r="AV41" s="21">
        <f>EXP(-LN(2)/25)*AV40+(1-EXP(-LN(2)/25))/(LN(2)/25)*Calculateur!AQ41*Calculateur!AS41*VLOOKUP('Données projet'!$B$10,Paramètres!$A$1:$I$89,3,0)*0.475*44/12</f>
        <v>14.548523080538979</v>
      </c>
      <c r="AW41" s="21">
        <f>EXP(-LN(2)/2)*AW40+(1-EXP(-LN(2)/2))/(LN(2)/2)*AQ41*AT41*VLOOKUP('Données projet'!$B$10,Paramètres!$A$1:$I$89,3,0)*0.475*44/12</f>
        <v>0.64685890860742357</v>
      </c>
      <c r="AX41" s="21">
        <f t="shared" si="6"/>
        <v>19.688659123246861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13.2</v>
      </c>
      <c r="BD41" s="12">
        <f>IF('Données projet'!$A$88&gt;35,BD40+BC41-BL40,IF(A41&lt;'Données projet'!$A$88,$BA$205^A41,IF(A41='Données projet'!$A$88,'Données projet'!$B$88,BD40+BC41-BL40)))</f>
        <v>308.59999999999997</v>
      </c>
      <c r="BE41" s="13">
        <f>BD41*VLOOKUP('Données projet'!$B$11,Paramètres!$A$1:$I$89,3,0)*VLOOKUP('Données projet'!$B$11,Paramètres!$A$1:$I$89,5,0)</f>
        <v>184.5428</v>
      </c>
      <c r="BF41" s="13">
        <f t="shared" si="37"/>
        <v>46.331404690136296</v>
      </c>
      <c r="BG41" s="20">
        <f t="shared" si="7"/>
        <v>402.10590650198742</v>
      </c>
      <c r="BH41" s="59">
        <f t="shared" si="8"/>
        <v>695.43923983532068</v>
      </c>
      <c r="BI41" s="59">
        <f ca="1">AVERAGE(OFFSET($BH$3,0,0,'Données projet'!$E$11+1,1))-AVERAGE(OFFSET($H$3,0,0,'Données projet'!$E$11+1,1))</f>
        <v>381.78368385345919</v>
      </c>
      <c r="BJ41" s="59">
        <f t="shared" si="38"/>
        <v>257.35575295655639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1.2532905756709167</v>
      </c>
      <c r="BR41" s="21">
        <f>EXP(-LN(2)/2)*BR40+(1-EXP(-LN(2)/2))/(LN(2)/2)*BL41*BO41*VLOOKUP('Données projet'!$B$11,Paramètres!$A$1:$I$89,3,0)*0.475*44/12</f>
        <v>0.74478240531290951</v>
      </c>
      <c r="BS41" s="22">
        <f t="shared" si="9"/>
        <v>1.9980729809838262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29.6</v>
      </c>
      <c r="BY41" s="12">
        <f>IF('Données projet'!$A$114&gt;35,BY40+BX41-CG40,IF(A41&lt;'Données projet'!$A$114,$BV$205^A41,IF(A41='Données projet'!$A$114,'Données projet'!$B$114,BY40+BX41-CG40)))</f>
        <v>464.80000000000018</v>
      </c>
      <c r="BZ41" s="13">
        <f>BY41*VLOOKUP('Données projet'!$B$12,Paramètres!$A$1:$I$89,3,0)*VLOOKUP('Données projet'!$B$12,Paramètres!$A$1:$I$89,5,0)</f>
        <v>223.56880000000007</v>
      </c>
      <c r="CA41" s="13">
        <f t="shared" si="39"/>
        <v>54.889818841790316</v>
      </c>
      <c r="CB41" s="20">
        <f t="shared" si="10"/>
        <v>484.98209448278493</v>
      </c>
      <c r="CC41" s="59">
        <f t="shared" si="11"/>
        <v>778.31542781611824</v>
      </c>
      <c r="CD41" s="59">
        <f ca="1">AVERAGE(OFFSET($CC$3,0,0,'Données projet'!$E$12+1,1))-AVERAGE(OFFSET($H$3,0,0,'Données projet'!$E$12+1,1))</f>
        <v>415.97633163853953</v>
      </c>
      <c r="CE41" s="59">
        <f t="shared" si="40"/>
        <v>356.23532720804423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2.3063222632595353</v>
      </c>
      <c r="CL41" s="21">
        <f>EXP(-LN(2)/25)*CL40+(1-EXP(-LN(2)/25))/(LN(2)/25)*Calculateur!CG41*Calculateur!CI41*VLOOKUP('Données projet'!$B$12,Paramètres!$A$1:$I$89,3,0)*0.475*44/12</f>
        <v>12.047711389433912</v>
      </c>
      <c r="CM41" s="21">
        <f>EXP(-LN(2)/2)*CM40+(1-EXP(-LN(2)/2))/(LN(2)/2)*CG41*CJ41*VLOOKUP('Données projet'!$B$12,Paramètres!$A$1:$I$89,3,0)*0.475*44/12</f>
        <v>1.9797858554586265</v>
      </c>
      <c r="CN41" s="22">
        <f t="shared" si="12"/>
        <v>16.333819508152075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</v>
      </c>
      <c r="N42" s="13">
        <f>IF('Données projet'!$A$36&gt;35,N41+M42-V41,IF(A42&lt;'Données projet'!$A$36,$K$205^A42,IF(A42='Données projet'!$A$36,'Données projet'!$B$36,N41+M42-V41)))</f>
        <v>632</v>
      </c>
      <c r="O42" s="13">
        <f>N42*VLOOKUP('Données projet'!$B$9,Paramètres!$A$1:$I$89,3,0)*VLOOKUP('Données projet'!$B$9,Paramètres!$A$1:$I$89,5,0)</f>
        <v>353.28800000000001</v>
      </c>
      <c r="P42" s="13">
        <f t="shared" si="33"/>
        <v>82.239175707062913</v>
      </c>
      <c r="Q42" s="20">
        <f t="shared" si="53"/>
        <v>758.54316435646797</v>
      </c>
      <c r="R42" s="59">
        <f t="shared" si="0"/>
        <v>1051.8764976898012</v>
      </c>
      <c r="S42" s="59">
        <f ca="1">AVERAGE(OFFSET($R$3,0,0,'Données projet'!$E$9+1,1))-AVERAGE(OFFSET($H$3,0,0,'Données projet'!$E$9+1,1))</f>
        <v>492.3498626914548</v>
      </c>
      <c r="T42" s="59">
        <f t="shared" si="34"/>
        <v>635.90304180030307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4.5729867076357422</v>
      </c>
      <c r="AA42" s="21">
        <f>EXP(-LN(2)/25)*AA41+(1-EXP(-LN(2)/25))/(LN(2)/25)*Calculateur!V42*Calculateur!X42*VLOOKUP('Données projet'!$B$9,Paramètres!$A$1:$I$89,3,0)*0.475*44/12</f>
        <v>18.850384069160771</v>
      </c>
      <c r="AB42" s="21">
        <f>EXP(-LN(2)/2)*AB41+(1-EXP(-LN(2)/2))/(LN(2)/2)*V42*Y42*VLOOKUP('Données projet'!$B$9,Paramètres!$A$1:$I$89,3,0)*0.475*44/12</f>
        <v>0.51705716356113385</v>
      </c>
      <c r="AC42" s="22">
        <f t="shared" si="3"/>
        <v>23.940427940357647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220.5</v>
      </c>
      <c r="AJ42" s="13">
        <f>AI42*VLOOKUP('Données projet'!$B$10,Paramètres!$A$1:$I$89,3,0)*VLOOKUP('Données projet'!$B$10,Paramètres!$A$1:$I$89,5,0)</f>
        <v>137.59199999999998</v>
      </c>
      <c r="AK42" s="13">
        <f t="shared" si="35"/>
        <v>35.744810729505772</v>
      </c>
      <c r="AL42" s="20">
        <f t="shared" si="4"/>
        <v>301.89494535388923</v>
      </c>
      <c r="AM42" s="59">
        <f t="shared" si="5"/>
        <v>595.22827868722254</v>
      </c>
      <c r="AN42" s="59">
        <f ca="1">AVERAGE(OFFSET($AM$3,0,0,'Données projet'!$E$10+1,1))-AVERAGE(OFFSET($H$3,0,0,'Données projet'!$E$10+1,1))</f>
        <v>175.05987582828078</v>
      </c>
      <c r="AO42" s="59">
        <f t="shared" si="36"/>
        <v>268.54782308462387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4.4051667101291843</v>
      </c>
      <c r="AV42" s="21">
        <f>EXP(-LN(2)/25)*AV41+(1-EXP(-LN(2)/25))/(LN(2)/25)*Calculateur!AQ42*Calculateur!AS42*VLOOKUP('Données projet'!$B$10,Paramètres!$A$1:$I$89,3,0)*0.475*44/12</f>
        <v>14.150692951828063</v>
      </c>
      <c r="AW42" s="21">
        <f>EXP(-LN(2)/2)*AW41+(1-EXP(-LN(2)/2))/(LN(2)/2)*AQ42*AT42*VLOOKUP('Données projet'!$B$10,Paramètres!$A$1:$I$89,3,0)*0.475*44/12</f>
        <v>0.45739832074723841</v>
      </c>
      <c r="AX42" s="21">
        <f t="shared" si="6"/>
        <v>19.013257982704484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13.2</v>
      </c>
      <c r="BD42" s="12">
        <f>IF('Données projet'!$A$88&gt;35,BD41+BC42-BL41,IF(A42&lt;'Données projet'!$A$88,$BA$205^A42,IF(A42='Données projet'!$A$88,'Données projet'!$B$88,BD41+BC42-BL41)))</f>
        <v>321.79999999999995</v>
      </c>
      <c r="BE42" s="13">
        <f>BD42*VLOOKUP('Données projet'!$B$11,Paramètres!$A$1:$I$89,3,0)*VLOOKUP('Données projet'!$B$11,Paramètres!$A$1:$I$89,5,0)</f>
        <v>192.43639999999999</v>
      </c>
      <c r="BF42" s="13">
        <f t="shared" si="37"/>
        <v>48.078206202843347</v>
      </c>
      <c r="BG42" s="20">
        <f t="shared" si="7"/>
        <v>418.89627246995218</v>
      </c>
      <c r="BH42" s="59">
        <f t="shared" si="8"/>
        <v>712.22960580328549</v>
      </c>
      <c r="BI42" s="59">
        <f ca="1">AVERAGE(OFFSET($BH$3,0,0,'Données projet'!$E$11+1,1))-AVERAGE(OFFSET($H$3,0,0,'Données projet'!$E$11+1,1))</f>
        <v>381.78368385345919</v>
      </c>
      <c r="BJ42" s="59">
        <f t="shared" si="38"/>
        <v>257.35575295655639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1.2190192789715086</v>
      </c>
      <c r="BR42" s="21">
        <f>EXP(-LN(2)/2)*BR41+(1-EXP(-LN(2)/2))/(LN(2)/2)*BL42*BO42*VLOOKUP('Données projet'!$B$11,Paramètres!$A$1:$I$89,3,0)*0.475*44/12</f>
        <v>0.52664068930518604</v>
      </c>
      <c r="BS42" s="22">
        <f t="shared" si="9"/>
        <v>1.7456599682766947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29.6</v>
      </c>
      <c r="BY42" s="12">
        <f>IF('Données projet'!$A$114&gt;35,BY41+BX42-CG41,IF(A42&lt;'Données projet'!$A$114,$BV$205^A42,IF(A42='Données projet'!$A$114,'Données projet'!$B$114,BY41+BX42-CG41)))</f>
        <v>494.4000000000002</v>
      </c>
      <c r="BZ42" s="13">
        <f>BY42*VLOOKUP('Données projet'!$B$12,Paramètres!$A$1:$I$89,3,0)*VLOOKUP('Données projet'!$B$12,Paramètres!$A$1:$I$89,5,0)</f>
        <v>237.80640000000011</v>
      </c>
      <c r="CA42" s="13">
        <f t="shared" si="39"/>
        <v>57.967314838085144</v>
      </c>
      <c r="CB42" s="20">
        <f t="shared" si="10"/>
        <v>515.13922000966511</v>
      </c>
      <c r="CC42" s="59">
        <f t="shared" si="11"/>
        <v>808.47255334299848</v>
      </c>
      <c r="CD42" s="59">
        <f ca="1">AVERAGE(OFFSET($CC$3,0,0,'Données projet'!$E$12+1,1))-AVERAGE(OFFSET($H$3,0,0,'Données projet'!$E$12+1,1))</f>
        <v>415.97633163853953</v>
      </c>
      <c r="CE42" s="59">
        <f t="shared" si="40"/>
        <v>356.23532720804423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2.2610966903946945</v>
      </c>
      <c r="CL42" s="21">
        <f>EXP(-LN(2)/25)*CL41+(1-EXP(-LN(2)/25))/(LN(2)/25)*Calculateur!CG42*Calculateur!CI42*VLOOKUP('Données projet'!$B$12,Paramètres!$A$1:$I$89,3,0)*0.475*44/12</f>
        <v>11.718266087928235</v>
      </c>
      <c r="CM42" s="21">
        <f>EXP(-LN(2)/2)*CM41+(1-EXP(-LN(2)/2))/(LN(2)/2)*CG42*CJ42*VLOOKUP('Données projet'!$B$12,Paramètres!$A$1:$I$89,3,0)*0.475*44/12</f>
        <v>1.399920003692005</v>
      </c>
      <c r="CN42" s="22">
        <f t="shared" si="12"/>
        <v>15.379282782014934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654</v>
      </c>
      <c r="L43" s="12">
        <f>VLOOKUP(A43,'Données projet'!$A$35:$I$55,9,0)</f>
        <v>22</v>
      </c>
      <c r="M43" s="12">
        <f t="array" ref="M43">INDEX(L:L,MIN(IF(ISNUMBER(L43:L239),ROW(L43:L239),"")))</f>
        <v>22</v>
      </c>
      <c r="N43" s="13">
        <f>IF('Données projet'!$A$36&gt;35,N42+M43-V42,IF(A43&lt;'Données projet'!$A$36,$K$205^A43,IF(A43='Données projet'!$A$36,'Données projet'!$B$36,N42+M43-V42)))</f>
        <v>654</v>
      </c>
      <c r="O43" s="13">
        <f>N43*VLOOKUP('Données projet'!$B$9,Paramètres!$A$1:$I$89,3,0)*VLOOKUP('Données projet'!$B$9,Paramètres!$A$1:$I$89,5,0)</f>
        <v>365.58599999999996</v>
      </c>
      <c r="P43" s="13">
        <f t="shared" si="33"/>
        <v>84.763647497813551</v>
      </c>
      <c r="Q43" s="20">
        <f t="shared" si="53"/>
        <v>784.35896939202519</v>
      </c>
      <c r="R43" s="59">
        <f t="shared" si="0"/>
        <v>1077.6923027253586</v>
      </c>
      <c r="S43" s="59">
        <f ca="1">AVERAGE(OFFSET($R$3,0,0,'Données projet'!$E$9+1,1))-AVERAGE(OFFSET($H$3,0,0,'Données projet'!$E$9+1,1))</f>
        <v>492.3498626914548</v>
      </c>
      <c r="T43" s="59">
        <f t="shared" si="34"/>
        <v>635.90304180030307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79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4.4833132275454819</v>
      </c>
      <c r="AA43" s="21">
        <f>EXP(-LN(2)/25)*AA42+(1-EXP(-LN(2)/25))/(LN(2)/25)*Calculateur!V43*Calculateur!X43*VLOOKUP('Données projet'!$B$9,Paramètres!$A$1:$I$89,3,0)*0.475*44/12</f>
        <v>18.334919325490954</v>
      </c>
      <c r="AB43" s="21">
        <f>EXP(-LN(2)/2)*AB42+(1-EXP(-LN(2)/2))/(LN(2)/2)*V43*Y43*VLOOKUP('Données projet'!$B$9,Paramètres!$A$1:$I$89,3,0)*0.475*44/12</f>
        <v>0.36561462661515959</v>
      </c>
      <c r="AC43" s="22">
        <f t="shared" si="3"/>
        <v>23.183847179651597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232</v>
      </c>
      <c r="AJ43" s="13">
        <f>AI43*VLOOKUP('Données projet'!$B$10,Paramètres!$A$1:$I$89,3,0)*VLOOKUP('Données projet'!$B$10,Paramètres!$A$1:$I$89,5,0)</f>
        <v>144.768</v>
      </c>
      <c r="AK43" s="13">
        <f t="shared" si="35"/>
        <v>37.387149255707826</v>
      </c>
      <c r="AL43" s="20">
        <f t="shared" si="4"/>
        <v>317.25355162035777</v>
      </c>
      <c r="AM43" s="59">
        <f t="shared" si="5"/>
        <v>610.58688495369108</v>
      </c>
      <c r="AN43" s="59">
        <f ca="1">AVERAGE(OFFSET($AM$3,0,0,'Données projet'!$E$10+1,1))-AVERAGE(OFFSET($H$3,0,0,'Données projet'!$E$10+1,1))</f>
        <v>175.05987582828078</v>
      </c>
      <c r="AO43" s="59">
        <f t="shared" si="36"/>
        <v>268.54782308462387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4.3187840778299362</v>
      </c>
      <c r="AV43" s="21">
        <f>EXP(-LN(2)/25)*AV42+(1-EXP(-LN(2)/25))/(LN(2)/25)*Calculateur!AQ43*Calculateur!AS43*VLOOKUP('Données projet'!$B$10,Paramètres!$A$1:$I$89,3,0)*0.475*44/12</f>
        <v>13.763741508907724</v>
      </c>
      <c r="AW43" s="21">
        <f>EXP(-LN(2)/2)*AW42+(1-EXP(-LN(2)/2))/(LN(2)/2)*AQ43*AT43*VLOOKUP('Données projet'!$B$10,Paramètres!$A$1:$I$89,3,0)*0.475*44/12</f>
        <v>0.32342945430371184</v>
      </c>
      <c r="AX43" s="21">
        <f t="shared" si="6"/>
        <v>18.40595504104137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335</v>
      </c>
      <c r="BB43" s="12">
        <f>VLOOKUP(A43,'Données projet'!$A$87:$I$107,9,0)</f>
        <v>13.2</v>
      </c>
      <c r="BC43" s="12">
        <f t="array" ref="BC43">INDEX(BB:BB,MIN(IF(ISNUMBER(BB43:BB239),ROW(BB43:BB239),"")))</f>
        <v>13.2</v>
      </c>
      <c r="BD43" s="12">
        <f>IF('Données projet'!$A$88&gt;35,BD42+BC43-BL42,IF(A43&lt;'Données projet'!$A$88,$BA$205^A43,IF(A43='Données projet'!$A$88,'Données projet'!$B$88,BD42+BC43-BL42)))</f>
        <v>334.99999999999994</v>
      </c>
      <c r="BE43" s="13">
        <f>BD43*VLOOKUP('Données projet'!$B$11,Paramètres!$A$1:$I$89,3,0)*VLOOKUP('Données projet'!$B$11,Paramètres!$A$1:$I$89,5,0)</f>
        <v>200.33</v>
      </c>
      <c r="BF43" s="13">
        <f t="shared" si="37"/>
        <v>49.81668477706846</v>
      </c>
      <c r="BG43" s="20">
        <f t="shared" si="7"/>
        <v>435.67214265339425</v>
      </c>
      <c r="BH43" s="59">
        <f t="shared" si="8"/>
        <v>729.00547598672756</v>
      </c>
      <c r="BI43" s="59">
        <f ca="1">AVERAGE(OFFSET($BH$3,0,0,'Données projet'!$E$11+1,1))-AVERAGE(OFFSET($H$3,0,0,'Données projet'!$E$11+1,1))</f>
        <v>381.78368385345919</v>
      </c>
      <c r="BJ43" s="59">
        <f t="shared" si="38"/>
        <v>257.35575295655639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9.0000000000000011E-2</v>
      </c>
      <c r="BO43" s="16">
        <f>IF(ISNA(VLOOKUP(A43,'Données projet'!$A$87:$I$107,7,0)),0%,VLOOKUP(A43,'Données projet'!$A$87:$I$107,7,0))</f>
        <v>0.8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3.674695674915196</v>
      </c>
      <c r="BR43" s="21">
        <f>EXP(-LN(2)/2)*BR42+(1-EXP(-LN(2)/2))/(LN(2)/2)*BL43*BO43*VLOOKUP('Données projet'!$B$11,Paramètres!$A$1:$I$89,3,0)*0.475*44/12</f>
        <v>19.330488792439603</v>
      </c>
      <c r="BS43" s="22">
        <f t="shared" si="9"/>
        <v>23.005184467354798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524</v>
      </c>
      <c r="BW43" s="12">
        <f>VLOOKUP(A43,'Données projet'!$A$113:$I$133,9,0)</f>
        <v>29.6</v>
      </c>
      <c r="BX43" s="12">
        <f t="array" ref="BX43">INDEX(BW:BW,MIN(IF(ISNUMBER(BW43:BW239),ROW(BW43:BW239),"")))</f>
        <v>29.6</v>
      </c>
      <c r="BY43" s="12">
        <f>IF('Données projet'!$A$114&gt;35,BY42+BX43-CG42,IF(A43&lt;'Données projet'!$A$114,$BV$205^A43,IF(A43='Données projet'!$A$114,'Données projet'!$B$114,BY42+BX43-CG42)))</f>
        <v>524.00000000000023</v>
      </c>
      <c r="BZ43" s="13">
        <f>BY43*VLOOKUP('Données projet'!$B$12,Paramètres!$A$1:$I$89,3,0)*VLOOKUP('Données projet'!$B$12,Paramètres!$A$1:$I$89,5,0)</f>
        <v>252.04400000000012</v>
      </c>
      <c r="CA43" s="13">
        <f t="shared" si="39"/>
        <v>61.023425047084345</v>
      </c>
      <c r="CB43" s="20">
        <f t="shared" si="10"/>
        <v>545.25909862367212</v>
      </c>
      <c r="CC43" s="59">
        <f t="shared" si="11"/>
        <v>838.59243195700537</v>
      </c>
      <c r="CD43" s="59">
        <f ca="1">AVERAGE(OFFSET($CC$3,0,0,'Données projet'!$E$12+1,1))-AVERAGE(OFFSET($H$3,0,0,'Données projet'!$E$12+1,1))</f>
        <v>415.97633163853953</v>
      </c>
      <c r="CE43" s="59">
        <f t="shared" si="40"/>
        <v>356.23532720804423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77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2.2167579634288574</v>
      </c>
      <c r="CL43" s="21">
        <f>EXP(-LN(2)/25)*CL42+(1-EXP(-LN(2)/25))/(LN(2)/25)*Calculateur!CG43*Calculateur!CI43*VLOOKUP('Données projet'!$B$12,Paramètres!$A$1:$I$89,3,0)*0.475*44/12</f>
        <v>11.397829485517006</v>
      </c>
      <c r="CM43" s="21">
        <f>EXP(-LN(2)/2)*CM42+(1-EXP(-LN(2)/2))/(LN(2)/2)*CG43*CJ43*VLOOKUP('Données projet'!$B$12,Paramètres!$A$1:$I$89,3,0)*0.475*44/12</f>
        <v>0.98989292772931348</v>
      </c>
      <c r="CN43" s="22">
        <f t="shared" si="12"/>
        <v>14.604480376675177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20.399999999999999</v>
      </c>
      <c r="N44" s="13">
        <f>IF('Données projet'!$A$36&gt;35,N43+M44-V43,IF(A44&lt;'Données projet'!$A$36,$K$205^A44,IF(A44='Données projet'!$A$36,'Données projet'!$B$36,N43+M44-V43)))</f>
        <v>595.4</v>
      </c>
      <c r="O44" s="13">
        <f>N44*VLOOKUP('Données projet'!$B$9,Paramètres!$A$1:$I$89,3,0)*VLOOKUP('Données projet'!$B$9,Paramètres!$A$1:$I$89,5,0)</f>
        <v>332.82859999999999</v>
      </c>
      <c r="P44" s="13">
        <f t="shared" si="33"/>
        <v>78.016456494733006</v>
      </c>
      <c r="Q44" s="20">
        <f t="shared" si="53"/>
        <v>715.55514006165993</v>
      </c>
      <c r="R44" s="59">
        <f t="shared" si="0"/>
        <v>1008.8884733949933</v>
      </c>
      <c r="S44" s="59">
        <f ca="1">AVERAGE(OFFSET($R$3,0,0,'Données projet'!$E$9+1,1))-AVERAGE(OFFSET($H$3,0,0,'Données projet'!$E$9+1,1))</f>
        <v>492.3498626914548</v>
      </c>
      <c r="T44" s="59">
        <f t="shared" si="34"/>
        <v>635.90304180030307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4.3953981897043697</v>
      </c>
      <c r="AA44" s="21">
        <f>EXP(-LN(2)/25)*AA43+(1-EXP(-LN(2)/25))/(LN(2)/25)*Calculateur!V44*Calculateur!X44*VLOOKUP('Données projet'!$B$9,Paramètres!$A$1:$I$89,3,0)*0.475*44/12</f>
        <v>17.833549992343901</v>
      </c>
      <c r="AB44" s="21">
        <f>EXP(-LN(2)/2)*AB43+(1-EXP(-LN(2)/2))/(LN(2)/2)*V44*Y44*VLOOKUP('Données projet'!$B$9,Paramètres!$A$1:$I$89,3,0)*0.475*44/12</f>
        <v>0.25852858178056692</v>
      </c>
      <c r="AC44" s="22">
        <f t="shared" si="3"/>
        <v>22.487476763828838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243.5</v>
      </c>
      <c r="AJ44" s="13">
        <f>AI44*VLOOKUP('Données projet'!$B$10,Paramètres!$A$1:$I$89,3,0)*VLOOKUP('Données projet'!$B$10,Paramètres!$A$1:$I$89,5,0)</f>
        <v>151.94399999999999</v>
      </c>
      <c r="AK44" s="13">
        <f t="shared" si="35"/>
        <v>39.02003496976517</v>
      </c>
      <c r="AL44" s="20">
        <f t="shared" si="4"/>
        <v>332.59569423900763</v>
      </c>
      <c r="AM44" s="59">
        <f t="shared" si="5"/>
        <v>625.92902757234094</v>
      </c>
      <c r="AN44" s="59">
        <f ca="1">AVERAGE(OFFSET($AM$3,0,0,'Données projet'!$E$10+1,1))-AVERAGE(OFFSET($H$3,0,0,'Données projet'!$E$10+1,1))</f>
        <v>175.05987582828078</v>
      </c>
      <c r="AO44" s="59">
        <f t="shared" si="36"/>
        <v>268.54782308462387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4.2340953562618733</v>
      </c>
      <c r="AV44" s="21">
        <f>EXP(-LN(2)/25)*AV43+(1-EXP(-LN(2)/25))/(LN(2)/25)*Calculateur!AQ44*Calculateur!AS44*VLOOKUP('Données projet'!$B$10,Paramètres!$A$1:$I$89,3,0)*0.475*44/12</f>
        <v>13.387371273542934</v>
      </c>
      <c r="AW44" s="21">
        <f>EXP(-LN(2)/2)*AW43+(1-EXP(-LN(2)/2))/(LN(2)/2)*AQ44*AT44*VLOOKUP('Données projet'!$B$10,Paramètres!$A$1:$I$89,3,0)*0.475*44/12</f>
        <v>0.22869916037361926</v>
      </c>
      <c r="AX44" s="21">
        <f t="shared" si="6"/>
        <v>17.850165790178426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12.4</v>
      </c>
      <c r="BD44" s="12">
        <f>IF('Données projet'!$A$88&gt;35,BD43+BC44-BL43,IF(A44&lt;'Données projet'!$A$88,$BA$205^A44,IF(A44='Données projet'!$A$88,'Données projet'!$B$88,BD43+BC44-BL43)))</f>
        <v>312.39999999999992</v>
      </c>
      <c r="BE44" s="13">
        <f>BD44*VLOOKUP('Données projet'!$B$11,Paramètres!$A$1:$I$89,3,0)*VLOOKUP('Données projet'!$B$11,Paramètres!$A$1:$I$89,5,0)</f>
        <v>186.81519999999998</v>
      </c>
      <c r="BF44" s="13">
        <f t="shared" si="37"/>
        <v>46.83514756492545</v>
      </c>
      <c r="BG44" s="20">
        <f t="shared" si="7"/>
        <v>406.94102200891183</v>
      </c>
      <c r="BH44" s="59">
        <f t="shared" si="8"/>
        <v>700.27435534224514</v>
      </c>
      <c r="BI44" s="59">
        <f ca="1">AVERAGE(OFFSET($BH$3,0,0,'Données projet'!$E$11+1,1))-AVERAGE(OFFSET($H$3,0,0,'Données projet'!$E$11+1,1))</f>
        <v>381.78368385345919</v>
      </c>
      <c r="BJ44" s="59">
        <f t="shared" si="38"/>
        <v>257.35575295655639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3.574210928440793</v>
      </c>
      <c r="BR44" s="21">
        <f>EXP(-LN(2)/2)*BR43+(1-EXP(-LN(2)/2))/(LN(2)/2)*BL44*BO44*VLOOKUP('Données projet'!$B$11,Paramètres!$A$1:$I$89,3,0)*0.475*44/12</f>
        <v>13.6687197087846</v>
      </c>
      <c r="BS44" s="22">
        <f t="shared" si="9"/>
        <v>17.242930637225392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28.2</v>
      </c>
      <c r="BY44" s="12">
        <f>IF('Données projet'!$A$114&gt;35,BY43+BX44-CG43,IF(A44&lt;'Données projet'!$A$114,$BV$205^A44,IF(A44='Données projet'!$A$114,'Données projet'!$B$114,BY43+BX44-CG43)))</f>
        <v>475.20000000000027</v>
      </c>
      <c r="BZ44" s="13">
        <f>BY44*VLOOKUP('Données projet'!$B$12,Paramètres!$A$1:$I$89,3,0)*VLOOKUP('Données projet'!$B$12,Paramètres!$A$1:$I$89,5,0)</f>
        <v>228.57120000000015</v>
      </c>
      <c r="CA44" s="13">
        <f t="shared" si="39"/>
        <v>55.973629609935699</v>
      </c>
      <c r="CB44" s="20">
        <f t="shared" si="10"/>
        <v>495.58224490397157</v>
      </c>
      <c r="CC44" s="59">
        <f t="shared" si="11"/>
        <v>788.91557823730489</v>
      </c>
      <c r="CD44" s="59">
        <f ca="1">AVERAGE(OFFSET($CC$3,0,0,'Données projet'!$E$12+1,1))-AVERAGE(OFFSET($H$3,0,0,'Données projet'!$E$12+1,1))</f>
        <v>415.97633163853953</v>
      </c>
      <c r="CE44" s="59">
        <f t="shared" si="40"/>
        <v>356.23532720804423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2.1732886918548675</v>
      </c>
      <c r="CL44" s="21">
        <f>EXP(-LN(2)/25)*CL43+(1-EXP(-LN(2)/25))/(LN(2)/25)*Calculateur!CG44*Calculateur!CI44*VLOOKUP('Données projet'!$B$12,Paramètres!$A$1:$I$89,3,0)*0.475*44/12</f>
        <v>11.086155238849742</v>
      </c>
      <c r="CM44" s="21">
        <f>EXP(-LN(2)/2)*CM43+(1-EXP(-LN(2)/2))/(LN(2)/2)*CG44*CJ44*VLOOKUP('Données projet'!$B$12,Paramètres!$A$1:$I$89,3,0)*0.475*44/12</f>
        <v>0.6999600018460026</v>
      </c>
      <c r="CN44" s="22">
        <f t="shared" si="12"/>
        <v>13.959403932550613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20.399999999999999</v>
      </c>
      <c r="N45" s="13">
        <f>IF('Données projet'!$A$36&gt;35,N44+M45-V44,IF(A45&lt;'Données projet'!$A$36,$K$205^A45,IF(A45='Données projet'!$A$36,'Données projet'!$B$36,N44+M45-V44)))</f>
        <v>615.79999999999995</v>
      </c>
      <c r="O45" s="13">
        <f>N45*VLOOKUP('Données projet'!$B$9,Paramètres!$A$1:$I$89,3,0)*VLOOKUP('Données projet'!$B$9,Paramètres!$A$1:$I$89,5,0)</f>
        <v>344.23219999999998</v>
      </c>
      <c r="P45" s="13">
        <f t="shared" si="33"/>
        <v>80.373715191199906</v>
      </c>
      <c r="Q45" s="20">
        <f t="shared" si="53"/>
        <v>739.52196895800637</v>
      </c>
      <c r="R45" s="59">
        <f t="shared" si="0"/>
        <v>1032.8553022913397</v>
      </c>
      <c r="S45" s="59">
        <f ca="1">AVERAGE(OFFSET($R$3,0,0,'Données projet'!$E$9+1,1))-AVERAGE(OFFSET($H$3,0,0,'Données projet'!$E$9+1,1))</f>
        <v>492.3498626914548</v>
      </c>
      <c r="T45" s="59">
        <f t="shared" si="34"/>
        <v>635.90304180030307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4.3092071121324427</v>
      </c>
      <c r="AA45" s="21">
        <f>EXP(-LN(2)/25)*AA44+(1-EXP(-LN(2)/25))/(LN(2)/25)*Calculateur!V45*Calculateur!X45*VLOOKUP('Données projet'!$B$9,Paramètres!$A$1:$I$89,3,0)*0.475*44/12</f>
        <v>17.345890629977621</v>
      </c>
      <c r="AB45" s="21">
        <f>EXP(-LN(2)/2)*AB44+(1-EXP(-LN(2)/2))/(LN(2)/2)*V45*Y45*VLOOKUP('Données projet'!$B$9,Paramètres!$A$1:$I$89,3,0)*0.475*44/12</f>
        <v>0.18280731330757979</v>
      </c>
      <c r="AC45" s="22">
        <f t="shared" si="3"/>
        <v>21.837905055417647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255</v>
      </c>
      <c r="AG45" s="12">
        <f>VLOOKUP(A45,'Données projet'!$A$61:$I$81,9,0)</f>
        <v>11.5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255</v>
      </c>
      <c r="AJ45" s="13">
        <f>AI45*VLOOKUP('Données projet'!$B$10,Paramètres!$A$1:$I$89,3,0)*VLOOKUP('Données projet'!$B$10,Paramètres!$A$1:$I$89,5,0)</f>
        <v>159.12</v>
      </c>
      <c r="AK45" s="13">
        <f t="shared" si="35"/>
        <v>40.643965284387697</v>
      </c>
      <c r="AL45" s="20">
        <f t="shared" si="4"/>
        <v>347.92223953697521</v>
      </c>
      <c r="AM45" s="59">
        <f t="shared" si="5"/>
        <v>641.25557287030847</v>
      </c>
      <c r="AN45" s="59">
        <f ca="1">AVERAGE(OFFSET($AM$3,0,0,'Données projet'!$E$10+1,1))-AVERAGE(OFFSET($H$3,0,0,'Données projet'!$E$10+1,1))</f>
        <v>175.05987582828078</v>
      </c>
      <c r="AO45" s="59">
        <f t="shared" si="36"/>
        <v>268.54782308462387</v>
      </c>
      <c r="AP45" s="15">
        <f>IF(ISNA(VLOOKUP(A45,'Données projet'!$A$61:$I$81,3,0)),0,VLOOKUP(A45,'Données projet'!$A$61:$I$81,3,0))</f>
        <v>6</v>
      </c>
      <c r="AQ45" s="15">
        <f>IF(ISNA(VLOOKUP(A45,'Données projet'!$A$61:$I$81,4,0)),0,VLOOKUP(A45,'Données projet'!$A$61:$I$81,4,0))</f>
        <v>67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4.1510673288687405</v>
      </c>
      <c r="AV45" s="21">
        <f>EXP(-LN(2)/25)*AV44+(1-EXP(-LN(2)/25))/(LN(2)/25)*Calculateur!AQ45*Calculateur!AS45*VLOOKUP('Données projet'!$B$10,Paramètres!$A$1:$I$89,3,0)*0.475*44/12</f>
        <v>13.021292902056645</v>
      </c>
      <c r="AW45" s="21">
        <f>EXP(-LN(2)/2)*AW44+(1-EXP(-LN(2)/2))/(LN(2)/2)*AQ45*AT45*VLOOKUP('Données projet'!$B$10,Paramètres!$A$1:$I$89,3,0)*0.475*44/12</f>
        <v>0.16171472715185595</v>
      </c>
      <c r="AX45" s="21">
        <f t="shared" si="6"/>
        <v>17.334074958077242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12.4</v>
      </c>
      <c r="BD45" s="12">
        <f>IF('Données projet'!$A$88&gt;35,BD44+BC45-BL44,IF(A45&lt;'Données projet'!$A$88,$BA$205^A45,IF(A45='Données projet'!$A$88,'Données projet'!$B$88,BD44+BC45-BL44)))</f>
        <v>324.7999999999999</v>
      </c>
      <c r="BE45" s="13">
        <f>BD45*VLOOKUP('Données projet'!$B$11,Paramètres!$A$1:$I$89,3,0)*VLOOKUP('Données projet'!$B$11,Paramètres!$A$1:$I$89,5,0)</f>
        <v>194.23039999999995</v>
      </c>
      <c r="BF45" s="13">
        <f t="shared" si="37"/>
        <v>48.474032178961295</v>
      </c>
      <c r="BG45" s="20">
        <f t="shared" si="7"/>
        <v>422.71021937835741</v>
      </c>
      <c r="BH45" s="59">
        <f t="shared" si="8"/>
        <v>716.04355271169072</v>
      </c>
      <c r="BI45" s="59">
        <f ca="1">AVERAGE(OFFSET($BH$3,0,0,'Données projet'!$E$11+1,1))-AVERAGE(OFFSET($H$3,0,0,'Données projet'!$E$11+1,1))</f>
        <v>381.78368385345919</v>
      </c>
      <c r="BJ45" s="59">
        <f t="shared" si="38"/>
        <v>257.35575295655639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3.4764739426429956</v>
      </c>
      <c r="BR45" s="21">
        <f>EXP(-LN(2)/2)*BR44+(1-EXP(-LN(2)/2))/(LN(2)/2)*BL45*BO45*VLOOKUP('Données projet'!$B$11,Paramètres!$A$1:$I$89,3,0)*0.475*44/12</f>
        <v>9.6652443962198031</v>
      </c>
      <c r="BS45" s="22">
        <f t="shared" si="9"/>
        <v>13.141718338862798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28.2</v>
      </c>
      <c r="BY45" s="12">
        <f>IF('Données projet'!$A$114&gt;35,BY44+BX45-CG44,IF(A45&lt;'Données projet'!$A$114,$BV$205^A45,IF(A45='Données projet'!$A$114,'Données projet'!$B$114,BY44+BX45-CG44)))</f>
        <v>503.40000000000026</v>
      </c>
      <c r="BZ45" s="13">
        <f>BY45*VLOOKUP('Données projet'!$B$12,Paramètres!$A$1:$I$89,3,0)*VLOOKUP('Données projet'!$B$12,Paramètres!$A$1:$I$89,5,0)</f>
        <v>242.13540000000012</v>
      </c>
      <c r="CA45" s="13">
        <f t="shared" si="39"/>
        <v>58.89873506387687</v>
      </c>
      <c r="CB45" s="20">
        <f t="shared" si="10"/>
        <v>524.30111856958581</v>
      </c>
      <c r="CC45" s="59">
        <f t="shared" si="11"/>
        <v>817.63445190291918</v>
      </c>
      <c r="CD45" s="59">
        <f ca="1">AVERAGE(OFFSET($CC$3,0,0,'Données projet'!$E$12+1,1))-AVERAGE(OFFSET($H$3,0,0,'Données projet'!$E$12+1,1))</f>
        <v>415.97633163853953</v>
      </c>
      <c r="CE45" s="59">
        <f t="shared" si="40"/>
        <v>356.23532720804423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2.1306718261828057</v>
      </c>
      <c r="CL45" s="21">
        <f>EXP(-LN(2)/25)*CL44+(1-EXP(-LN(2)/25))/(LN(2)/25)*Calculateur!CG45*Calculateur!CI45*VLOOKUP('Données projet'!$B$12,Paramètres!$A$1:$I$89,3,0)*0.475*44/12</f>
        <v>10.783003740847828</v>
      </c>
      <c r="CM45" s="21">
        <f>EXP(-LN(2)/2)*CM44+(1-EXP(-LN(2)/2))/(LN(2)/2)*CG45*CJ45*VLOOKUP('Données projet'!$B$12,Paramètres!$A$1:$I$89,3,0)*0.475*44/12</f>
        <v>0.49494646386465679</v>
      </c>
      <c r="CN45" s="22">
        <f t="shared" si="12"/>
        <v>13.408622030895291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20.399999999999999</v>
      </c>
      <c r="N46" s="13">
        <f>IF('Données projet'!$A$36&gt;35,N45+M46-V45,IF(A46&lt;'Données projet'!$A$36,$K$205^A46,IF(A46='Données projet'!$A$36,'Données projet'!$B$36,N45+M46-V45)))</f>
        <v>636.19999999999993</v>
      </c>
      <c r="O46" s="13">
        <f>N46*VLOOKUP('Données projet'!$B$9,Paramètres!$A$1:$I$89,3,0)*VLOOKUP('Données projet'!$B$9,Paramètres!$A$1:$I$89,5,0)</f>
        <v>355.63579999999996</v>
      </c>
      <c r="P46" s="13">
        <f t="shared" si="33"/>
        <v>82.72189991276511</v>
      </c>
      <c r="Q46" s="20">
        <f t="shared" si="53"/>
        <v>763.47299401473254</v>
      </c>
      <c r="R46" s="59">
        <f t="shared" si="0"/>
        <v>1056.8063273480659</v>
      </c>
      <c r="S46" s="59">
        <f ca="1">AVERAGE(OFFSET($R$3,0,0,'Données projet'!$E$9+1,1))-AVERAGE(OFFSET($H$3,0,0,'Données projet'!$E$9+1,1))</f>
        <v>492.3498626914548</v>
      </c>
      <c r="T46" s="59">
        <f t="shared" si="34"/>
        <v>635.90304180030307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4.2247061890203348</v>
      </c>
      <c r="AA46" s="21">
        <f>EXP(-LN(2)/25)*AA45+(1-EXP(-LN(2)/25))/(LN(2)/25)*Calculateur!V46*Calculateur!X46*VLOOKUP('Données projet'!$B$9,Paramètres!$A$1:$I$89,3,0)*0.475*44/12</f>
        <v>16.87156633852014</v>
      </c>
      <c r="AB46" s="21">
        <f>EXP(-LN(2)/2)*AB45+(1-EXP(-LN(2)/2))/(LN(2)/2)*V46*Y46*VLOOKUP('Données projet'!$B$9,Paramètres!$A$1:$I$89,3,0)*0.475*44/12</f>
        <v>0.12926429089028346</v>
      </c>
      <c r="AC46" s="22">
        <f t="shared" si="3"/>
        <v>21.225536818430758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10.666666666666666</v>
      </c>
      <c r="AI46" s="13">
        <f>IF('Données projet'!$A$62&gt;35,AI45+AH46-AQ45,IF(A46&lt;'Données projet'!$A$62,$AF$205^A46,IF(A46='Données projet'!$A$62,'Données projet'!$B$62,AI45+AH46-AQ45)))</f>
        <v>198.66666666666669</v>
      </c>
      <c r="AJ46" s="13">
        <f>AI46*VLOOKUP('Données projet'!$B$10,Paramètres!$A$1:$I$89,3,0)*VLOOKUP('Données projet'!$B$10,Paramètres!$A$1:$I$89,5,0)</f>
        <v>123.968</v>
      </c>
      <c r="AK46" s="13">
        <f t="shared" si="35"/>
        <v>32.598710622532096</v>
      </c>
      <c r="AL46" s="20">
        <f t="shared" si="4"/>
        <v>272.68702100091008</v>
      </c>
      <c r="AM46" s="59">
        <f t="shared" si="5"/>
        <v>566.02035433424339</v>
      </c>
      <c r="AN46" s="59">
        <f ca="1">AVERAGE(OFFSET($AM$3,0,0,'Données projet'!$E$10+1,1))-AVERAGE(OFFSET($H$3,0,0,'Données projet'!$E$10+1,1))</f>
        <v>175.05987582828078</v>
      </c>
      <c r="AO46" s="59">
        <f t="shared" si="36"/>
        <v>268.54782308462387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4.069667430450691</v>
      </c>
      <c r="AV46" s="21">
        <f>EXP(-LN(2)/25)*AV45+(1-EXP(-LN(2)/25))/(LN(2)/25)*Calculateur!AQ46*Calculateur!AS46*VLOOKUP('Données projet'!$B$10,Paramètres!$A$1:$I$89,3,0)*0.475*44/12</f>
        <v>12.665224962889873</v>
      </c>
      <c r="AW46" s="21">
        <f>EXP(-LN(2)/2)*AW45+(1-EXP(-LN(2)/2))/(LN(2)/2)*AQ46*AT46*VLOOKUP('Données projet'!$B$10,Paramètres!$A$1:$I$89,3,0)*0.475*44/12</f>
        <v>0.11434958018680964</v>
      </c>
      <c r="AX46" s="21">
        <f t="shared" si="6"/>
        <v>16.849241973527377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12.4</v>
      </c>
      <c r="BD46" s="12">
        <f>IF('Données projet'!$A$88&gt;35,BD45+BC46-BL45,IF(A46&lt;'Données projet'!$A$88,$BA$205^A46,IF(A46='Données projet'!$A$88,'Données projet'!$B$88,BD45+BC46-BL45)))</f>
        <v>337.19999999999987</v>
      </c>
      <c r="BE46" s="13">
        <f>BD46*VLOOKUP('Données projet'!$B$11,Paramètres!$A$1:$I$89,3,0)*VLOOKUP('Données projet'!$B$11,Paramètres!$A$1:$I$89,5,0)</f>
        <v>201.64559999999992</v>
      </c>
      <c r="BF46" s="13">
        <f t="shared" si="37"/>
        <v>50.105648141343046</v>
      </c>
      <c r="BG46" s="20">
        <f t="shared" si="7"/>
        <v>438.46675717950558</v>
      </c>
      <c r="BH46" s="59">
        <f t="shared" si="8"/>
        <v>731.80009051283889</v>
      </c>
      <c r="BI46" s="59">
        <f ca="1">AVERAGE(OFFSET($BH$3,0,0,'Données projet'!$E$11+1,1))-AVERAGE(OFFSET($H$3,0,0,'Données projet'!$E$11+1,1))</f>
        <v>381.78368385345919</v>
      </c>
      <c r="BJ46" s="59">
        <f t="shared" si="38"/>
        <v>257.35575295655639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3.3814095798616037</v>
      </c>
      <c r="BR46" s="21">
        <f>EXP(-LN(2)/2)*BR45+(1-EXP(-LN(2)/2))/(LN(2)/2)*BL46*BO46*VLOOKUP('Données projet'!$B$11,Paramètres!$A$1:$I$89,3,0)*0.475*44/12</f>
        <v>6.8343598543923019</v>
      </c>
      <c r="BS46" s="22">
        <f t="shared" si="9"/>
        <v>10.215769434253906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28.2</v>
      </c>
      <c r="BY46" s="12">
        <f>IF('Données projet'!$A$114&gt;35,BY45+BX46-CG45,IF(A46&lt;'Données projet'!$A$114,$BV$205^A46,IF(A46='Données projet'!$A$114,'Données projet'!$B$114,BY45+BX46-CG45)))</f>
        <v>531.60000000000025</v>
      </c>
      <c r="BZ46" s="13">
        <f>BY46*VLOOKUP('Données projet'!$B$12,Paramètres!$A$1:$I$89,3,0)*VLOOKUP('Données projet'!$B$12,Paramètres!$A$1:$I$89,5,0)</f>
        <v>255.69960000000012</v>
      </c>
      <c r="CA46" s="13">
        <f t="shared" si="39"/>
        <v>61.804818566254205</v>
      </c>
      <c r="CB46" s="20">
        <f t="shared" si="10"/>
        <v>552.9868623362263</v>
      </c>
      <c r="CC46" s="59">
        <f t="shared" si="11"/>
        <v>846.32019566955955</v>
      </c>
      <c r="CD46" s="59">
        <f ca="1">AVERAGE(OFFSET($CC$3,0,0,'Données projet'!$E$12+1,1))-AVERAGE(OFFSET($H$3,0,0,'Données projet'!$E$12+1,1))</f>
        <v>415.97633163853953</v>
      </c>
      <c r="CE46" s="59">
        <f t="shared" si="40"/>
        <v>356.23532720804423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2.0888906512528518</v>
      </c>
      <c r="CL46" s="21">
        <f>EXP(-LN(2)/25)*CL45+(1-EXP(-LN(2)/25))/(LN(2)/25)*Calculateur!CG46*Calculateur!CI46*VLOOKUP('Données projet'!$B$12,Paramètres!$A$1:$I$89,3,0)*0.475*44/12</f>
        <v>10.488141936500822</v>
      </c>
      <c r="CM46" s="21">
        <f>EXP(-LN(2)/2)*CM45+(1-EXP(-LN(2)/2))/(LN(2)/2)*CG46*CJ46*VLOOKUP('Données projet'!$B$12,Paramètres!$A$1:$I$89,3,0)*0.475*44/12</f>
        <v>0.34998000092300136</v>
      </c>
      <c r="CN46" s="22">
        <f t="shared" si="12"/>
        <v>12.927012588676675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20.399999999999999</v>
      </c>
      <c r="N47" s="13">
        <f>IF('Données projet'!$A$36&gt;35,N46+M47-V46,IF(A47&lt;'Données projet'!$A$36,$K$205^A47,IF(A47='Données projet'!$A$36,'Données projet'!$B$36,N46+M47-V46)))</f>
        <v>656.59999999999991</v>
      </c>
      <c r="O47" s="13">
        <f>N47*VLOOKUP('Données projet'!$B$9,Paramètres!$A$1:$I$89,3,0)*VLOOKUP('Données projet'!$B$9,Paramètres!$A$1:$I$89,5,0)</f>
        <v>367.03939999999994</v>
      </c>
      <c r="P47" s="13">
        <f t="shared" si="33"/>
        <v>85.061334995140626</v>
      </c>
      <c r="Q47" s="20">
        <f t="shared" si="53"/>
        <v>787.40878011653638</v>
      </c>
      <c r="R47" s="59">
        <f t="shared" si="0"/>
        <v>1080.7421134498697</v>
      </c>
      <c r="S47" s="59">
        <f ca="1">AVERAGE(OFFSET($R$3,0,0,'Données projet'!$E$9+1,1))-AVERAGE(OFFSET($H$3,0,0,'Données projet'!$E$9+1,1))</f>
        <v>492.3498626914548</v>
      </c>
      <c r="T47" s="59">
        <f t="shared" si="34"/>
        <v>635.90304180030307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4.1418622774699818</v>
      </c>
      <c r="AA47" s="21">
        <f>EXP(-LN(2)/25)*AA46+(1-EXP(-LN(2)/25))/(LN(2)/25)*Calculateur!V47*Calculateur!X47*VLOOKUP('Données projet'!$B$9,Paramètres!$A$1:$I$89,3,0)*0.475*44/12</f>
        <v>16.410212469756193</v>
      </c>
      <c r="AB47" s="21">
        <f>EXP(-LN(2)/2)*AB46+(1-EXP(-LN(2)/2))/(LN(2)/2)*V47*Y47*VLOOKUP('Données projet'!$B$9,Paramètres!$A$1:$I$89,3,0)*0.475*44/12</f>
        <v>9.1403656653789897E-2</v>
      </c>
      <c r="AC47" s="22">
        <f t="shared" si="3"/>
        <v>20.643478403879964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10.666666666666666</v>
      </c>
      <c r="AI47" s="13">
        <f>IF('Données projet'!$A$62&gt;35,AI46+AH47-AQ46,IF(A47&lt;'Données projet'!$A$62,$AF$205^A47,IF(A47='Données projet'!$A$62,'Données projet'!$B$62,AI46+AH47-AQ46)))</f>
        <v>209.33333333333334</v>
      </c>
      <c r="AJ47" s="13">
        <f>AI47*VLOOKUP('Données projet'!$B$10,Paramètres!$A$1:$I$89,3,0)*VLOOKUP('Données projet'!$B$10,Paramètres!$A$1:$I$89,5,0)</f>
        <v>130.62400000000002</v>
      </c>
      <c r="AK47" s="13">
        <f t="shared" si="35"/>
        <v>34.140507202645395</v>
      </c>
      <c r="AL47" s="20">
        <f t="shared" si="4"/>
        <v>286.96485004460743</v>
      </c>
      <c r="AM47" s="59">
        <f t="shared" si="5"/>
        <v>580.29818337794075</v>
      </c>
      <c r="AN47" s="59">
        <f ca="1">AVERAGE(OFFSET($AM$3,0,0,'Données projet'!$E$10+1,1))-AVERAGE(OFFSET($H$3,0,0,'Données projet'!$E$10+1,1))</f>
        <v>175.05987582828078</v>
      </c>
      <c r="AO47" s="59">
        <f t="shared" si="36"/>
        <v>268.54782308462387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3.9898637343915837</v>
      </c>
      <c r="AV47" s="21">
        <f>EXP(-LN(2)/25)*AV46+(1-EXP(-LN(2)/25))/(LN(2)/25)*Calculateur!AQ47*Calculateur!AS47*VLOOKUP('Données projet'!$B$10,Paramètres!$A$1:$I$89,3,0)*0.475*44/12</f>
        <v>12.318893720244416</v>
      </c>
      <c r="AW47" s="21">
        <f>EXP(-LN(2)/2)*AW46+(1-EXP(-LN(2)/2))/(LN(2)/2)*AQ47*AT47*VLOOKUP('Données projet'!$B$10,Paramètres!$A$1:$I$89,3,0)*0.475*44/12</f>
        <v>8.0857363575927987E-2</v>
      </c>
      <c r="AX47" s="21">
        <f t="shared" si="6"/>
        <v>16.389614818211928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12.4</v>
      </c>
      <c r="BD47" s="12">
        <f>IF('Données projet'!$A$88&gt;35,BD46+BC47-BL46,IF(A47&lt;'Données projet'!$A$88,$BA$205^A47,IF(A47='Données projet'!$A$88,'Données projet'!$B$88,BD46+BC47-BL46)))</f>
        <v>349.59999999999985</v>
      </c>
      <c r="BE47" s="13">
        <f>BD47*VLOOKUP('Données projet'!$B$11,Paramètres!$A$1:$I$89,3,0)*VLOOKUP('Données projet'!$B$11,Paramètres!$A$1:$I$89,5,0)</f>
        <v>209.06079999999994</v>
      </c>
      <c r="BF47" s="13">
        <f t="shared" si="37"/>
        <v>51.730293357107804</v>
      </c>
      <c r="BG47" s="20">
        <f t="shared" si="7"/>
        <v>454.21115426362923</v>
      </c>
      <c r="BH47" s="59">
        <f t="shared" si="8"/>
        <v>747.54448759696254</v>
      </c>
      <c r="BI47" s="59">
        <f ca="1">AVERAGE(OFFSET($BH$3,0,0,'Données projet'!$E$11+1,1))-AVERAGE(OFFSET($H$3,0,0,'Données projet'!$E$11+1,1))</f>
        <v>381.78368385345919</v>
      </c>
      <c r="BJ47" s="59">
        <f t="shared" si="38"/>
        <v>257.35575295655639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3.2889447570796868</v>
      </c>
      <c r="BR47" s="21">
        <f>EXP(-LN(2)/2)*BR46+(1-EXP(-LN(2)/2))/(LN(2)/2)*BL47*BO47*VLOOKUP('Données projet'!$B$11,Paramètres!$A$1:$I$89,3,0)*0.475*44/12</f>
        <v>4.8326221981099025</v>
      </c>
      <c r="BS47" s="22">
        <f t="shared" si="9"/>
        <v>8.1215669551895893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28.2</v>
      </c>
      <c r="BY47" s="12">
        <f>IF('Données projet'!$A$114&gt;35,BY46+BX47-CG46,IF(A47&lt;'Données projet'!$A$114,$BV$205^A47,IF(A47='Données projet'!$A$114,'Données projet'!$B$114,BY46+BX47-CG46)))</f>
        <v>559.8000000000003</v>
      </c>
      <c r="BZ47" s="13">
        <f>BY47*VLOOKUP('Données projet'!$B$12,Paramètres!$A$1:$I$89,3,0)*VLOOKUP('Données projet'!$B$12,Paramètres!$A$1:$I$89,5,0)</f>
        <v>269.26380000000017</v>
      </c>
      <c r="CA47" s="13">
        <f t="shared" si="39"/>
        <v>64.693004248130009</v>
      </c>
      <c r="CB47" s="20">
        <f t="shared" si="10"/>
        <v>581.6414340654934</v>
      </c>
      <c r="CC47" s="59">
        <f t="shared" si="11"/>
        <v>874.97476739882677</v>
      </c>
      <c r="CD47" s="59">
        <f ca="1">AVERAGE(OFFSET($CC$3,0,0,'Données projet'!$E$12+1,1))-AVERAGE(OFFSET($H$3,0,0,'Données projet'!$E$12+1,1))</f>
        <v>415.97633163853953</v>
      </c>
      <c r="CE47" s="59">
        <f t="shared" si="40"/>
        <v>356.23532720804423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2.0479287796792738</v>
      </c>
      <c r="CL47" s="21">
        <f>EXP(-LN(2)/25)*CL46+(1-EXP(-LN(2)/25))/(LN(2)/25)*Calculateur!CG47*Calculateur!CI47*VLOOKUP('Données projet'!$B$12,Paramètres!$A$1:$I$89,3,0)*0.475*44/12</f>
        <v>10.201343143699795</v>
      </c>
      <c r="CM47" s="21">
        <f>EXP(-LN(2)/2)*CM46+(1-EXP(-LN(2)/2))/(LN(2)/2)*CG47*CJ47*VLOOKUP('Données projet'!$B$12,Paramètres!$A$1:$I$89,3,0)*0.475*44/12</f>
        <v>0.24747323193232842</v>
      </c>
      <c r="CN47" s="22">
        <f t="shared" si="12"/>
        <v>12.496745155311398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677</v>
      </c>
      <c r="L48" s="12">
        <f>VLOOKUP(A48,'Données projet'!$A$35:$I$55,9,0)</f>
        <v>20.399999999999999</v>
      </c>
      <c r="M48" s="12">
        <f t="array" ref="M48">INDEX(L:L,MIN(IF(ISNUMBER(L48:L244),ROW(L48:L244),"")))</f>
        <v>20.399999999999999</v>
      </c>
      <c r="N48" s="13">
        <f>IF('Données projet'!$A$36&gt;35,N47+M48-V47,IF(A48&lt;'Données projet'!$A$36,$K$205^A48,IF(A48='Données projet'!$A$36,'Données projet'!$B$36,N47+M48-V47)))</f>
        <v>676.99999999999989</v>
      </c>
      <c r="O48" s="13">
        <f>N48*VLOOKUP('Données projet'!$B$9,Paramètres!$A$1:$I$89,3,0)*VLOOKUP('Données projet'!$B$9,Paramètres!$A$1:$I$89,5,0)</f>
        <v>378.44299999999998</v>
      </c>
      <c r="P48" s="13">
        <f t="shared" si="33"/>
        <v>87.392323475551621</v>
      </c>
      <c r="Q48" s="20">
        <f t="shared" si="53"/>
        <v>811.32985505325234</v>
      </c>
      <c r="R48" s="59">
        <f t="shared" si="0"/>
        <v>1104.6631883865857</v>
      </c>
      <c r="S48" s="59">
        <f ca="1">AVERAGE(OFFSET($R$3,0,0,'Données projet'!$E$9+1,1))-AVERAGE(OFFSET($H$3,0,0,'Données projet'!$E$9+1,1))</f>
        <v>492.3498626914548</v>
      </c>
      <c r="T48" s="59">
        <f t="shared" si="34"/>
        <v>635.90304180030307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82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4.0606428844953344</v>
      </c>
      <c r="AA48" s="21">
        <f>EXP(-LN(2)/25)*AA47+(1-EXP(-LN(2)/25))/(LN(2)/25)*Calculateur!V48*Calculateur!X48*VLOOKUP('Données projet'!$B$9,Paramètres!$A$1:$I$89,3,0)*0.475*44/12</f>
        <v>15.961474346795141</v>
      </c>
      <c r="AB48" s="21">
        <f>EXP(-LN(2)/2)*AB47+(1-EXP(-LN(2)/2))/(LN(2)/2)*V48*Y48*VLOOKUP('Données projet'!$B$9,Paramètres!$A$1:$I$89,3,0)*0.475*44/12</f>
        <v>6.4632145445141731E-2</v>
      </c>
      <c r="AC48" s="22">
        <f t="shared" si="3"/>
        <v>20.086749376735618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10.666666666666666</v>
      </c>
      <c r="AI48" s="13">
        <f>IF('Données projet'!$A$62&gt;35,AI47+AH48-AQ47,IF(A48&lt;'Données projet'!$A$62,$AF$205^A48,IF(A48='Données projet'!$A$62,'Données projet'!$B$62,AI47+AH48-AQ47)))</f>
        <v>220</v>
      </c>
      <c r="AJ48" s="13">
        <f>AI48*VLOOKUP('Données projet'!$B$10,Paramètres!$A$1:$I$89,3,0)*VLOOKUP('Données projet'!$B$10,Paramètres!$A$1:$I$89,5,0)</f>
        <v>137.28</v>
      </c>
      <c r="AK48" s="13">
        <f t="shared" si="35"/>
        <v>35.673181961873446</v>
      </c>
      <c r="AL48" s="20">
        <f t="shared" si="4"/>
        <v>301.22679191692959</v>
      </c>
      <c r="AM48" s="59">
        <f t="shared" si="5"/>
        <v>594.5601252502629</v>
      </c>
      <c r="AN48" s="59">
        <f ca="1">AVERAGE(OFFSET($AM$3,0,0,'Données projet'!$E$10+1,1))-AVERAGE(OFFSET($H$3,0,0,'Données projet'!$E$10+1,1))</f>
        <v>175.05987582828078</v>
      </c>
      <c r="AO48" s="59">
        <f t="shared" si="36"/>
        <v>268.54782308462387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3.9116249401367469</v>
      </c>
      <c r="AV48" s="21">
        <f>EXP(-LN(2)/25)*AV47+(1-EXP(-LN(2)/25))/(LN(2)/25)*Calculateur!AQ48*Calculateur!AS48*VLOOKUP('Données projet'!$B$10,Paramètres!$A$1:$I$89,3,0)*0.475*44/12</f>
        <v>11.982032923641867</v>
      </c>
      <c r="AW48" s="21">
        <f>EXP(-LN(2)/2)*AW47+(1-EXP(-LN(2)/2))/(LN(2)/2)*AQ48*AT48*VLOOKUP('Données projet'!$B$10,Paramètres!$A$1:$I$89,3,0)*0.475*44/12</f>
        <v>5.7174790093404836E-2</v>
      </c>
      <c r="AX48" s="21">
        <f t="shared" si="6"/>
        <v>15.95083265387202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12.4</v>
      </c>
      <c r="BD48" s="12">
        <f>IF('Données projet'!$A$88&gt;35,BD47+BC48-BL47,IF(A48&lt;'Données projet'!$A$88,$BA$205^A48,IF(A48='Données projet'!$A$88,'Données projet'!$B$88,BD47+BC48-BL47)))</f>
        <v>361.99999999999983</v>
      </c>
      <c r="BE48" s="13">
        <f>BD48*VLOOKUP('Données projet'!$B$11,Paramètres!$A$1:$I$89,3,0)*VLOOKUP('Données projet'!$B$11,Paramètres!$A$1:$I$89,5,0)</f>
        <v>216.47599999999991</v>
      </c>
      <c r="BF48" s="13">
        <f t="shared" si="37"/>
        <v>53.348243400339264</v>
      </c>
      <c r="BG48" s="20">
        <f t="shared" si="7"/>
        <v>469.94389058892403</v>
      </c>
      <c r="BH48" s="59">
        <f t="shared" si="8"/>
        <v>763.27722392225735</v>
      </c>
      <c r="BI48" s="59">
        <f ca="1">AVERAGE(OFFSET($BH$3,0,0,'Données projet'!$E$11+1,1))-AVERAGE(OFFSET($H$3,0,0,'Données projet'!$E$11+1,1))</f>
        <v>381.78368385345919</v>
      </c>
      <c r="BJ48" s="59">
        <f t="shared" si="38"/>
        <v>257.35575295655639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3.1990083897392552</v>
      </c>
      <c r="BR48" s="21">
        <f>EXP(-LN(2)/2)*BR47+(1-EXP(-LN(2)/2))/(LN(2)/2)*BL48*BO48*VLOOKUP('Données projet'!$B$11,Paramètres!$A$1:$I$89,3,0)*0.475*44/12</f>
        <v>3.4171799271961514</v>
      </c>
      <c r="BS48" s="22">
        <f t="shared" si="9"/>
        <v>6.616188316935407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588</v>
      </c>
      <c r="BW48" s="12">
        <f>VLOOKUP(A48,'Données projet'!$A$113:$I$133,9,0)</f>
        <v>28.2</v>
      </c>
      <c r="BX48" s="12">
        <f t="array" ref="BX48">INDEX(BW:BW,MIN(IF(ISNUMBER(BW48:BW244),ROW(BW48:BW244),"")))</f>
        <v>28.2</v>
      </c>
      <c r="BY48" s="12">
        <f>IF('Données projet'!$A$114&gt;35,BY47+BX48-CG47,IF(A48&lt;'Données projet'!$A$114,$BV$205^A48,IF(A48='Données projet'!$A$114,'Données projet'!$B$114,BY47+BX48-CG47)))</f>
        <v>588.00000000000034</v>
      </c>
      <c r="BZ48" s="13">
        <f>BY48*VLOOKUP('Données projet'!$B$12,Paramètres!$A$1:$I$89,3,0)*VLOOKUP('Données projet'!$B$12,Paramètres!$A$1:$I$89,5,0)</f>
        <v>282.82800000000015</v>
      </c>
      <c r="CA48" s="13">
        <f t="shared" si="39"/>
        <v>67.564296586474399</v>
      </c>
      <c r="CB48" s="20">
        <f t="shared" si="10"/>
        <v>610.26658322144317</v>
      </c>
      <c r="CC48" s="59">
        <f t="shared" si="11"/>
        <v>903.59991655477643</v>
      </c>
      <c r="CD48" s="59">
        <f ca="1">AVERAGE(OFFSET($CC$3,0,0,'Données projet'!$E$12+1,1))-AVERAGE(OFFSET($H$3,0,0,'Données projet'!$E$12+1,1))</f>
        <v>415.97633163853953</v>
      </c>
      <c r="CE48" s="59">
        <f t="shared" si="40"/>
        <v>356.23532720804423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77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2.0077701454229793</v>
      </c>
      <c r="CL48" s="21">
        <f>EXP(-LN(2)/25)*CL47+(1-EXP(-LN(2)/25))/(LN(2)/25)*Calculateur!CG48*Calculateur!CI48*VLOOKUP('Données projet'!$B$12,Paramètres!$A$1:$I$89,3,0)*0.475*44/12</f>
        <v>9.9223868789700038</v>
      </c>
      <c r="CM48" s="21">
        <f>EXP(-LN(2)/2)*CM47+(1-EXP(-LN(2)/2))/(LN(2)/2)*CG48*CJ48*VLOOKUP('Données projet'!$B$12,Paramètres!$A$1:$I$89,3,0)*0.475*44/12</f>
        <v>0.17499000046150071</v>
      </c>
      <c r="CN48" s="22">
        <f t="shared" si="12"/>
        <v>12.105147024854483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19.2</v>
      </c>
      <c r="N49" s="13">
        <f>IF('Données projet'!$A$36&gt;35,N48+M49-V48,IF(A49&lt;'Données projet'!$A$36,$K$205^A49,IF(A49='Données projet'!$A$36,'Données projet'!$B$36,N48+M49-V48)))</f>
        <v>614.19999999999993</v>
      </c>
      <c r="O49" s="13">
        <f>N49*VLOOKUP('Données projet'!$B$9,Paramètres!$A$1:$I$89,3,0)*VLOOKUP('Données projet'!$B$9,Paramètres!$A$1:$I$89,5,0)</f>
        <v>343.33780000000002</v>
      </c>
      <c r="P49" s="13">
        <f t="shared" si="33"/>
        <v>80.189164455589108</v>
      </c>
      <c r="Q49" s="20">
        <f t="shared" si="53"/>
        <v>737.64279642681765</v>
      </c>
      <c r="R49" s="59">
        <f t="shared" si="0"/>
        <v>1030.976129760151</v>
      </c>
      <c r="S49" s="59">
        <f ca="1">AVERAGE(OFFSET($R$3,0,0,'Données projet'!$E$9+1,1))-AVERAGE(OFFSET($H$3,0,0,'Données projet'!$E$9+1,1))</f>
        <v>492.3498626914548</v>
      </c>
      <c r="T49" s="59">
        <f t="shared" si="34"/>
        <v>635.90304180030307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3.9810161542779818</v>
      </c>
      <c r="AA49" s="21">
        <f>EXP(-LN(2)/25)*AA48+(1-EXP(-LN(2)/25))/(LN(2)/25)*Calculateur!V49*Calculateur!X49*VLOOKUP('Données projet'!$B$9,Paramètres!$A$1:$I$89,3,0)*0.475*44/12</f>
        <v>15.525006991404572</v>
      </c>
      <c r="AB49" s="21">
        <f>EXP(-LN(2)/2)*AB48+(1-EXP(-LN(2)/2))/(LN(2)/2)*V49*Y49*VLOOKUP('Données projet'!$B$9,Paramètres!$A$1:$I$89,3,0)*0.475*44/12</f>
        <v>4.5701828326894949E-2</v>
      </c>
      <c r="AC49" s="22">
        <f t="shared" si="3"/>
        <v>19.551724974009449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10.666666666666666</v>
      </c>
      <c r="AI49" s="13">
        <f>IF('Données projet'!$A$62&gt;35,AI48+AH49-AQ48,IF(A49&lt;'Données projet'!$A$62,$AF$205^A49,IF(A49='Données projet'!$A$62,'Données projet'!$B$62,AI48+AH49-AQ48)))</f>
        <v>230.66666666666666</v>
      </c>
      <c r="AJ49" s="13">
        <f>AI49*VLOOKUP('Données projet'!$B$10,Paramètres!$A$1:$I$89,3,0)*VLOOKUP('Données projet'!$B$10,Paramètres!$A$1:$I$89,5,0)</f>
        <v>143.93599999999998</v>
      </c>
      <c r="AK49" s="13">
        <f t="shared" si="35"/>
        <v>37.197227655019397</v>
      </c>
      <c r="AL49" s="20">
        <f t="shared" si="4"/>
        <v>315.47370483249205</v>
      </c>
      <c r="AM49" s="59">
        <f t="shared" si="5"/>
        <v>608.80703816582536</v>
      </c>
      <c r="AN49" s="59">
        <f ca="1">AVERAGE(OFFSET($AM$3,0,0,'Données projet'!$E$10+1,1))-AVERAGE(OFFSET($H$3,0,0,'Données projet'!$E$10+1,1))</f>
        <v>175.05987582828078</v>
      </c>
      <c r="AO49" s="59">
        <f t="shared" si="36"/>
        <v>268.54782308462387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3.834920360916295</v>
      </c>
      <c r="AV49" s="21">
        <f>EXP(-LN(2)/25)*AV48+(1-EXP(-LN(2)/25))/(LN(2)/25)*Calculateur!AQ49*Calculateur!AS49*VLOOKUP('Données projet'!$B$10,Paramètres!$A$1:$I$89,3,0)*0.475*44/12</f>
        <v>11.654383603237154</v>
      </c>
      <c r="AW49" s="21">
        <f>EXP(-LN(2)/2)*AW48+(1-EXP(-LN(2)/2))/(LN(2)/2)*AQ49*AT49*VLOOKUP('Données projet'!$B$10,Paramètres!$A$1:$I$89,3,0)*0.475*44/12</f>
        <v>4.0428681787964001E-2</v>
      </c>
      <c r="AX49" s="21">
        <f t="shared" si="6"/>
        <v>15.529732645941412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12.4</v>
      </c>
      <c r="BD49" s="12">
        <f>IF('Données projet'!$A$88&gt;35,BD48+BC49-BL48,IF(A49&lt;'Données projet'!$A$88,$BA$205^A49,IF(A49='Données projet'!$A$88,'Données projet'!$B$88,BD48+BC49-BL48)))</f>
        <v>374.39999999999981</v>
      </c>
      <c r="BE49" s="13">
        <f>BD49*VLOOKUP('Données projet'!$B$11,Paramètres!$A$1:$I$89,3,0)*VLOOKUP('Données projet'!$B$11,Paramètres!$A$1:$I$89,5,0)</f>
        <v>223.89119999999991</v>
      </c>
      <c r="BF49" s="13">
        <f t="shared" si="37"/>
        <v>54.95975389514858</v>
      </c>
      <c r="BG49" s="20">
        <f t="shared" si="7"/>
        <v>485.66541136738368</v>
      </c>
      <c r="BH49" s="59">
        <f t="shared" si="8"/>
        <v>778.998744700717</v>
      </c>
      <c r="BI49" s="59">
        <f ca="1">AVERAGE(OFFSET($BH$3,0,0,'Données projet'!$E$11+1,1))-AVERAGE(OFFSET($H$3,0,0,'Données projet'!$E$11+1,1))</f>
        <v>381.78368385345919</v>
      </c>
      <c r="BJ49" s="59">
        <f t="shared" si="38"/>
        <v>257.35575295655639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3.1115313370932953</v>
      </c>
      <c r="BR49" s="21">
        <f>EXP(-LN(2)/2)*BR48+(1-EXP(-LN(2)/2))/(LN(2)/2)*BL49*BO49*VLOOKUP('Données projet'!$B$11,Paramètres!$A$1:$I$89,3,0)*0.475*44/12</f>
        <v>2.4163110990549517</v>
      </c>
      <c r="BS49" s="22">
        <f t="shared" si="9"/>
        <v>5.527842436148247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26.6</v>
      </c>
      <c r="BY49" s="12">
        <f>IF('Données projet'!$A$114&gt;35,BY48+BX49-CG48,IF(A49&lt;'Données projet'!$A$114,$BV$205^A49,IF(A49='Données projet'!$A$114,'Données projet'!$B$114,BY48+BX49-CG48)))</f>
        <v>537.60000000000036</v>
      </c>
      <c r="BZ49" s="13">
        <f>BY49*VLOOKUP('Données projet'!$B$12,Paramètres!$A$1:$I$89,3,0)*VLOOKUP('Données projet'!$B$12,Paramètres!$A$1:$I$89,5,0)</f>
        <v>258.58560000000017</v>
      </c>
      <c r="CA49" s="13">
        <f t="shared" si="39"/>
        <v>62.420789384491954</v>
      </c>
      <c r="CB49" s="20">
        <f t="shared" si="10"/>
        <v>559.08612817799042</v>
      </c>
      <c r="CC49" s="59">
        <f t="shared" si="11"/>
        <v>852.41946151132379</v>
      </c>
      <c r="CD49" s="59">
        <f ca="1">AVERAGE(OFFSET($CC$3,0,0,'Données projet'!$E$12+1,1))-AVERAGE(OFFSET($H$3,0,0,'Données projet'!$E$12+1,1))</f>
        <v>415.97633163853953</v>
      </c>
      <c r="CE49" s="59">
        <f t="shared" si="40"/>
        <v>356.23532720804423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1.9683989974901024</v>
      </c>
      <c r="CL49" s="21">
        <f>EXP(-LN(2)/25)*CL48+(1-EXP(-LN(2)/25))/(LN(2)/25)*Calculateur!CG49*Calculateur!CI49*VLOOKUP('Données projet'!$B$12,Paramètres!$A$1:$I$89,3,0)*0.475*44/12</f>
        <v>9.6510586879689217</v>
      </c>
      <c r="CM49" s="21">
        <f>EXP(-LN(2)/2)*CM48+(1-EXP(-LN(2)/2))/(LN(2)/2)*CG49*CJ49*VLOOKUP('Données projet'!$B$12,Paramètres!$A$1:$I$89,3,0)*0.475*44/12</f>
        <v>0.12373661596616424</v>
      </c>
      <c r="CN49" s="22">
        <f t="shared" si="12"/>
        <v>11.743194301425188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19.2</v>
      </c>
      <c r="N50" s="13">
        <f>IF('Données projet'!$A$36&gt;35,N49+M50-V49,IF(A50&lt;'Données projet'!$A$36,$K$205^A50,IF(A50='Données projet'!$A$36,'Données projet'!$B$36,N49+M50-V49)))</f>
        <v>633.4</v>
      </c>
      <c r="O50" s="13">
        <f>N50*VLOOKUP('Données projet'!$B$9,Paramètres!$A$1:$I$89,3,0)*VLOOKUP('Données projet'!$B$9,Paramètres!$A$1:$I$89,5,0)</f>
        <v>354.07059999999996</v>
      </c>
      <c r="P50" s="13">
        <f t="shared" si="33"/>
        <v>82.400125145142354</v>
      </c>
      <c r="Q50" s="20">
        <f t="shared" si="53"/>
        <v>760.18651296112273</v>
      </c>
      <c r="R50" s="59">
        <f t="shared" si="0"/>
        <v>1053.5198462944561</v>
      </c>
      <c r="S50" s="59">
        <f ca="1">AVERAGE(OFFSET($R$3,0,0,'Données projet'!$E$9+1,1))-AVERAGE(OFFSET($H$3,0,0,'Données projet'!$E$9+1,1))</f>
        <v>492.3498626914548</v>
      </c>
      <c r="T50" s="59">
        <f t="shared" si="34"/>
        <v>635.90304180030307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3.9029508556726817</v>
      </c>
      <c r="AA50" s="21">
        <f>EXP(-LN(2)/25)*AA49+(1-EXP(-LN(2)/25))/(LN(2)/25)*Calculateur!V50*Calculateur!X50*VLOOKUP('Données projet'!$B$9,Paramètres!$A$1:$I$89,3,0)*0.475*44/12</f>
        <v>15.100474858799979</v>
      </c>
      <c r="AB50" s="21">
        <f>EXP(-LN(2)/2)*AB49+(1-EXP(-LN(2)/2))/(LN(2)/2)*V50*Y50*VLOOKUP('Données projet'!$B$9,Paramètres!$A$1:$I$89,3,0)*0.475*44/12</f>
        <v>3.2316072722570865E-2</v>
      </c>
      <c r="AC50" s="22">
        <f t="shared" si="3"/>
        <v>19.035741787195235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10.666666666666666</v>
      </c>
      <c r="AI50" s="13">
        <f>IF('Données projet'!$A$62&gt;35,AI49+AH50-AQ49,IF(A50&lt;'Données projet'!$A$62,$AF$205^A50,IF(A50='Données projet'!$A$62,'Données projet'!$B$62,AI49+AH50-AQ49)))</f>
        <v>241.33333333333331</v>
      </c>
      <c r="AJ50" s="13">
        <f>AI50*VLOOKUP('Données projet'!$B$10,Paramètres!$A$1:$I$89,3,0)*VLOOKUP('Données projet'!$B$10,Paramètres!$A$1:$I$89,5,0)</f>
        <v>150.59199999999998</v>
      </c>
      <c r="AK50" s="13">
        <f t="shared" si="35"/>
        <v>38.713088888505631</v>
      </c>
      <c r="AL50" s="20">
        <f t="shared" si="4"/>
        <v>329.70636314748066</v>
      </c>
      <c r="AM50" s="59">
        <f t="shared" si="5"/>
        <v>623.03969648081397</v>
      </c>
      <c r="AN50" s="59">
        <f ca="1">AVERAGE(OFFSET($AM$3,0,0,'Données projet'!$E$10+1,1))-AVERAGE(OFFSET($H$3,0,0,'Données projet'!$E$10+1,1))</f>
        <v>175.05987582828078</v>
      </c>
      <c r="AO50" s="59">
        <f t="shared" si="36"/>
        <v>268.54782308462387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3.7597199117091824</v>
      </c>
      <c r="AV50" s="21">
        <f>EXP(-LN(2)/25)*AV49+(1-EXP(-LN(2)/25))/(LN(2)/25)*Calculateur!AQ50*Calculateur!AS50*VLOOKUP('Données projet'!$B$10,Paramètres!$A$1:$I$89,3,0)*0.475*44/12</f>
        <v>11.335693870729237</v>
      </c>
      <c r="AW50" s="21">
        <f>EXP(-LN(2)/2)*AW49+(1-EXP(-LN(2)/2))/(LN(2)/2)*AQ50*AT50*VLOOKUP('Données projet'!$B$10,Paramètres!$A$1:$I$89,3,0)*0.475*44/12</f>
        <v>2.8587395046702421E-2</v>
      </c>
      <c r="AX50" s="21">
        <f t="shared" si="6"/>
        <v>15.124001177485123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12.4</v>
      </c>
      <c r="BD50" s="12">
        <f>IF('Données projet'!$A$88&gt;35,BD49+BC50-BL49,IF(A50&lt;'Données projet'!$A$88,$BA$205^A50,IF(A50='Données projet'!$A$88,'Données projet'!$B$88,BD49+BC50-BL49)))</f>
        <v>386.79999999999978</v>
      </c>
      <c r="BE50" s="13">
        <f>BD50*VLOOKUP('Données projet'!$B$11,Paramètres!$A$1:$I$89,3,0)*VLOOKUP('Données projet'!$B$11,Paramètres!$A$1:$I$89,5,0)</f>
        <v>231.30639999999988</v>
      </c>
      <c r="BF50" s="13">
        <f t="shared" si="37"/>
        <v>56.565062572365377</v>
      </c>
      <c r="BG50" s="20">
        <f t="shared" si="7"/>
        <v>501.3761306468694</v>
      </c>
      <c r="BH50" s="59">
        <f t="shared" si="8"/>
        <v>794.70946398020271</v>
      </c>
      <c r="BI50" s="59">
        <f ca="1">AVERAGE(OFFSET($BH$3,0,0,'Données projet'!$E$11+1,1))-AVERAGE(OFFSET($H$3,0,0,'Données projet'!$E$11+1,1))</f>
        <v>381.78368385345919</v>
      </c>
      <c r="BJ50" s="59">
        <f t="shared" si="38"/>
        <v>257.35575295655639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3.0264463490521578</v>
      </c>
      <c r="BR50" s="21">
        <f>EXP(-LN(2)/2)*BR49+(1-EXP(-LN(2)/2))/(LN(2)/2)*BL50*BO50*VLOOKUP('Données projet'!$B$11,Paramètres!$A$1:$I$89,3,0)*0.475*44/12</f>
        <v>1.7085899635980759</v>
      </c>
      <c r="BS50" s="22">
        <f t="shared" si="9"/>
        <v>4.7350363126502337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26.6</v>
      </c>
      <c r="BY50" s="12">
        <f>IF('Données projet'!$A$114&gt;35,BY49+BX50-CG49,IF(A50&lt;'Données projet'!$A$114,$BV$205^A50,IF(A50='Données projet'!$A$114,'Données projet'!$B$114,BY49+BX50-CG49)))</f>
        <v>564.20000000000039</v>
      </c>
      <c r="BZ50" s="13">
        <f>BY50*VLOOKUP('Données projet'!$B$12,Paramètres!$A$1:$I$89,3,0)*VLOOKUP('Données projet'!$B$12,Paramètres!$A$1:$I$89,5,0)</f>
        <v>271.38020000000017</v>
      </c>
      <c r="CA50" s="13">
        <f t="shared" si="39"/>
        <v>65.142095582513562</v>
      </c>
      <c r="CB50" s="20">
        <f t="shared" si="10"/>
        <v>586.1096648062113</v>
      </c>
      <c r="CC50" s="59">
        <f t="shared" si="11"/>
        <v>879.44299813954467</v>
      </c>
      <c r="CD50" s="59">
        <f ca="1">AVERAGE(OFFSET($CC$3,0,0,'Données projet'!$E$12+1,1))-AVERAGE(OFFSET($H$3,0,0,'Données projet'!$E$12+1,1))</f>
        <v>415.97633163853953</v>
      </c>
      <c r="CE50" s="59">
        <f t="shared" si="40"/>
        <v>356.23532720804423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1.9297998937541601</v>
      </c>
      <c r="CL50" s="21">
        <f>EXP(-LN(2)/25)*CL49+(1-EXP(-LN(2)/25))/(LN(2)/25)*Calculateur!CG50*Calculateur!CI50*VLOOKUP('Données projet'!$B$12,Paramètres!$A$1:$I$89,3,0)*0.475*44/12</f>
        <v>9.3871499806192933</v>
      </c>
      <c r="CM50" s="21">
        <f>EXP(-LN(2)/2)*CM49+(1-EXP(-LN(2)/2))/(LN(2)/2)*CG50*CJ50*VLOOKUP('Données projet'!$B$12,Paramètres!$A$1:$I$89,3,0)*0.475*44/12</f>
        <v>8.7495000230750367E-2</v>
      </c>
      <c r="CN50" s="22">
        <f t="shared" si="12"/>
        <v>11.404444874604204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19.2</v>
      </c>
      <c r="N51" s="13">
        <f>IF('Données projet'!$A$36&gt;35,N50+M51-V50,IF(A51&lt;'Données projet'!$A$36,$K$205^A51,IF(A51='Données projet'!$A$36,'Données projet'!$B$36,N50+M51-V50)))</f>
        <v>652.6</v>
      </c>
      <c r="O51" s="13">
        <f>N51*VLOOKUP('Données projet'!$B$9,Paramètres!$A$1:$I$89,3,0)*VLOOKUP('Données projet'!$B$9,Paramètres!$A$1:$I$89,5,0)</f>
        <v>364.80340000000001</v>
      </c>
      <c r="P51" s="13">
        <f t="shared" si="33"/>
        <v>84.60329719715169</v>
      </c>
      <c r="Q51" s="20">
        <f t="shared" si="53"/>
        <v>782.7166642850392</v>
      </c>
      <c r="R51" s="59">
        <f t="shared" si="0"/>
        <v>1076.0499976183726</v>
      </c>
      <c r="S51" s="59">
        <f ca="1">AVERAGE(OFFSET($R$3,0,0,'Données projet'!$E$9+1,1))-AVERAGE(OFFSET($H$3,0,0,'Données projet'!$E$9+1,1))</f>
        <v>492.3498626914548</v>
      </c>
      <c r="T51" s="59">
        <f t="shared" si="34"/>
        <v>635.90304180030307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3.8264163699579012</v>
      </c>
      <c r="AA51" s="21">
        <f>EXP(-LN(2)/25)*AA50+(1-EXP(-LN(2)/25))/(LN(2)/25)*Calculateur!V51*Calculateur!X51*VLOOKUP('Données projet'!$B$9,Paramètres!$A$1:$I$89,3,0)*0.475*44/12</f>
        <v>14.687551579686634</v>
      </c>
      <c r="AB51" s="21">
        <f>EXP(-LN(2)/2)*AB50+(1-EXP(-LN(2)/2))/(LN(2)/2)*V51*Y51*VLOOKUP('Données projet'!$B$9,Paramètres!$A$1:$I$89,3,0)*0.475*44/12</f>
        <v>2.2850914163447474E-2</v>
      </c>
      <c r="AC51" s="22">
        <f t="shared" si="3"/>
        <v>18.536818863807984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</v>
      </c>
      <c r="AG51" s="12">
        <f>VLOOKUP(A51,'Données projet'!$A$61:$I$81,9,0)</f>
        <v>10.666666666666666</v>
      </c>
      <c r="AH51" s="12">
        <f t="array" ref="AH51">INDEX(AG:AG,MIN(IF(ISNUMBER(AG51:AG247),ROW(AG51:AG247),"")))</f>
        <v>10.666666666666666</v>
      </c>
      <c r="AI51" s="13">
        <f>IF('Données projet'!$A$62&gt;35,AI50+AH51-AQ50,IF(A51&lt;'Données projet'!$A$62,$AF$205^A51,IF(A51='Données projet'!$A$62,'Données projet'!$B$62,AI50+AH51-AQ50)))</f>
        <v>251.99999999999997</v>
      </c>
      <c r="AJ51" s="13">
        <f>AI51*VLOOKUP('Données projet'!$B$10,Paramètres!$A$1:$I$89,3,0)*VLOOKUP('Données projet'!$B$10,Paramètres!$A$1:$I$89,5,0)</f>
        <v>157.24799999999999</v>
      </c>
      <c r="AK51" s="13">
        <f t="shared" si="35"/>
        <v>40.22116874434861</v>
      </c>
      <c r="AL51" s="20">
        <f t="shared" si="4"/>
        <v>343.92546889640715</v>
      </c>
      <c r="AM51" s="59">
        <f t="shared" si="5"/>
        <v>637.25880222974047</v>
      </c>
      <c r="AN51" s="59">
        <f ca="1">AVERAGE(OFFSET($AM$3,0,0,'Données projet'!$E$10+1,1))-AVERAGE(OFFSET($H$3,0,0,'Données projet'!$E$10+1,1))</f>
        <v>175.05987582828078</v>
      </c>
      <c r="AO51" s="59">
        <f t="shared" si="36"/>
        <v>268.54782308462387</v>
      </c>
      <c r="AP51" s="15">
        <f>IF(ISNA(VLOOKUP(A51,'Données projet'!$A$61:$I$81,3,0)),0,VLOOKUP(A51,'Données projet'!$A$61:$I$81,3,0))</f>
        <v>7</v>
      </c>
      <c r="AQ51" s="15">
        <f>IF(ISNA(VLOOKUP(A51,'Données projet'!$A$61:$I$81,4,0)),0,VLOOKUP(A51,'Données projet'!$A$61:$I$81,4,0))</f>
        <v>65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3.6859940974432766</v>
      </c>
      <c r="AV51" s="21">
        <f>EXP(-LN(2)/25)*AV50+(1-EXP(-LN(2)/25))/(LN(2)/25)*Calculateur!AQ51*Calculateur!AS51*VLOOKUP('Données projet'!$B$10,Paramètres!$A$1:$I$89,3,0)*0.475*44/12</f>
        <v>11.025718725715913</v>
      </c>
      <c r="AW51" s="21">
        <f>EXP(-LN(2)/2)*AW50+(1-EXP(-LN(2)/2))/(LN(2)/2)*AQ51*AT51*VLOOKUP('Données projet'!$B$10,Paramètres!$A$1:$I$89,3,0)*0.475*44/12</f>
        <v>2.0214340893982004E-2</v>
      </c>
      <c r="AX51" s="21">
        <f t="shared" si="6"/>
        <v>14.731927164053172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12.4</v>
      </c>
      <c r="BD51" s="12">
        <f>IF('Données projet'!$A$88&gt;35,BD50+BC51-BL50,IF(A51&lt;'Données projet'!$A$88,$BA$205^A51,IF(A51='Données projet'!$A$88,'Données projet'!$B$88,BD50+BC51-BL50)))</f>
        <v>399.19999999999976</v>
      </c>
      <c r="BE51" s="13">
        <f>BD51*VLOOKUP('Données projet'!$B$11,Paramètres!$A$1:$I$89,3,0)*VLOOKUP('Données projet'!$B$11,Paramètres!$A$1:$I$89,5,0)</f>
        <v>238.72159999999985</v>
      </c>
      <c r="BF51" s="13">
        <f t="shared" si="37"/>
        <v>58.164391055087307</v>
      </c>
      <c r="BG51" s="20">
        <f t="shared" si="7"/>
        <v>517.07643442094343</v>
      </c>
      <c r="BH51" s="59">
        <f t="shared" si="8"/>
        <v>810.4097677542768</v>
      </c>
      <c r="BI51" s="59">
        <f ca="1">AVERAGE(OFFSET($BH$3,0,0,'Données projet'!$E$11+1,1))-AVERAGE(OFFSET($H$3,0,0,'Données projet'!$E$11+1,1))</f>
        <v>381.78368385345919</v>
      </c>
      <c r="BJ51" s="59">
        <f t="shared" si="38"/>
        <v>257.35575295655639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2.9436880144834303</v>
      </c>
      <c r="BR51" s="21">
        <f>EXP(-LN(2)/2)*BR50+(1-EXP(-LN(2)/2))/(LN(2)/2)*BL51*BO51*VLOOKUP('Données projet'!$B$11,Paramètres!$A$1:$I$89,3,0)*0.475*44/12</f>
        <v>1.2081555495274758</v>
      </c>
      <c r="BS51" s="22">
        <f t="shared" si="9"/>
        <v>4.1518435640109059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26.6</v>
      </c>
      <c r="BY51" s="12">
        <f>IF('Données projet'!$A$114&gt;35,BY50+BX51-CG50,IF(A51&lt;'Données projet'!$A$114,$BV$205^A51,IF(A51='Données projet'!$A$114,'Données projet'!$B$114,BY50+BX51-CG50)))</f>
        <v>590.80000000000041</v>
      </c>
      <c r="BZ51" s="13">
        <f>BY51*VLOOKUP('Données projet'!$B$12,Paramètres!$A$1:$I$89,3,0)*VLOOKUP('Données projet'!$B$12,Paramètres!$A$1:$I$89,5,0)</f>
        <v>284.17480000000018</v>
      </c>
      <c r="CA51" s="13">
        <f t="shared" si="39"/>
        <v>67.848502759488738</v>
      </c>
      <c r="CB51" s="20">
        <f t="shared" si="10"/>
        <v>613.10725230610979</v>
      </c>
      <c r="CC51" s="59">
        <f t="shared" si="11"/>
        <v>906.44058563944304</v>
      </c>
      <c r="CD51" s="59">
        <f ca="1">AVERAGE(OFFSET($CC$3,0,0,'Données projet'!$E$12+1,1))-AVERAGE(OFFSET($H$3,0,0,'Données projet'!$E$12+1,1))</f>
        <v>415.97633163853953</v>
      </c>
      <c r="CE51" s="59">
        <f t="shared" si="40"/>
        <v>356.23532720804423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1.8919576948993511</v>
      </c>
      <c r="CL51" s="21">
        <f>EXP(-LN(2)/25)*CL50+(1-EXP(-LN(2)/25))/(LN(2)/25)*Calculateur!CG51*Calculateur!CI51*VLOOKUP('Données projet'!$B$12,Paramètres!$A$1:$I$89,3,0)*0.475*44/12</f>
        <v>9.1304578707504955</v>
      </c>
      <c r="CM51" s="21">
        <f>EXP(-LN(2)/2)*CM50+(1-EXP(-LN(2)/2))/(LN(2)/2)*CG51*CJ51*VLOOKUP('Données projet'!$B$12,Paramètres!$A$1:$I$89,3,0)*0.475*44/12</f>
        <v>6.1868307983082127E-2</v>
      </c>
      <c r="CN51" s="22">
        <f t="shared" si="12"/>
        <v>11.084283873632929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19.2</v>
      </c>
      <c r="N52" s="13">
        <f>IF('Données projet'!$A$36&gt;35,N51+M52-V51,IF(A52&lt;'Données projet'!$A$36,$K$205^A52,IF(A52='Données projet'!$A$36,'Données projet'!$B$36,N51+M52-V51)))</f>
        <v>671.80000000000007</v>
      </c>
      <c r="O52" s="13">
        <f>N52*VLOOKUP('Données projet'!$B$9,Paramètres!$A$1:$I$89,3,0)*VLOOKUP('Données projet'!$B$9,Paramètres!$A$1:$I$89,5,0)</f>
        <v>375.53620000000006</v>
      </c>
      <c r="P52" s="13">
        <f t="shared" si="33"/>
        <v>86.798936069371663</v>
      </c>
      <c r="Q52" s="20">
        <f t="shared" si="53"/>
        <v>805.23369532082245</v>
      </c>
      <c r="R52" s="59">
        <f t="shared" si="0"/>
        <v>1098.5670286541558</v>
      </c>
      <c r="S52" s="59">
        <f ca="1">AVERAGE(OFFSET($R$3,0,0,'Données projet'!$E$9+1,1))-AVERAGE(OFFSET($H$3,0,0,'Données projet'!$E$9+1,1))</f>
        <v>492.3498626914548</v>
      </c>
      <c r="T52" s="59">
        <f t="shared" si="34"/>
        <v>635.90304180030307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3.7513826788265607</v>
      </c>
      <c r="AA52" s="21">
        <f>EXP(-LN(2)/25)*AA51+(1-EXP(-LN(2)/25))/(LN(2)/25)*Calculateur!V52*Calculateur!X52*VLOOKUP('Données projet'!$B$9,Paramètres!$A$1:$I$89,3,0)*0.475*44/12</f>
        <v>14.285919709355333</v>
      </c>
      <c r="AB52" s="21">
        <f>EXP(-LN(2)/2)*AB51+(1-EXP(-LN(2)/2))/(LN(2)/2)*V52*Y52*VLOOKUP('Données projet'!$B$9,Paramètres!$A$1:$I$89,3,0)*0.475*44/12</f>
        <v>1.6158036361285433E-2</v>
      </c>
      <c r="AC52" s="22">
        <f t="shared" si="3"/>
        <v>18.053460424543179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9.75</v>
      </c>
      <c r="AI52" s="13">
        <f>IF('Données projet'!$A$62&gt;35,AI51+AH52-AQ51,IF(A52&lt;'Données projet'!$A$62,$AF$205^A52,IF(A52='Données projet'!$A$62,'Données projet'!$B$62,AI51+AH52-AQ51)))</f>
        <v>196.75</v>
      </c>
      <c r="AJ52" s="13">
        <f>AI52*VLOOKUP('Données projet'!$B$10,Paramètres!$A$1:$I$89,3,0)*VLOOKUP('Données projet'!$B$10,Paramètres!$A$1:$I$89,5,0)</f>
        <v>122.77200000000001</v>
      </c>
      <c r="AK52" s="13">
        <f t="shared" si="35"/>
        <v>32.320660955470466</v>
      </c>
      <c r="AL52" s="20">
        <f t="shared" si="4"/>
        <v>270.11971783077774</v>
      </c>
      <c r="AM52" s="59">
        <f t="shared" si="5"/>
        <v>563.453051164111</v>
      </c>
      <c r="AN52" s="59">
        <f ca="1">AVERAGE(OFFSET($AM$3,0,0,'Données projet'!$E$10+1,1))-AVERAGE(OFFSET($H$3,0,0,'Données projet'!$E$10+1,1))</f>
        <v>175.05987582828078</v>
      </c>
      <c r="AO52" s="59">
        <f t="shared" si="36"/>
        <v>268.54782308462387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3.6137140014268185</v>
      </c>
      <c r="AV52" s="21">
        <f>EXP(-LN(2)/25)*AV51+(1-EXP(-LN(2)/25))/(LN(2)/25)*Calculateur!AQ52*Calculateur!AS52*VLOOKUP('Données projet'!$B$10,Paramètres!$A$1:$I$89,3,0)*0.475*44/12</f>
        <v>10.724219867343864</v>
      </c>
      <c r="AW52" s="21">
        <f>EXP(-LN(2)/2)*AW51+(1-EXP(-LN(2)/2))/(LN(2)/2)*AQ52*AT52*VLOOKUP('Données projet'!$B$10,Paramètres!$A$1:$I$89,3,0)*0.475*44/12</f>
        <v>1.4293697523351212E-2</v>
      </c>
      <c r="AX52" s="21">
        <f t="shared" si="6"/>
        <v>14.352227566294035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12.4</v>
      </c>
      <c r="BD52" s="12">
        <f>IF('Données projet'!$A$88&gt;35,BD51+BC52-BL51,IF(A52&lt;'Données projet'!$A$88,$BA$205^A52,IF(A52='Données projet'!$A$88,'Données projet'!$B$88,BD51+BC52-BL51)))</f>
        <v>411.59999999999974</v>
      </c>
      <c r="BE52" s="13">
        <f>BD52*VLOOKUP('Données projet'!$B$11,Paramètres!$A$1:$I$89,3,0)*VLOOKUP('Données projet'!$B$11,Paramètres!$A$1:$I$89,5,0)</f>
        <v>246.13679999999988</v>
      </c>
      <c r="BF52" s="13">
        <f t="shared" si="37"/>
        <v>59.757946416145501</v>
      </c>
      <c r="BG52" s="20">
        <f t="shared" si="7"/>
        <v>532.76668334145324</v>
      </c>
      <c r="BH52" s="59">
        <f t="shared" si="8"/>
        <v>826.1000166747865</v>
      </c>
      <c r="BI52" s="59">
        <f ca="1">AVERAGE(OFFSET($BH$3,0,0,'Données projet'!$E$11+1,1))-AVERAGE(OFFSET($H$3,0,0,'Données projet'!$E$11+1,1))</f>
        <v>381.78368385345919</v>
      </c>
      <c r="BJ52" s="59">
        <f t="shared" si="38"/>
        <v>257.35575295655639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2.8631927109255559</v>
      </c>
      <c r="BR52" s="21">
        <f>EXP(-LN(2)/2)*BR51+(1-EXP(-LN(2)/2))/(LN(2)/2)*BL52*BO52*VLOOKUP('Données projet'!$B$11,Paramètres!$A$1:$I$89,3,0)*0.475*44/12</f>
        <v>0.85429498179903796</v>
      </c>
      <c r="BS52" s="22">
        <f t="shared" si="9"/>
        <v>3.7174876927245939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26.6</v>
      </c>
      <c r="BY52" s="12">
        <f>IF('Données projet'!$A$114&gt;35,BY51+BX52-CG51,IF(A52&lt;'Données projet'!$A$114,$BV$205^A52,IF(A52='Données projet'!$A$114,'Données projet'!$B$114,BY51+BX52-CG51)))</f>
        <v>617.40000000000043</v>
      </c>
      <c r="BZ52" s="13">
        <f>BY52*VLOOKUP('Données projet'!$B$12,Paramètres!$A$1:$I$89,3,0)*VLOOKUP('Données projet'!$B$12,Paramètres!$A$1:$I$89,5,0)</f>
        <v>296.96940000000023</v>
      </c>
      <c r="CA52" s="13">
        <f t="shared" si="39"/>
        <v>70.540758363552172</v>
      </c>
      <c r="CB52" s="20">
        <f t="shared" si="10"/>
        <v>640.08019248318715</v>
      </c>
      <c r="CC52" s="59">
        <f t="shared" si="11"/>
        <v>933.4135258165204</v>
      </c>
      <c r="CD52" s="59">
        <f ca="1">AVERAGE(OFFSET($CC$3,0,0,'Données projet'!$E$12+1,1))-AVERAGE(OFFSET($H$3,0,0,'Données projet'!$E$12+1,1))</f>
        <v>415.97633163853953</v>
      </c>
      <c r="CE52" s="59">
        <f t="shared" si="40"/>
        <v>356.23532720804423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1.8548575584826226</v>
      </c>
      <c r="CL52" s="21">
        <f>EXP(-LN(2)/25)*CL51+(1-EXP(-LN(2)/25))/(LN(2)/25)*Calculateur!CG52*Calculateur!CI52*VLOOKUP('Données projet'!$B$12,Paramètres!$A$1:$I$89,3,0)*0.475*44/12</f>
        <v>8.880785020124911</v>
      </c>
      <c r="CM52" s="21">
        <f>EXP(-LN(2)/2)*CM51+(1-EXP(-LN(2)/2))/(LN(2)/2)*CG52*CJ52*VLOOKUP('Données projet'!$B$12,Paramètres!$A$1:$I$89,3,0)*0.475*44/12</f>
        <v>4.374750011537519E-2</v>
      </c>
      <c r="CN52" s="22">
        <f t="shared" si="12"/>
        <v>10.779390078722908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691</v>
      </c>
      <c r="L53" s="12">
        <f>VLOOKUP(A53,'Données projet'!$A$35:$I$55,9,0)</f>
        <v>19.2</v>
      </c>
      <c r="M53" s="12">
        <f t="array" ref="M53">INDEX(L:L,MIN(IF(ISNUMBER(L53:L249),ROW(L53:L249),"")))</f>
        <v>19.2</v>
      </c>
      <c r="N53" s="13">
        <f>IF('Données projet'!$A$36&gt;35,N52+M53-V52,IF(A53&lt;'Données projet'!$A$36,$K$205^A53,IF(A53='Données projet'!$A$36,'Données projet'!$B$36,N52+M53-V52)))</f>
        <v>691.00000000000011</v>
      </c>
      <c r="O53" s="13">
        <f>N53*VLOOKUP('Données projet'!$B$9,Paramètres!$A$1:$I$89,3,0)*VLOOKUP('Données projet'!$B$9,Paramètres!$A$1:$I$89,5,0)</f>
        <v>386.26900000000006</v>
      </c>
      <c r="P53" s="13">
        <f t="shared" si="33"/>
        <v>88.987281787109026</v>
      </c>
      <c r="Q53" s="20">
        <f t="shared" si="53"/>
        <v>827.73802411254826</v>
      </c>
      <c r="R53" s="59">
        <f t="shared" si="0"/>
        <v>1121.0713574458816</v>
      </c>
      <c r="S53" s="59">
        <f ca="1">AVERAGE(OFFSET($R$3,0,0,'Données projet'!$E$9+1,1))-AVERAGE(OFFSET($H$3,0,0,'Données projet'!$E$9+1,1))</f>
        <v>492.3498626914548</v>
      </c>
      <c r="T53" s="59">
        <f t="shared" si="34"/>
        <v>635.90304180030307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3.6778203526122732</v>
      </c>
      <c r="AA53" s="21">
        <f>EXP(-LN(2)/25)*AA52+(1-EXP(-LN(2)/25))/(LN(2)/25)*Calculateur!V53*Calculateur!X53*VLOOKUP('Données projet'!$B$9,Paramètres!$A$1:$I$89,3,0)*0.475*44/12</f>
        <v>13.895270483639145</v>
      </c>
      <c r="AB53" s="21">
        <f>EXP(-LN(2)/2)*AB52+(1-EXP(-LN(2)/2))/(LN(2)/2)*V53*Y53*VLOOKUP('Données projet'!$B$9,Paramètres!$A$1:$I$89,3,0)*0.475*44/12</f>
        <v>1.1425457081723737E-2</v>
      </c>
      <c r="AC53" s="22">
        <f t="shared" si="3"/>
        <v>17.584516293333142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9.75</v>
      </c>
      <c r="AI53" s="13">
        <f>IF('Données projet'!$A$62&gt;35,AI52+AH53-AQ52,IF(A53&lt;'Données projet'!$A$62,$AF$205^A53,IF(A53='Données projet'!$A$62,'Données projet'!$B$62,AI52+AH53-AQ52)))</f>
        <v>206.5</v>
      </c>
      <c r="AJ53" s="13">
        <f>AI53*VLOOKUP('Données projet'!$B$10,Paramètres!$A$1:$I$89,3,0)*VLOOKUP('Données projet'!$B$10,Paramètres!$A$1:$I$89,5,0)</f>
        <v>128.85599999999999</v>
      </c>
      <c r="AK53" s="13">
        <f t="shared" si="35"/>
        <v>33.731878688740906</v>
      </c>
      <c r="AL53" s="20">
        <f t="shared" si="4"/>
        <v>283.1738887162237</v>
      </c>
      <c r="AM53" s="59">
        <f t="shared" si="5"/>
        <v>576.50722204955696</v>
      </c>
      <c r="AN53" s="59">
        <f ca="1">AVERAGE(OFFSET($AM$3,0,0,'Données projet'!$E$10+1,1))-AVERAGE(OFFSET($H$3,0,0,'Données projet'!$E$10+1,1))</f>
        <v>175.05987582828078</v>
      </c>
      <c r="AO53" s="59">
        <f t="shared" si="36"/>
        <v>268.54782308462387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3.5428512740067379</v>
      </c>
      <c r="AV53" s="21">
        <f>EXP(-LN(2)/25)*AV52+(1-EXP(-LN(2)/25))/(LN(2)/25)*Calculateur!AQ53*Calculateur!AS53*VLOOKUP('Données projet'!$B$10,Paramètres!$A$1:$I$89,3,0)*0.475*44/12</f>
        <v>10.430965511109134</v>
      </c>
      <c r="AW53" s="21">
        <f>EXP(-LN(2)/2)*AW52+(1-EXP(-LN(2)/2))/(LN(2)/2)*AQ53*AT53*VLOOKUP('Données projet'!$B$10,Paramètres!$A$1:$I$89,3,0)*0.475*44/12</f>
        <v>1.0107170446991002E-2</v>
      </c>
      <c r="AX53" s="21">
        <f t="shared" si="6"/>
        <v>13.983923955562863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424</v>
      </c>
      <c r="BB53" s="12">
        <f>VLOOKUP(A53,'Données projet'!$A$87:$I$107,9,0)</f>
        <v>12.4</v>
      </c>
      <c r="BC53" s="12">
        <f t="array" ref="BC53">INDEX(BB:BB,MIN(IF(ISNUMBER(BB53:BB249),ROW(BB53:BB249),"")))</f>
        <v>12.4</v>
      </c>
      <c r="BD53" s="12">
        <f>IF('Données projet'!$A$88&gt;35,BD52+BC53-BL52,IF(A53&lt;'Données projet'!$A$88,$BA$205^A53,IF(A53='Données projet'!$A$88,'Données projet'!$B$88,BD52+BC53-BL52)))</f>
        <v>423.99999999999972</v>
      </c>
      <c r="BE53" s="13">
        <f>BD53*VLOOKUP('Données projet'!$B$11,Paramètres!$A$1:$I$89,3,0)*VLOOKUP('Données projet'!$B$11,Paramètres!$A$1:$I$89,5,0)</f>
        <v>253.55199999999985</v>
      </c>
      <c r="BF53" s="13">
        <f t="shared" si="37"/>
        <v>61.345922542613486</v>
      </c>
      <c r="BG53" s="20">
        <f t="shared" si="7"/>
        <v>548.44721509505155</v>
      </c>
      <c r="BH53" s="59">
        <f t="shared" si="8"/>
        <v>841.78054842838492</v>
      </c>
      <c r="BI53" s="59">
        <f ca="1">AVERAGE(OFFSET($BH$3,0,0,'Données projet'!$E$11+1,1))-AVERAGE(OFFSET($H$3,0,0,'Données projet'!$E$11+1,1))</f>
        <v>381.78368385345919</v>
      </c>
      <c r="BJ53" s="59">
        <f t="shared" si="38"/>
        <v>257.35575295655639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42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0.18000000000000002</v>
      </c>
      <c r="BO53" s="16">
        <f>IF(ISNA(VLOOKUP(A53,'Données projet'!$A$87:$I$107,7,0)),0%,VLOOKUP(A53,'Données projet'!$A$87:$I$107,7,0))</f>
        <v>0.6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8.7585238570347776</v>
      </c>
      <c r="BR53" s="21">
        <f>EXP(-LN(2)/2)*BR52+(1-EXP(-LN(2)/2))/(LN(2)/2)*BL53*BO53*VLOOKUP('Données projet'!$B$11,Paramètres!$A$1:$I$89,3,0)*0.475*44/12</f>
        <v>17.666365605568568</v>
      </c>
      <c r="BS53" s="22">
        <f t="shared" si="9"/>
        <v>26.424889462603346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644</v>
      </c>
      <c r="BW53" s="12">
        <f>VLOOKUP(A53,'Données projet'!$A$113:$I$133,9,0)</f>
        <v>26.6</v>
      </c>
      <c r="BX53" s="12">
        <f t="array" ref="BX53">INDEX(BW:BW,MIN(IF(ISNUMBER(BW53:BW249),ROW(BW53:BW249),"")))</f>
        <v>26.6</v>
      </c>
      <c r="BY53" s="12">
        <f>IF('Données projet'!$A$114&gt;35,BY52+BX53-CG52,IF(A53&lt;'Données projet'!$A$114,$BV$205^A53,IF(A53='Données projet'!$A$114,'Données projet'!$B$114,BY52+BX53-CG52)))</f>
        <v>644.00000000000045</v>
      </c>
      <c r="BZ53" s="13">
        <f>BY53*VLOOKUP('Données projet'!$B$12,Paramètres!$A$1:$I$89,3,0)*VLOOKUP('Données projet'!$B$12,Paramètres!$A$1:$I$89,5,0)</f>
        <v>309.76400000000024</v>
      </c>
      <c r="CA53" s="13">
        <f t="shared" si="39"/>
        <v>73.219541794375104</v>
      </c>
      <c r="CB53" s="20">
        <f t="shared" si="10"/>
        <v>667.02966862520373</v>
      </c>
      <c r="CC53" s="59">
        <f t="shared" si="11"/>
        <v>960.3630019585371</v>
      </c>
      <c r="CD53" s="59">
        <f ca="1">AVERAGE(OFFSET($CC$3,0,0,'Données projet'!$E$12+1,1))-AVERAGE(OFFSET($H$3,0,0,'Données projet'!$E$12+1,1))</f>
        <v>415.97633163853953</v>
      </c>
      <c r="CE53" s="59">
        <f t="shared" si="40"/>
        <v>356.23532720804423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77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1.8184849331121773</v>
      </c>
      <c r="CL53" s="21">
        <f>EXP(-LN(2)/25)*CL52+(1-EXP(-LN(2)/25))/(LN(2)/25)*Calculateur!CG53*Calculateur!CI53*VLOOKUP('Données projet'!$B$12,Paramètres!$A$1:$I$89,3,0)*0.475*44/12</f>
        <v>8.6379394867294081</v>
      </c>
      <c r="CM53" s="21">
        <f>EXP(-LN(2)/2)*CM52+(1-EXP(-LN(2)/2))/(LN(2)/2)*CG53*CJ53*VLOOKUP('Données projet'!$B$12,Paramètres!$A$1:$I$89,3,0)*0.475*44/12</f>
        <v>3.093415399154107E-2</v>
      </c>
      <c r="CN53" s="22">
        <f t="shared" si="12"/>
        <v>10.487358573833127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17.8</v>
      </c>
      <c r="N54" s="13">
        <f>IF('Données projet'!$A$36&gt;35,N53+M54-V53,IF(A54&lt;'Données projet'!$A$36,$K$205^A54,IF(A54='Données projet'!$A$36,'Données projet'!$B$36,N53+M54-V53)))</f>
        <v>633.80000000000007</v>
      </c>
      <c r="O54" s="13">
        <f>N54*VLOOKUP('Données projet'!$B$9,Paramètres!$A$1:$I$89,3,0)*VLOOKUP('Données projet'!$B$9,Paramètres!$A$1:$I$89,5,0)</f>
        <v>354.2942000000001</v>
      </c>
      <c r="P54" s="13">
        <f t="shared" si="33"/>
        <v>82.446103089690695</v>
      </c>
      <c r="Q54" s="20">
        <f t="shared" si="53"/>
        <v>760.65602788121134</v>
      </c>
      <c r="R54" s="59">
        <f t="shared" si="0"/>
        <v>1053.9893612145447</v>
      </c>
      <c r="S54" s="59">
        <f ca="1">AVERAGE(OFFSET($R$3,0,0,'Données projet'!$E$9+1,1))-AVERAGE(OFFSET($H$3,0,0,'Données projet'!$E$9+1,1))</f>
        <v>492.3498626914548</v>
      </c>
      <c r="T54" s="59">
        <f t="shared" si="34"/>
        <v>635.90304180030307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3.6057005387464591</v>
      </c>
      <c r="AA54" s="21">
        <f>EXP(-LN(2)/25)*AA53+(1-EXP(-LN(2)/25))/(LN(2)/25)*Calculateur!V54*Calculateur!X54*VLOOKUP('Données projet'!$B$9,Paramètres!$A$1:$I$89,3,0)*0.475*44/12</f>
        <v>13.515303581543515</v>
      </c>
      <c r="AB54" s="21">
        <f>EXP(-LN(2)/2)*AB53+(1-EXP(-LN(2)/2))/(LN(2)/2)*V54*Y54*VLOOKUP('Données projet'!$B$9,Paramètres!$A$1:$I$89,3,0)*0.475*44/12</f>
        <v>8.0790181806427164E-3</v>
      </c>
      <c r="AC54" s="22">
        <f t="shared" si="3"/>
        <v>17.129083138470616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9.75</v>
      </c>
      <c r="AI54" s="13">
        <f>IF('Données projet'!$A$62&gt;35,AI53+AH54-AQ53,IF(A54&lt;'Données projet'!$A$62,$AF$205^A54,IF(A54='Données projet'!$A$62,'Données projet'!$B$62,AI53+AH54-AQ53)))</f>
        <v>216.25</v>
      </c>
      <c r="AJ54" s="13">
        <f>AI54*VLOOKUP('Données projet'!$B$10,Paramètres!$A$1:$I$89,3,0)*VLOOKUP('Données projet'!$B$10,Paramètres!$A$1:$I$89,5,0)</f>
        <v>134.94</v>
      </c>
      <c r="AK54" s="13">
        <f t="shared" si="35"/>
        <v>35.135358771568036</v>
      </c>
      <c r="AL54" s="20">
        <f t="shared" si="4"/>
        <v>296.21458319381429</v>
      </c>
      <c r="AM54" s="59">
        <f t="shared" si="5"/>
        <v>589.54791652714766</v>
      </c>
      <c r="AN54" s="59">
        <f ca="1">AVERAGE(OFFSET($AM$3,0,0,'Données projet'!$E$10+1,1))-AVERAGE(OFFSET($H$3,0,0,'Données projet'!$E$10+1,1))</f>
        <v>175.05987582828078</v>
      </c>
      <c r="AO54" s="59">
        <f t="shared" si="36"/>
        <v>268.54782308462387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3.4733781214493691</v>
      </c>
      <c r="AV54" s="21">
        <f>EXP(-LN(2)/25)*AV53+(1-EXP(-LN(2)/25))/(LN(2)/25)*Calculateur!AQ54*Calculateur!AS54*VLOOKUP('Données projet'!$B$10,Paramètres!$A$1:$I$89,3,0)*0.475*44/12</f>
        <v>10.145730210667219</v>
      </c>
      <c r="AW54" s="21">
        <f>EXP(-LN(2)/2)*AW53+(1-EXP(-LN(2)/2))/(LN(2)/2)*AQ54*AT54*VLOOKUP('Données projet'!$B$10,Paramètres!$A$1:$I$89,3,0)*0.475*44/12</f>
        <v>7.1468487616756062E-3</v>
      </c>
      <c r="AX54" s="21">
        <f t="shared" si="6"/>
        <v>13.626255180878264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</v>
      </c>
      <c r="BD54" s="12">
        <f>IF('Données projet'!$A$88&gt;35,BD53+BC54-BL53,IF(A54&lt;'Données projet'!$A$88,$BA$205^A54,IF(A54='Données projet'!$A$88,'Données projet'!$B$88,BD53+BC54-BL53)))</f>
        <v>392.29999999999973</v>
      </c>
      <c r="BE54" s="13">
        <f>BD54*VLOOKUP('Données projet'!$B$11,Paramètres!$A$1:$I$89,3,0)*VLOOKUP('Données projet'!$B$11,Paramètres!$A$1:$I$89,5,0)</f>
        <v>234.59539999999987</v>
      </c>
      <c r="BF54" s="13">
        <f t="shared" si="37"/>
        <v>57.275167520675019</v>
      </c>
      <c r="BG54" s="20">
        <f t="shared" si="7"/>
        <v>508.3412384318421</v>
      </c>
      <c r="BH54" s="59">
        <f t="shared" si="8"/>
        <v>801.67457176517541</v>
      </c>
      <c r="BI54" s="59">
        <f ca="1">AVERAGE(OFFSET($BH$3,0,0,'Données projet'!$E$11+1,1))-AVERAGE(OFFSET($H$3,0,0,'Données projet'!$E$11+1,1))</f>
        <v>381.78368385345919</v>
      </c>
      <c r="BJ54" s="59">
        <f t="shared" si="38"/>
        <v>257.35575295655639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8.5190215615734104</v>
      </c>
      <c r="BR54" s="21">
        <f>EXP(-LN(2)/2)*BR53+(1-EXP(-LN(2)/2))/(LN(2)/2)*BL54*BO54*VLOOKUP('Données projet'!$B$11,Paramètres!$A$1:$I$89,3,0)*0.475*44/12</f>
        <v>12.492006918618324</v>
      </c>
      <c r="BS54" s="22">
        <f t="shared" si="9"/>
        <v>21.011028480191733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25.4</v>
      </c>
      <c r="BY54" s="12">
        <f>IF('Données projet'!$A$114&gt;35,BY53+BX54-CG53,IF(A54&lt;'Données projet'!$A$114,$BV$205^A54,IF(A54='Données projet'!$A$114,'Données projet'!$B$114,BY53+BX54-CG53)))</f>
        <v>592.40000000000043</v>
      </c>
      <c r="BZ54" s="13">
        <f>BY54*VLOOKUP('Données projet'!$B$12,Paramètres!$A$1:$I$89,3,0)*VLOOKUP('Données projet'!$B$12,Paramètres!$A$1:$I$89,5,0)</f>
        <v>284.9444000000002</v>
      </c>
      <c r="CA54" s="13">
        <f t="shared" si="39"/>
        <v>68.010835859755289</v>
      </c>
      <c r="CB54" s="20">
        <f t="shared" si="10"/>
        <v>614.73036912240741</v>
      </c>
      <c r="CC54" s="59">
        <f t="shared" si="11"/>
        <v>908.06370245574067</v>
      </c>
      <c r="CD54" s="59">
        <f ca="1">AVERAGE(OFFSET($CC$3,0,0,'Données projet'!$E$12+1,1))-AVERAGE(OFFSET($H$3,0,0,'Données projet'!$E$12+1,1))</f>
        <v>415.97633163853953</v>
      </c>
      <c r="CE54" s="59">
        <f t="shared" si="40"/>
        <v>356.23532720804423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1.7828255527401355</v>
      </c>
      <c r="CL54" s="21">
        <f>EXP(-LN(2)/25)*CL53+(1-EXP(-LN(2)/25))/(LN(2)/25)*Calculateur!CG54*Calculateur!CI54*VLOOKUP('Données projet'!$B$12,Paramètres!$A$1:$I$89,3,0)*0.475*44/12</f>
        <v>8.4017345772152972</v>
      </c>
      <c r="CM54" s="21">
        <f>EXP(-LN(2)/2)*CM53+(1-EXP(-LN(2)/2))/(LN(2)/2)*CG54*CJ54*VLOOKUP('Données projet'!$B$12,Paramètres!$A$1:$I$89,3,0)*0.475*44/12</f>
        <v>2.1873750057687599E-2</v>
      </c>
      <c r="CN54" s="22">
        <f t="shared" si="12"/>
        <v>10.206433880013121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17.8</v>
      </c>
      <c r="N55" s="13">
        <f>IF('Données projet'!$A$36&gt;35,N54+M55-V54,IF(A55&lt;'Données projet'!$A$36,$K$205^A55,IF(A55='Données projet'!$A$36,'Données projet'!$B$36,N54+M55-V54)))</f>
        <v>651.6</v>
      </c>
      <c r="O55" s="13">
        <f>N55*VLOOKUP('Données projet'!$B$9,Paramètres!$A$1:$I$89,3,0)*VLOOKUP('Données projet'!$B$9,Paramètres!$A$1:$I$89,5,0)</f>
        <v>364.24439999999998</v>
      </c>
      <c r="P55" s="13">
        <f t="shared" si="33"/>
        <v>84.488736755792686</v>
      </c>
      <c r="Q55" s="20">
        <f t="shared" si="53"/>
        <v>781.54354651633878</v>
      </c>
      <c r="R55" s="59">
        <f t="shared" si="0"/>
        <v>1074.8768798496722</v>
      </c>
      <c r="S55" s="59">
        <f ca="1">AVERAGE(OFFSET($R$3,0,0,'Données projet'!$E$9+1,1))-AVERAGE(OFFSET($H$3,0,0,'Données projet'!$E$9+1,1))</f>
        <v>492.3498626914548</v>
      </c>
      <c r="T55" s="59">
        <f t="shared" si="34"/>
        <v>635.90304180030307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3.5349949504418108</v>
      </c>
      <c r="AA55" s="21">
        <f>EXP(-LN(2)/25)*AA54+(1-EXP(-LN(2)/25))/(LN(2)/25)*Calculateur!V55*Calculateur!X55*VLOOKUP('Données projet'!$B$9,Paramètres!$A$1:$I$89,3,0)*0.475*44/12</f>
        <v>13.145726894367282</v>
      </c>
      <c r="AB55" s="21">
        <f>EXP(-LN(2)/2)*AB54+(1-EXP(-LN(2)/2))/(LN(2)/2)*V55*Y55*VLOOKUP('Données projet'!$B$9,Paramètres!$A$1:$I$89,3,0)*0.475*44/12</f>
        <v>5.7127285408618686E-3</v>
      </c>
      <c r="AC55" s="22">
        <f t="shared" si="3"/>
        <v>16.686434573349953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9.75</v>
      </c>
      <c r="AI55" s="13">
        <f>IF('Données projet'!$A$62&gt;35,AI54+AH55-AQ54,IF(A55&lt;'Données projet'!$A$62,$AF$205^A55,IF(A55='Données projet'!$A$62,'Données projet'!$B$62,AI54+AH55-AQ54)))</f>
        <v>226</v>
      </c>
      <c r="AJ55" s="13">
        <f>AI55*VLOOKUP('Données projet'!$B$10,Paramètres!$A$1:$I$89,3,0)*VLOOKUP('Données projet'!$B$10,Paramètres!$A$1:$I$89,5,0)</f>
        <v>141.024</v>
      </c>
      <c r="AK55" s="13">
        <f t="shared" si="35"/>
        <v>36.531489925882461</v>
      </c>
      <c r="AL55" s="20">
        <f t="shared" si="4"/>
        <v>309.24247828757859</v>
      </c>
      <c r="AM55" s="59">
        <f t="shared" si="5"/>
        <v>602.57581162091196</v>
      </c>
      <c r="AN55" s="59">
        <f ca="1">AVERAGE(OFFSET($AM$3,0,0,'Données projet'!$E$10+1,1))-AVERAGE(OFFSET($H$3,0,0,'Données projet'!$E$10+1,1))</f>
        <v>175.05987582828078</v>
      </c>
      <c r="AO55" s="59">
        <f t="shared" si="36"/>
        <v>268.54782308462387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3.4052672950392116</v>
      </c>
      <c r="AV55" s="21">
        <f>EXP(-LN(2)/25)*AV54+(1-EXP(-LN(2)/25))/(LN(2)/25)*Calculateur!AQ55*Calculateur!AS55*VLOOKUP('Données projet'!$B$10,Paramètres!$A$1:$I$89,3,0)*0.475*44/12</f>
        <v>9.8682946845157602</v>
      </c>
      <c r="AW55" s="21">
        <f>EXP(-LN(2)/2)*AW54+(1-EXP(-LN(2)/2))/(LN(2)/2)*AQ55*AT55*VLOOKUP('Données projet'!$B$10,Paramètres!$A$1:$I$89,3,0)*0.475*44/12</f>
        <v>5.0535852234955009E-3</v>
      </c>
      <c r="AX55" s="21">
        <f t="shared" si="6"/>
        <v>13.278615564778466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</v>
      </c>
      <c r="BD55" s="12">
        <f>IF('Données projet'!$A$88&gt;35,BD54+BC55-BL54,IF(A55&lt;'Données projet'!$A$88,$BA$205^A55,IF(A55='Données projet'!$A$88,'Données projet'!$B$88,BD54+BC55-BL54)))</f>
        <v>402.59999999999974</v>
      </c>
      <c r="BE55" s="13">
        <f>BD55*VLOOKUP('Données projet'!$B$11,Paramètres!$A$1:$I$89,3,0)*VLOOKUP('Données projet'!$B$11,Paramètres!$A$1:$I$89,5,0)</f>
        <v>240.75479999999985</v>
      </c>
      <c r="BF55" s="13">
        <f t="shared" si="37"/>
        <v>58.601899688541039</v>
      </c>
      <c r="BG55" s="20">
        <f t="shared" si="7"/>
        <v>521.3795852908753</v>
      </c>
      <c r="BH55" s="59">
        <f t="shared" si="8"/>
        <v>814.71291862420867</v>
      </c>
      <c r="BI55" s="59">
        <f ca="1">AVERAGE(OFFSET($BH$3,0,0,'Données projet'!$E$11+1,1))-AVERAGE(OFFSET($H$3,0,0,'Données projet'!$E$11+1,1))</f>
        <v>381.78368385345919</v>
      </c>
      <c r="BJ55" s="59">
        <f t="shared" si="38"/>
        <v>257.35575295655639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8.2860684689763122</v>
      </c>
      <c r="BR55" s="21">
        <f>EXP(-LN(2)/2)*BR54+(1-EXP(-LN(2)/2))/(LN(2)/2)*BL55*BO55*VLOOKUP('Données projet'!$B$11,Paramètres!$A$1:$I$89,3,0)*0.475*44/12</f>
        <v>8.833182802784286</v>
      </c>
      <c r="BS55" s="22">
        <f t="shared" si="9"/>
        <v>17.119251271760596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25.4</v>
      </c>
      <c r="BY55" s="12">
        <f>IF('Données projet'!$A$114&gt;35,BY54+BX55-CG54,IF(A55&lt;'Données projet'!$A$114,$BV$205^A55,IF(A55='Données projet'!$A$114,'Données projet'!$B$114,BY54+BX55-CG54)))</f>
        <v>617.80000000000041</v>
      </c>
      <c r="BZ55" s="13">
        <f>BY55*VLOOKUP('Données projet'!$B$12,Paramètres!$A$1:$I$89,3,0)*VLOOKUP('Données projet'!$B$12,Paramètres!$A$1:$I$89,5,0)</f>
        <v>297.1618000000002</v>
      </c>
      <c r="CA55" s="13">
        <f t="shared" si="39"/>
        <v>70.581138968940266</v>
      </c>
      <c r="CB55" s="20">
        <f t="shared" si="10"/>
        <v>640.48561870423794</v>
      </c>
      <c r="CC55" s="59">
        <f t="shared" si="11"/>
        <v>933.81895203757131</v>
      </c>
      <c r="CD55" s="59">
        <f ca="1">AVERAGE(OFFSET($CC$3,0,0,'Données projet'!$E$12+1,1))-AVERAGE(OFFSET($H$3,0,0,'Données projet'!$E$12+1,1))</f>
        <v>415.97633163853953</v>
      </c>
      <c r="CE55" s="59">
        <f t="shared" si="40"/>
        <v>356.23532720804423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1.7478654310671151</v>
      </c>
      <c r="CL55" s="21">
        <f>EXP(-LN(2)/25)*CL54+(1-EXP(-LN(2)/25))/(LN(2)/25)*Calculateur!CG55*Calculateur!CI55*VLOOKUP('Données projet'!$B$12,Paramètres!$A$1:$I$89,3,0)*0.475*44/12</f>
        <v>8.1719887033733265</v>
      </c>
      <c r="CM55" s="21">
        <f>EXP(-LN(2)/2)*CM54+(1-EXP(-LN(2)/2))/(LN(2)/2)*CG55*CJ55*VLOOKUP('Données projet'!$B$12,Paramètres!$A$1:$I$89,3,0)*0.475*44/12</f>
        <v>1.5467076995770537E-2</v>
      </c>
      <c r="CN55" s="22">
        <f t="shared" si="12"/>
        <v>9.9353212114362126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17.8</v>
      </c>
      <c r="N56" s="13">
        <f>IF('Données projet'!$A$36&gt;35,N55+M56-V55,IF(A56&lt;'Données projet'!$A$36,$K$205^A56,IF(A56='Données projet'!$A$36,'Données projet'!$B$36,N55+M56-V55)))</f>
        <v>669.4</v>
      </c>
      <c r="O56" s="13">
        <f>N56*VLOOKUP('Données projet'!$B$9,Paramètres!$A$1:$I$89,3,0)*VLOOKUP('Données projet'!$B$9,Paramètres!$A$1:$I$89,5,0)</f>
        <v>374.19459999999998</v>
      </c>
      <c r="P56" s="13">
        <f t="shared" si="33"/>
        <v>86.524884836459236</v>
      </c>
      <c r="Q56" s="20">
        <f t="shared" si="53"/>
        <v>802.41976942349982</v>
      </c>
      <c r="R56" s="59">
        <f t="shared" si="0"/>
        <v>1095.7531027568332</v>
      </c>
      <c r="S56" s="59">
        <f ca="1">AVERAGE(OFFSET($R$3,0,0,'Données projet'!$E$9+1,1))-AVERAGE(OFFSET($H$3,0,0,'Données projet'!$E$9+1,1))</f>
        <v>492.3498626914548</v>
      </c>
      <c r="T56" s="59">
        <f t="shared" si="34"/>
        <v>635.90304180030307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3.4656758555976661</v>
      </c>
      <c r="AA56" s="21">
        <f>EXP(-LN(2)/25)*AA55+(1-EXP(-LN(2)/25))/(LN(2)/25)*Calculateur!V56*Calculateur!X56*VLOOKUP('Données projet'!$B$9,Paramètres!$A$1:$I$89,3,0)*0.475*44/12</f>
        <v>12.786256301137076</v>
      </c>
      <c r="AB56" s="21">
        <f>EXP(-LN(2)/2)*AB55+(1-EXP(-LN(2)/2))/(LN(2)/2)*V56*Y56*VLOOKUP('Données projet'!$B$9,Paramètres!$A$1:$I$89,3,0)*0.475*44/12</f>
        <v>4.0395090903213582E-3</v>
      </c>
      <c r="AC56" s="22">
        <f t="shared" si="3"/>
        <v>16.255971665825065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9.75</v>
      </c>
      <c r="AI56" s="13">
        <f>IF('Données projet'!$A$62&gt;35,AI55+AH56-AQ55,IF(A56&lt;'Données projet'!$A$62,$AF$205^A56,IF(A56='Données projet'!$A$62,'Données projet'!$B$62,AI55+AH56-AQ55)))</f>
        <v>235.75</v>
      </c>
      <c r="AJ56" s="13">
        <f>AI56*VLOOKUP('Données projet'!$B$10,Paramètres!$A$1:$I$89,3,0)*VLOOKUP('Données projet'!$B$10,Paramètres!$A$1:$I$89,5,0)</f>
        <v>147.108</v>
      </c>
      <c r="AK56" s="13">
        <f t="shared" si="35"/>
        <v>37.920625436598897</v>
      </c>
      <c r="AL56" s="20">
        <f t="shared" si="4"/>
        <v>322.25818930207646</v>
      </c>
      <c r="AM56" s="59">
        <f t="shared" si="5"/>
        <v>615.59152263540977</v>
      </c>
      <c r="AN56" s="59">
        <f ca="1">AVERAGE(OFFSET($AM$3,0,0,'Données projet'!$E$10+1,1))-AVERAGE(OFFSET($H$3,0,0,'Données projet'!$E$10+1,1))</f>
        <v>175.05987582828078</v>
      </c>
      <c r="AO56" s="59">
        <f t="shared" si="36"/>
        <v>268.54782308462387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3.3384920803914553</v>
      </c>
      <c r="AV56" s="21">
        <f>EXP(-LN(2)/25)*AV55+(1-EXP(-LN(2)/25))/(LN(2)/25)*Calculateur!AQ56*Calculateur!AS56*VLOOKUP('Données projet'!$B$10,Paramètres!$A$1:$I$89,3,0)*0.475*44/12</f>
        <v>9.5984456474166144</v>
      </c>
      <c r="AW56" s="21">
        <f>EXP(-LN(2)/2)*AW55+(1-EXP(-LN(2)/2))/(LN(2)/2)*AQ56*AT56*VLOOKUP('Données projet'!$B$10,Paramètres!$A$1:$I$89,3,0)*0.475*44/12</f>
        <v>3.5734243808378031E-3</v>
      </c>
      <c r="AX56" s="21">
        <f t="shared" si="6"/>
        <v>12.940511152188908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</v>
      </c>
      <c r="BD56" s="12">
        <f>IF('Données projet'!$A$88&gt;35,BD55+BC56-BL55,IF(A56&lt;'Données projet'!$A$88,$BA$205^A56,IF(A56='Données projet'!$A$88,'Données projet'!$B$88,BD55+BC56-BL55)))</f>
        <v>412.89999999999975</v>
      </c>
      <c r="BE56" s="13">
        <f>BD56*VLOOKUP('Données projet'!$B$11,Paramètres!$A$1:$I$89,3,0)*VLOOKUP('Données projet'!$B$11,Paramètres!$A$1:$I$89,5,0)</f>
        <v>246.91419999999985</v>
      </c>
      <c r="BF56" s="13">
        <f t="shared" si="37"/>
        <v>59.924686345288421</v>
      </c>
      <c r="BG56" s="20">
        <f t="shared" si="7"/>
        <v>534.41106038471037</v>
      </c>
      <c r="BH56" s="59">
        <f t="shared" si="8"/>
        <v>827.74439371804374</v>
      </c>
      <c r="BI56" s="59">
        <f ca="1">AVERAGE(OFFSET($BH$3,0,0,'Données projet'!$E$11+1,1))-AVERAGE(OFFSET($H$3,0,0,'Données projet'!$E$11+1,1))</f>
        <v>381.78368385345919</v>
      </c>
      <c r="BJ56" s="59">
        <f t="shared" si="38"/>
        <v>257.35575295655639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8.0594854909467522</v>
      </c>
      <c r="BR56" s="21">
        <f>EXP(-LN(2)/2)*BR55+(1-EXP(-LN(2)/2))/(LN(2)/2)*BL56*BO56*VLOOKUP('Données projet'!$B$11,Paramètres!$A$1:$I$89,3,0)*0.475*44/12</f>
        <v>6.2460034593091631</v>
      </c>
      <c r="BS56" s="22">
        <f t="shared" si="9"/>
        <v>14.305488950255915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25.4</v>
      </c>
      <c r="BY56" s="12">
        <f>IF('Données projet'!$A$114&gt;35,BY55+BX56-CG55,IF(A56&lt;'Données projet'!$A$114,$BV$205^A56,IF(A56='Données projet'!$A$114,'Données projet'!$B$114,BY55+BX56-CG55)))</f>
        <v>643.20000000000039</v>
      </c>
      <c r="BZ56" s="13">
        <f>BY56*VLOOKUP('Données projet'!$B$12,Paramètres!$A$1:$I$89,3,0)*VLOOKUP('Données projet'!$B$12,Paramètres!$A$1:$I$89,5,0)</f>
        <v>309.3792000000002</v>
      </c>
      <c r="CA56" s="13">
        <f t="shared" si="39"/>
        <v>73.139167301517503</v>
      </c>
      <c r="CB56" s="20">
        <f t="shared" si="10"/>
        <v>666.2194897168099</v>
      </c>
      <c r="CC56" s="59">
        <f t="shared" si="11"/>
        <v>959.55282305014316</v>
      </c>
      <c r="CD56" s="59">
        <f ca="1">AVERAGE(OFFSET($CC$3,0,0,'Données projet'!$E$12+1,1))-AVERAGE(OFFSET($H$3,0,0,'Données projet'!$E$12+1,1))</f>
        <v>415.97633163853953</v>
      </c>
      <c r="CE56" s="59">
        <f t="shared" si="40"/>
        <v>356.23532720804423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1.7135908560565341</v>
      </c>
      <c r="CL56" s="21">
        <f>EXP(-LN(2)/25)*CL55+(1-EXP(-LN(2)/25))/(LN(2)/25)*Calculateur!CG56*Calculateur!CI56*VLOOKUP('Données projet'!$B$12,Paramètres!$A$1:$I$89,3,0)*0.475*44/12</f>
        <v>7.9485252425333739</v>
      </c>
      <c r="CM56" s="21">
        <f>EXP(-LN(2)/2)*CM55+(1-EXP(-LN(2)/2))/(LN(2)/2)*CG56*CJ56*VLOOKUP('Données projet'!$B$12,Paramètres!$A$1:$I$89,3,0)*0.475*44/12</f>
        <v>1.0936875028843801E-2</v>
      </c>
      <c r="CN56" s="22">
        <f t="shared" si="12"/>
        <v>9.673052973618752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17.8</v>
      </c>
      <c r="N57" s="13">
        <f>IF('Données projet'!$A$36&gt;35,N56+M57-V56,IF(A57&lt;'Données projet'!$A$36,$K$205^A57,IF(A57='Données projet'!$A$36,'Données projet'!$B$36,N56+M57-V56)))</f>
        <v>687.19999999999993</v>
      </c>
      <c r="O57" s="13">
        <f>N57*VLOOKUP('Données projet'!$B$9,Paramètres!$A$1:$I$89,3,0)*VLOOKUP('Données projet'!$B$9,Paramètres!$A$1:$I$89,5,0)</f>
        <v>384.14479999999998</v>
      </c>
      <c r="P57" s="13">
        <f t="shared" si="33"/>
        <v>88.554739612081832</v>
      </c>
      <c r="Q57" s="20">
        <f t="shared" si="53"/>
        <v>823.28503149104245</v>
      </c>
      <c r="R57" s="59">
        <f t="shared" si="0"/>
        <v>1116.6183648243757</v>
      </c>
      <c r="S57" s="59">
        <f ca="1">AVERAGE(OFFSET($R$3,0,0,'Données projet'!$E$9+1,1))-AVERAGE(OFFSET($H$3,0,0,'Données projet'!$E$9+1,1))</f>
        <v>492.3498626914548</v>
      </c>
      <c r="T57" s="59">
        <f t="shared" si="34"/>
        <v>635.90304180030307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3.3977160659229422</v>
      </c>
      <c r="AA57" s="21">
        <f>EXP(-LN(2)/25)*AA56+(1-EXP(-LN(2)/25))/(LN(2)/25)*Calculateur!V57*Calculateur!X57*VLOOKUP('Données projet'!$B$9,Paramètres!$A$1:$I$89,3,0)*0.475*44/12</f>
        <v>12.436615450182487</v>
      </c>
      <c r="AB57" s="21">
        <f>EXP(-LN(2)/2)*AB56+(1-EXP(-LN(2)/2))/(LN(2)/2)*V57*Y57*VLOOKUP('Données projet'!$B$9,Paramètres!$A$1:$I$89,3,0)*0.475*44/12</f>
        <v>2.8563642704309343E-3</v>
      </c>
      <c r="AC57" s="22">
        <f t="shared" si="3"/>
        <v>15.837187880375859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9.75</v>
      </c>
      <c r="AI57" s="13">
        <f>IF('Données projet'!$A$62&gt;35,AI56+AH57-AQ56,IF(A57&lt;'Données projet'!$A$62,$AF$205^A57,IF(A57='Données projet'!$A$62,'Données projet'!$B$62,AI56+AH57-AQ56)))</f>
        <v>245.5</v>
      </c>
      <c r="AJ57" s="13">
        <f>AI57*VLOOKUP('Données projet'!$B$10,Paramètres!$A$1:$I$89,3,0)*VLOOKUP('Données projet'!$B$10,Paramètres!$A$1:$I$89,5,0)</f>
        <v>153.19199999999998</v>
      </c>
      <c r="AK57" s="13">
        <f t="shared" si="35"/>
        <v>39.303087713366921</v>
      </c>
      <c r="AL57" s="20">
        <f t="shared" si="4"/>
        <v>335.2622777674473</v>
      </c>
      <c r="AM57" s="59">
        <f t="shared" si="5"/>
        <v>628.59561110078062</v>
      </c>
      <c r="AN57" s="59">
        <f ca="1">AVERAGE(OFFSET($AM$3,0,0,'Données projet'!$E$10+1,1))-AVERAGE(OFFSET($H$3,0,0,'Données projet'!$E$10+1,1))</f>
        <v>175.05987582828078</v>
      </c>
      <c r="AO57" s="59">
        <f t="shared" si="36"/>
        <v>268.54782308462387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3.273026286974082</v>
      </c>
      <c r="AV57" s="21">
        <f>EXP(-LN(2)/25)*AV56+(1-EXP(-LN(2)/25))/(LN(2)/25)*Calculateur!AQ57*Calculateur!AS57*VLOOKUP('Données projet'!$B$10,Paramètres!$A$1:$I$89,3,0)*0.475*44/12</f>
        <v>9.3359756464276877</v>
      </c>
      <c r="AW57" s="21">
        <f>EXP(-LN(2)/2)*AW56+(1-EXP(-LN(2)/2))/(LN(2)/2)*AQ57*AT57*VLOOKUP('Données projet'!$B$10,Paramètres!$A$1:$I$89,3,0)*0.475*44/12</f>
        <v>2.5267926117477505E-3</v>
      </c>
      <c r="AX57" s="21">
        <f t="shared" si="6"/>
        <v>12.611528726013518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10.3</v>
      </c>
      <c r="BD57" s="12">
        <f>IF('Données projet'!$A$88&gt;35,BD56+BC57-BL56,IF(A57&lt;'Données projet'!$A$88,$BA$205^A57,IF(A57='Données projet'!$A$88,'Données projet'!$B$88,BD56+BC57-BL56)))</f>
        <v>423.19999999999976</v>
      </c>
      <c r="BE57" s="13">
        <f>BD57*VLOOKUP('Données projet'!$B$11,Paramètres!$A$1:$I$89,3,0)*VLOOKUP('Données projet'!$B$11,Paramètres!$A$1:$I$89,5,0)</f>
        <v>253.07359999999989</v>
      </c>
      <c r="BF57" s="13">
        <f t="shared" si="37"/>
        <v>61.243637233758619</v>
      </c>
      <c r="BG57" s="20">
        <f t="shared" si="7"/>
        <v>547.43585484879611</v>
      </c>
      <c r="BH57" s="59">
        <f t="shared" si="8"/>
        <v>840.76918818212948</v>
      </c>
      <c r="BI57" s="59">
        <f ca="1">AVERAGE(OFFSET($BH$3,0,0,'Données projet'!$E$11+1,1))-AVERAGE(OFFSET($H$3,0,0,'Données projet'!$E$11+1,1))</f>
        <v>381.78368385345919</v>
      </c>
      <c r="BJ57" s="59">
        <f t="shared" si="38"/>
        <v>257.35575295655639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7.8390984363668919</v>
      </c>
      <c r="BR57" s="21">
        <f>EXP(-LN(2)/2)*BR56+(1-EXP(-LN(2)/2))/(LN(2)/2)*BL57*BO57*VLOOKUP('Données projet'!$B$11,Paramètres!$A$1:$I$89,3,0)*0.475*44/12</f>
        <v>4.4165914013921439</v>
      </c>
      <c r="BS57" s="22">
        <f t="shared" si="9"/>
        <v>12.255689837759036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25.4</v>
      </c>
      <c r="BY57" s="12">
        <f>IF('Données projet'!$A$114&gt;35,BY56+BX57-CG56,IF(A57&lt;'Données projet'!$A$114,$BV$205^A57,IF(A57='Données projet'!$A$114,'Données projet'!$B$114,BY56+BX57-CG56)))</f>
        <v>668.60000000000036</v>
      </c>
      <c r="BZ57" s="13">
        <f>BY57*VLOOKUP('Données projet'!$B$12,Paramètres!$A$1:$I$89,3,0)*VLOOKUP('Données projet'!$B$12,Paramètres!$A$1:$I$89,5,0)</f>
        <v>321.59660000000014</v>
      </c>
      <c r="CA57" s="13">
        <f t="shared" si="39"/>
        <v>75.685461055982486</v>
      </c>
      <c r="CB57" s="20">
        <f t="shared" si="10"/>
        <v>691.93292300583641</v>
      </c>
      <c r="CC57" s="59">
        <f t="shared" si="11"/>
        <v>985.26625633916979</v>
      </c>
      <c r="CD57" s="59">
        <f ca="1">AVERAGE(OFFSET($CC$3,0,0,'Données projet'!$E$12+1,1))-AVERAGE(OFFSET($H$3,0,0,'Données projet'!$E$12+1,1))</f>
        <v>415.97633163853953</v>
      </c>
      <c r="CE57" s="59">
        <f t="shared" si="40"/>
        <v>356.23532720804423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1.679988384556484</v>
      </c>
      <c r="CL57" s="21">
        <f>EXP(-LN(2)/25)*CL56+(1-EXP(-LN(2)/25))/(LN(2)/25)*Calculateur!CG57*Calculateur!CI57*VLOOKUP('Données projet'!$B$12,Paramètres!$A$1:$I$89,3,0)*0.475*44/12</f>
        <v>7.7311724017815227</v>
      </c>
      <c r="CM57" s="21">
        <f>EXP(-LN(2)/2)*CM56+(1-EXP(-LN(2)/2))/(LN(2)/2)*CG57*CJ57*VLOOKUP('Données projet'!$B$12,Paramètres!$A$1:$I$89,3,0)*0.475*44/12</f>
        <v>7.7335384978852702E-3</v>
      </c>
      <c r="CN57" s="22">
        <f t="shared" si="12"/>
        <v>9.4188943248358914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705</v>
      </c>
      <c r="L58" s="12">
        <f>VLOOKUP(A58,'Données projet'!$A$35:$I$55,9,0)</f>
        <v>17.8</v>
      </c>
      <c r="M58" s="12">
        <f t="array" ref="M58">INDEX(L:L,MIN(IF(ISNUMBER(L58:L254),ROW(L58:L254),"")))</f>
        <v>17.8</v>
      </c>
      <c r="N58" s="13">
        <f>IF('Données projet'!$A$36&gt;35,N57+M58-V57,IF(A58&lt;'Données projet'!$A$36,$K$205^A58,IF(A58='Données projet'!$A$36,'Données projet'!$B$36,N57+M58-V57)))</f>
        <v>704.99999999999989</v>
      </c>
      <c r="O58" s="13">
        <f>N58*VLOOKUP('Données projet'!$B$9,Paramètres!$A$1:$I$89,3,0)*VLOOKUP('Données projet'!$B$9,Paramètres!$A$1:$I$89,5,0)</f>
        <v>394.09499999999991</v>
      </c>
      <c r="P58" s="13">
        <f t="shared" si="33"/>
        <v>90.578482834670083</v>
      </c>
      <c r="Q58" s="20">
        <f t="shared" si="53"/>
        <v>844.13964927038353</v>
      </c>
      <c r="R58" s="59">
        <f t="shared" si="0"/>
        <v>1137.4729826037169</v>
      </c>
      <c r="S58" s="59">
        <f ca="1">AVERAGE(OFFSET($R$3,0,0,'Données projet'!$E$9+1,1))-AVERAGE(OFFSET($H$3,0,0,'Données projet'!$E$9+1,1))</f>
        <v>492.3498626914548</v>
      </c>
      <c r="T58" s="59">
        <f t="shared" si="34"/>
        <v>635.90304180030307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66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3.3310889262723609</v>
      </c>
      <c r="AA58" s="21">
        <f>EXP(-LN(2)/25)*AA57+(1-EXP(-LN(2)/25))/(LN(2)/25)*Calculateur!V58*Calculateur!X58*VLOOKUP('Données projet'!$B$9,Paramètres!$A$1:$I$89,3,0)*0.475*44/12</f>
        <v>12.096535546684064</v>
      </c>
      <c r="AB58" s="21">
        <f>EXP(-LN(2)/2)*AB57+(1-EXP(-LN(2)/2))/(LN(2)/2)*V58*Y58*VLOOKUP('Données projet'!$B$9,Paramètres!$A$1:$I$89,3,0)*0.475*44/12</f>
        <v>2.0197545451606791E-3</v>
      </c>
      <c r="AC58" s="22">
        <f t="shared" si="3"/>
        <v>15.429644227501587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9.75</v>
      </c>
      <c r="AI58" s="13">
        <f>IF('Données projet'!$A$62&gt;35,AI57+AH58-AQ57,IF(A58&lt;'Données projet'!$A$62,$AF$205^A58,IF(A58='Données projet'!$A$62,'Données projet'!$B$62,AI57+AH58-AQ57)))</f>
        <v>255.25</v>
      </c>
      <c r="AJ58" s="13">
        <f>AI58*VLOOKUP('Données projet'!$B$10,Paramètres!$A$1:$I$89,3,0)*VLOOKUP('Données projet'!$B$10,Paramètres!$A$1:$I$89,5,0)</f>
        <v>159.27600000000001</v>
      </c>
      <c r="AK58" s="13">
        <f t="shared" si="35"/>
        <v>40.679172107249002</v>
      </c>
      <c r="AL58" s="20">
        <f t="shared" si="4"/>
        <v>348.25525808679203</v>
      </c>
      <c r="AM58" s="59">
        <f t="shared" si="5"/>
        <v>641.58859142012534</v>
      </c>
      <c r="AN58" s="59">
        <f ca="1">AVERAGE(OFFSET($AM$3,0,0,'Données projet'!$E$10+1,1))-AVERAGE(OFFSET($H$3,0,0,'Données projet'!$E$10+1,1))</f>
        <v>175.05987582828078</v>
      </c>
      <c r="AO58" s="59">
        <f t="shared" si="36"/>
        <v>268.54782308462387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3.2088442378354323</v>
      </c>
      <c r="AV58" s="21">
        <f>EXP(-LN(2)/25)*AV57+(1-EXP(-LN(2)/25))/(LN(2)/25)*Calculateur!AQ58*Calculateur!AS58*VLOOKUP('Données projet'!$B$10,Paramètres!$A$1:$I$89,3,0)*0.475*44/12</f>
        <v>9.0806829014185002</v>
      </c>
      <c r="AW58" s="21">
        <f>EXP(-LN(2)/2)*AW57+(1-EXP(-LN(2)/2))/(LN(2)/2)*AQ58*AT58*VLOOKUP('Données projet'!$B$10,Paramètres!$A$1:$I$89,3,0)*0.475*44/12</f>
        <v>1.7867121904189015E-3</v>
      </c>
      <c r="AX58" s="21">
        <f t="shared" si="6"/>
        <v>12.291313851444352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10.3</v>
      </c>
      <c r="BD58" s="12">
        <f>IF('Données projet'!$A$88&gt;35,BD57+BC58-BL57,IF(A58&lt;'Données projet'!$A$88,$BA$205^A58,IF(A58='Données projet'!$A$88,'Données projet'!$B$88,BD57+BC58-BL57)))</f>
        <v>433.49999999999977</v>
      </c>
      <c r="BE58" s="13">
        <f>BD58*VLOOKUP('Données projet'!$B$11,Paramètres!$A$1:$I$89,3,0)*VLOOKUP('Données projet'!$B$11,Paramètres!$A$1:$I$89,5,0)</f>
        <v>259.23299999999989</v>
      </c>
      <c r="BF58" s="13">
        <f t="shared" si="37"/>
        <v>62.558856450288438</v>
      </c>
      <c r="BG58" s="20">
        <f t="shared" si="7"/>
        <v>560.45414998425213</v>
      </c>
      <c r="BH58" s="59">
        <f t="shared" si="8"/>
        <v>853.78748331758538</v>
      </c>
      <c r="BI58" s="59">
        <f ca="1">AVERAGE(OFFSET($BH$3,0,0,'Données projet'!$E$11+1,1))-AVERAGE(OFFSET($H$3,0,0,'Données projet'!$E$11+1,1))</f>
        <v>381.78368385345919</v>
      </c>
      <c r="BJ58" s="59">
        <f t="shared" si="38"/>
        <v>257.35575295655639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7.6247378773841685</v>
      </c>
      <c r="BR58" s="21">
        <f>EXP(-LN(2)/2)*BR57+(1-EXP(-LN(2)/2))/(LN(2)/2)*BL58*BO58*VLOOKUP('Données projet'!$B$11,Paramètres!$A$1:$I$89,3,0)*0.475*44/12</f>
        <v>3.123001729654582</v>
      </c>
      <c r="BS58" s="22">
        <f t="shared" si="9"/>
        <v>10.747739607038751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694</v>
      </c>
      <c r="BW58" s="12">
        <f>VLOOKUP(A58,'Données projet'!$A$113:$I$133,9,0)</f>
        <v>25.4</v>
      </c>
      <c r="BX58" s="12">
        <f t="array" ref="BX58">INDEX(BW:BW,MIN(IF(ISNUMBER(BW58:BW254),ROW(BW58:BW254),"")))</f>
        <v>25.4</v>
      </c>
      <c r="BY58" s="12">
        <f>IF('Données projet'!$A$114&gt;35,BY57+BX58-CG57,IF(A58&lt;'Données projet'!$A$114,$BV$205^A58,IF(A58='Données projet'!$A$114,'Données projet'!$B$114,BY57+BX58-CG57)))</f>
        <v>694.00000000000034</v>
      </c>
      <c r="BZ58" s="13">
        <f>BY58*VLOOKUP('Données projet'!$B$12,Paramètres!$A$1:$I$89,3,0)*VLOOKUP('Données projet'!$B$12,Paramètres!$A$1:$I$89,5,0)</f>
        <v>333.81400000000019</v>
      </c>
      <c r="CA58" s="13">
        <f t="shared" si="39"/>
        <v>78.220517061978072</v>
      </c>
      <c r="CB58" s="20">
        <f t="shared" si="10"/>
        <v>717.62678388294546</v>
      </c>
      <c r="CC58" s="59">
        <f t="shared" si="11"/>
        <v>1010.9601172162788</v>
      </c>
      <c r="CD58" s="59">
        <f ca="1">AVERAGE(OFFSET($CC$3,0,0,'Données projet'!$E$12+1,1))-AVERAGE(OFFSET($H$3,0,0,'Données projet'!$E$12+1,1))</f>
        <v>415.97633163853953</v>
      </c>
      <c r="CE58" s="59">
        <f t="shared" si="40"/>
        <v>356.23532720804423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73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1.6470448370270661</v>
      </c>
      <c r="CL58" s="21">
        <f>EXP(-LN(2)/25)*CL57+(1-EXP(-LN(2)/25))/(LN(2)/25)*Calculateur!CG58*Calculateur!CI58*VLOOKUP('Données projet'!$B$12,Paramètres!$A$1:$I$89,3,0)*0.475*44/12</f>
        <v>7.5197630858901201</v>
      </c>
      <c r="CM58" s="21">
        <f>EXP(-LN(2)/2)*CM57+(1-EXP(-LN(2)/2))/(LN(2)/2)*CG58*CJ58*VLOOKUP('Données projet'!$B$12,Paramètres!$A$1:$I$89,3,0)*0.475*44/12</f>
        <v>5.4684375144219014E-3</v>
      </c>
      <c r="CN58" s="22">
        <f t="shared" si="12"/>
        <v>9.1722763604316082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16.8</v>
      </c>
      <c r="N59" s="13">
        <f>IF('Données projet'!$A$36&gt;35,N58+M59-V58,IF(A59&lt;'Données projet'!$A$36,$K$205^A59,IF(A59='Données projet'!$A$36,'Données projet'!$B$36,N58+M59-V58)))</f>
        <v>655.79999999999984</v>
      </c>
      <c r="O59" s="13">
        <f>N59*VLOOKUP('Données projet'!$B$9,Paramètres!$A$1:$I$89,3,0)*VLOOKUP('Données projet'!$B$9,Paramètres!$A$1:$I$89,5,0)</f>
        <v>366.59219999999988</v>
      </c>
      <c r="P59" s="13">
        <f t="shared" si="33"/>
        <v>84.969753481055022</v>
      </c>
      <c r="Q59" s="20">
        <f t="shared" si="53"/>
        <v>786.47040231283734</v>
      </c>
      <c r="R59" s="59">
        <f t="shared" si="0"/>
        <v>1079.8037356461707</v>
      </c>
      <c r="S59" s="59">
        <f ca="1">AVERAGE(OFFSET($R$3,0,0,'Données projet'!$E$9+1,1))-AVERAGE(OFFSET($H$3,0,0,'Données projet'!$E$9+1,1))</f>
        <v>492.3498626914548</v>
      </c>
      <c r="T59" s="59">
        <f t="shared" si="34"/>
        <v>635.90304180030307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3.2657683041917851</v>
      </c>
      <c r="AA59" s="21">
        <f>EXP(-LN(2)/25)*AA58+(1-EXP(-LN(2)/25))/(LN(2)/25)*Calculateur!V59*Calculateur!X59*VLOOKUP('Données projet'!$B$9,Paramètres!$A$1:$I$89,3,0)*0.475*44/12</f>
        <v>11.765755146030831</v>
      </c>
      <c r="AB59" s="21">
        <f>EXP(-LN(2)/2)*AB58+(1-EXP(-LN(2)/2))/(LN(2)/2)*V59*Y59*VLOOKUP('Données projet'!$B$9,Paramètres!$A$1:$I$89,3,0)*0.475*44/12</f>
        <v>1.4281821352154671E-3</v>
      </c>
      <c r="AC59" s="22">
        <f t="shared" si="3"/>
        <v>15.032951632357831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9.75</v>
      </c>
      <c r="AI59" s="13">
        <f>IF('Données projet'!$A$62&gt;35,AI58+AH59-AQ58,IF(A59&lt;'Données projet'!$A$62,$AF$205^A59,IF(A59='Données projet'!$A$62,'Données projet'!$B$62,AI58+AH59-AQ58)))</f>
        <v>265</v>
      </c>
      <c r="AJ59" s="13">
        <f>AI59*VLOOKUP('Données projet'!$B$10,Paramètres!$A$1:$I$89,3,0)*VLOOKUP('Données projet'!$B$10,Paramètres!$A$1:$I$89,5,0)</f>
        <v>165.35999999999999</v>
      </c>
      <c r="AK59" s="13">
        <f t="shared" si="35"/>
        <v>42.04915012784209</v>
      </c>
      <c r="AL59" s="20">
        <f t="shared" si="4"/>
        <v>361.2376031393249</v>
      </c>
      <c r="AM59" s="59">
        <f t="shared" si="5"/>
        <v>654.57093647265822</v>
      </c>
      <c r="AN59" s="59">
        <f ca="1">AVERAGE(OFFSET($AM$3,0,0,'Données projet'!$E$10+1,1))-AVERAGE(OFFSET($H$3,0,0,'Données projet'!$E$10+1,1))</f>
        <v>175.05987582828078</v>
      </c>
      <c r="AO59" s="59">
        <f t="shared" si="36"/>
        <v>268.54782308462387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3.1459207595332068</v>
      </c>
      <c r="AV59" s="21">
        <f>EXP(-LN(2)/25)*AV58+(1-EXP(-LN(2)/25))/(LN(2)/25)*Calculateur!AQ59*Calculateur!AS59*VLOOKUP('Données projet'!$B$10,Paramètres!$A$1:$I$89,3,0)*0.475*44/12</f>
        <v>8.8323711499468516</v>
      </c>
      <c r="AW59" s="21">
        <f>EXP(-LN(2)/2)*AW58+(1-EXP(-LN(2)/2))/(LN(2)/2)*AQ59*AT59*VLOOKUP('Données projet'!$B$10,Paramètres!$A$1:$I$89,3,0)*0.475*44/12</f>
        <v>1.2633963058738752E-3</v>
      </c>
      <c r="AX59" s="21">
        <f t="shared" si="6"/>
        <v>11.979555305785931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10.3</v>
      </c>
      <c r="BD59" s="12">
        <f>IF('Données projet'!$A$88&gt;35,BD58+BC59-BL58,IF(A59&lt;'Données projet'!$A$88,$BA$205^A59,IF(A59='Données projet'!$A$88,'Données projet'!$B$88,BD58+BC59-BL58)))</f>
        <v>443.79999999999978</v>
      </c>
      <c r="BE59" s="13">
        <f>BD59*VLOOKUP('Données projet'!$B$11,Paramètres!$A$1:$I$89,3,0)*VLOOKUP('Données projet'!$B$11,Paramètres!$A$1:$I$89,5,0)</f>
        <v>265.3923999999999</v>
      </c>
      <c r="BF59" s="13">
        <f t="shared" si="37"/>
        <v>63.870442862391762</v>
      </c>
      <c r="BG59" s="20">
        <f t="shared" si="7"/>
        <v>573.46611798533206</v>
      </c>
      <c r="BH59" s="59">
        <f t="shared" si="8"/>
        <v>866.79945131866543</v>
      </c>
      <c r="BI59" s="59">
        <f ca="1">AVERAGE(OFFSET($BH$3,0,0,'Données projet'!$E$11+1,1))-AVERAGE(OFFSET($H$3,0,0,'Données projet'!$E$11+1,1))</f>
        <v>381.78368385345919</v>
      </c>
      <c r="BJ59" s="59">
        <f t="shared" si="38"/>
        <v>257.35575295655639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7.4162390191595602</v>
      </c>
      <c r="BR59" s="21">
        <f>EXP(-LN(2)/2)*BR58+(1-EXP(-LN(2)/2))/(LN(2)/2)*BL59*BO59*VLOOKUP('Données projet'!$B$11,Paramètres!$A$1:$I$89,3,0)*0.475*44/12</f>
        <v>2.208295700696072</v>
      </c>
      <c r="BS59" s="22">
        <f t="shared" si="9"/>
        <v>9.6245347198556317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23.8</v>
      </c>
      <c r="BY59" s="12">
        <f>IF('Données projet'!$A$114&gt;35,BY58+BX59-CG58,IF(A59&lt;'Données projet'!$A$114,$BV$205^A59,IF(A59='Données projet'!$A$114,'Données projet'!$B$114,BY58+BX59-CG58)))</f>
        <v>644.8000000000003</v>
      </c>
      <c r="BZ59" s="13">
        <f>BY59*VLOOKUP('Données projet'!$B$12,Paramètres!$A$1:$I$89,3,0)*VLOOKUP('Données projet'!$B$12,Paramètres!$A$1:$I$89,5,0)</f>
        <v>310.14880000000016</v>
      </c>
      <c r="CA59" s="13">
        <f t="shared" si="39"/>
        <v>73.299904666217628</v>
      </c>
      <c r="CB59" s="20">
        <f t="shared" si="10"/>
        <v>667.83982729366255</v>
      </c>
      <c r="CC59" s="59">
        <f t="shared" si="11"/>
        <v>961.17316062699592</v>
      </c>
      <c r="CD59" s="59">
        <f ca="1">AVERAGE(OFFSET($CC$3,0,0,'Données projet'!$E$12+1,1))-AVERAGE(OFFSET($H$3,0,0,'Données projet'!$E$12+1,1))</f>
        <v>415.97633163853953</v>
      </c>
      <c r="CE59" s="59">
        <f t="shared" si="40"/>
        <v>356.23532720804423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1.6147472923711201</v>
      </c>
      <c r="CL59" s="21">
        <f>EXP(-LN(2)/25)*CL58+(1-EXP(-LN(2)/25))/(LN(2)/25)*Calculateur!CG59*Calculateur!CI59*VLOOKUP('Données projet'!$B$12,Paramètres!$A$1:$I$89,3,0)*0.475*44/12</f>
        <v>7.3141347688593008</v>
      </c>
      <c r="CM59" s="21">
        <f>EXP(-LN(2)/2)*CM58+(1-EXP(-LN(2)/2))/(LN(2)/2)*CG59*CJ59*VLOOKUP('Données projet'!$B$12,Paramètres!$A$1:$I$89,3,0)*0.475*44/12</f>
        <v>3.8667692489426355E-3</v>
      </c>
      <c r="CN59" s="22">
        <f t="shared" si="12"/>
        <v>8.9327488304793636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16.8</v>
      </c>
      <c r="N60" s="13">
        <f>IF('Données projet'!$A$36&gt;35,N59+M60-V59,IF(A60&lt;'Données projet'!$A$36,$K$205^A60,IF(A60='Données projet'!$A$36,'Données projet'!$B$36,N59+M60-V59)))</f>
        <v>672.5999999999998</v>
      </c>
      <c r="O60" s="13">
        <f>N60*VLOOKUP('Données projet'!$B$9,Paramètres!$A$1:$I$89,3,0)*VLOOKUP('Données projet'!$B$9,Paramètres!$A$1:$I$89,5,0)</f>
        <v>375.9833999999999</v>
      </c>
      <c r="P60" s="13">
        <f t="shared" si="33"/>
        <v>86.890261138472837</v>
      </c>
      <c r="Q60" s="20">
        <f t="shared" si="53"/>
        <v>806.17162648284011</v>
      </c>
      <c r="R60" s="59">
        <f t="shared" si="0"/>
        <v>1099.5049598161734</v>
      </c>
      <c r="S60" s="59">
        <f ca="1">AVERAGE(OFFSET($R$3,0,0,'Données projet'!$E$9+1,1))-AVERAGE(OFFSET($H$3,0,0,'Données projet'!$E$9+1,1))</f>
        <v>492.3498626914548</v>
      </c>
      <c r="T60" s="59">
        <f t="shared" si="34"/>
        <v>635.90304180030307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3.2017285796685639</v>
      </c>
      <c r="AA60" s="21">
        <f>EXP(-LN(2)/25)*AA59+(1-EXP(-LN(2)/25))/(LN(2)/25)*Calculateur!V60*Calculateur!X60*VLOOKUP('Données projet'!$B$9,Paramètres!$A$1:$I$89,3,0)*0.475*44/12</f>
        <v>11.444019952828445</v>
      </c>
      <c r="AB60" s="21">
        <f>EXP(-LN(2)/2)*AB59+(1-EXP(-LN(2)/2))/(LN(2)/2)*V60*Y60*VLOOKUP('Données projet'!$B$9,Paramètres!$A$1:$I$89,3,0)*0.475*44/12</f>
        <v>1.0098772725803395E-3</v>
      </c>
      <c r="AC60" s="22">
        <f t="shared" si="3"/>
        <v>14.646758409769589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9.75</v>
      </c>
      <c r="AI60" s="13">
        <f>IF('Données projet'!$A$62&gt;35,AI59+AH60-AQ59,IF(A60&lt;'Données projet'!$A$62,$AF$205^A60,IF(A60='Données projet'!$A$62,'Données projet'!$B$62,AI59+AH60-AQ59)))</f>
        <v>274.75</v>
      </c>
      <c r="AJ60" s="13">
        <f>AI60*VLOOKUP('Données projet'!$B$10,Paramètres!$A$1:$I$89,3,0)*VLOOKUP('Données projet'!$B$10,Paramètres!$A$1:$I$89,5,0)</f>
        <v>171.44399999999999</v>
      </c>
      <c r="AK60" s="13">
        <f t="shared" si="35"/>
        <v>43.413272173627242</v>
      </c>
      <c r="AL60" s="20">
        <f t="shared" si="4"/>
        <v>374.20974903573409</v>
      </c>
      <c r="AM60" s="59">
        <f t="shared" si="5"/>
        <v>667.54308236906741</v>
      </c>
      <c r="AN60" s="59">
        <f ca="1">AVERAGE(OFFSET($AM$3,0,0,'Données projet'!$E$10+1,1))-AVERAGE(OFFSET($H$3,0,0,'Données projet'!$E$10+1,1))</f>
        <v>175.05987582828078</v>
      </c>
      <c r="AO60" s="59">
        <f t="shared" si="36"/>
        <v>268.54782308462387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3.0842311722609561</v>
      </c>
      <c r="AV60" s="21">
        <f>EXP(-LN(2)/25)*AV59+(1-EXP(-LN(2)/25))/(LN(2)/25)*Calculateur!AQ60*Calculateur!AS60*VLOOKUP('Données projet'!$B$10,Paramètres!$A$1:$I$89,3,0)*0.475*44/12</f>
        <v>8.5908494963773432</v>
      </c>
      <c r="AW60" s="21">
        <f>EXP(-LN(2)/2)*AW59+(1-EXP(-LN(2)/2))/(LN(2)/2)*AQ60*AT60*VLOOKUP('Données projet'!$B$10,Paramètres!$A$1:$I$89,3,0)*0.475*44/12</f>
        <v>8.9335609520945077E-4</v>
      </c>
      <c r="AX60" s="21">
        <f t="shared" si="6"/>
        <v>11.67597402473351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10.3</v>
      </c>
      <c r="BD60" s="12">
        <f>IF('Données projet'!$A$88&gt;35,BD59+BC60-BL59,IF(A60&lt;'Données projet'!$A$88,$BA$205^A60,IF(A60='Données projet'!$A$88,'Données projet'!$B$88,BD59+BC60-BL59)))</f>
        <v>454.0999999999998</v>
      </c>
      <c r="BE60" s="13">
        <f>BD60*VLOOKUP('Données projet'!$B$11,Paramètres!$A$1:$I$89,3,0)*VLOOKUP('Données projet'!$B$11,Paramètres!$A$1:$I$89,5,0)</f>
        <v>271.5517999999999</v>
      </c>
      <c r="BF60" s="13">
        <f t="shared" si="37"/>
        <v>65.178490486572642</v>
      </c>
      <c r="BG60" s="20">
        <f t="shared" si="7"/>
        <v>586.47192259744713</v>
      </c>
      <c r="BH60" s="59">
        <f t="shared" si="8"/>
        <v>879.8052559307805</v>
      </c>
      <c r="BI60" s="59">
        <f ca="1">AVERAGE(OFFSET($BH$3,0,0,'Données projet'!$E$11+1,1))-AVERAGE(OFFSET($H$3,0,0,'Données projet'!$E$11+1,1))</f>
        <v>381.78368385345919</v>
      </c>
      <c r="BJ60" s="59">
        <f t="shared" si="38"/>
        <v>257.35575295655639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7.2134415731775823</v>
      </c>
      <c r="BR60" s="21">
        <f>EXP(-LN(2)/2)*BR59+(1-EXP(-LN(2)/2))/(LN(2)/2)*BL60*BO60*VLOOKUP('Données projet'!$B$11,Paramètres!$A$1:$I$89,3,0)*0.475*44/12</f>
        <v>1.561500864827291</v>
      </c>
      <c r="BS60" s="22">
        <f t="shared" si="9"/>
        <v>8.7749424380048726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23.8</v>
      </c>
      <c r="BY60" s="12">
        <f>IF('Données projet'!$A$114&gt;35,BY59+BX60-CG59,IF(A60&lt;'Données projet'!$A$114,$BV$205^A60,IF(A60='Données projet'!$A$114,'Données projet'!$B$114,BY59+BX60-CG59)))</f>
        <v>668.60000000000025</v>
      </c>
      <c r="BZ60" s="13">
        <f>BY60*VLOOKUP('Données projet'!$B$12,Paramètres!$A$1:$I$89,3,0)*VLOOKUP('Données projet'!$B$12,Paramètres!$A$1:$I$89,5,0)</f>
        <v>321.59660000000014</v>
      </c>
      <c r="CA60" s="13">
        <f t="shared" si="39"/>
        <v>75.685461055982486</v>
      </c>
      <c r="CB60" s="20">
        <f t="shared" si="10"/>
        <v>691.93292300583641</v>
      </c>
      <c r="CC60" s="59">
        <f t="shared" si="11"/>
        <v>985.26625633916979</v>
      </c>
      <c r="CD60" s="59">
        <f ca="1">AVERAGE(OFFSET($CC$3,0,0,'Données projet'!$E$12+1,1))-AVERAGE(OFFSET($H$3,0,0,'Données projet'!$E$12+1,1))</f>
        <v>415.97633163853953</v>
      </c>
      <c r="CE60" s="59">
        <f t="shared" si="40"/>
        <v>356.23532720804423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1.58308308286632</v>
      </c>
      <c r="CL60" s="21">
        <f>EXP(-LN(2)/25)*CL59+(1-EXP(-LN(2)/25))/(LN(2)/25)*Calculateur!CG60*Calculateur!CI60*VLOOKUP('Données projet'!$B$12,Paramètres!$A$1:$I$89,3,0)*0.475*44/12</f>
        <v>7.1141293689712128</v>
      </c>
      <c r="CM60" s="21">
        <f>EXP(-LN(2)/2)*CM59+(1-EXP(-LN(2)/2))/(LN(2)/2)*CG60*CJ60*VLOOKUP('Données projet'!$B$12,Paramètres!$A$1:$I$89,3,0)*0.475*44/12</f>
        <v>2.7342187572109511E-3</v>
      </c>
      <c r="CN60" s="22">
        <f t="shared" si="12"/>
        <v>8.6999466705947448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16.8</v>
      </c>
      <c r="N61" s="13">
        <f>IF('Données projet'!$A$36&gt;35,N60+M61-V60,IF(A61&lt;'Données projet'!$A$36,$K$205^A61,IF(A61='Données projet'!$A$36,'Données projet'!$B$36,N60+M61-V60)))</f>
        <v>689.39999999999975</v>
      </c>
      <c r="O61" s="13">
        <f>N61*VLOOKUP('Données projet'!$B$9,Paramètres!$A$1:$I$89,3,0)*VLOOKUP('Données projet'!$B$9,Paramètres!$A$1:$I$89,5,0)</f>
        <v>385.37459999999987</v>
      </c>
      <c r="P61" s="13">
        <f t="shared" si="33"/>
        <v>88.805192600445807</v>
      </c>
      <c r="Q61" s="20">
        <f t="shared" si="53"/>
        <v>825.86313877910959</v>
      </c>
      <c r="R61" s="59">
        <f t="shared" si="0"/>
        <v>1119.196472112443</v>
      </c>
      <c r="S61" s="59">
        <f ca="1">AVERAGE(OFFSET($R$3,0,0,'Données projet'!$E$9+1,1))-AVERAGE(OFFSET($H$3,0,0,'Données projet'!$E$9+1,1))</f>
        <v>492.3498626914548</v>
      </c>
      <c r="T61" s="59">
        <f t="shared" si="34"/>
        <v>635.90304180030307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3.138944635082868</v>
      </c>
      <c r="AA61" s="21">
        <f>EXP(-LN(2)/25)*AA60+(1-EXP(-LN(2)/25))/(LN(2)/25)*Calculateur!V61*Calculateur!X61*VLOOKUP('Données projet'!$B$9,Paramètres!$A$1:$I$89,3,0)*0.475*44/12</f>
        <v>11.131082625403497</v>
      </c>
      <c r="AB61" s="21">
        <f>EXP(-LN(2)/2)*AB60+(1-EXP(-LN(2)/2))/(LN(2)/2)*V61*Y61*VLOOKUP('Données projet'!$B$9,Paramètres!$A$1:$I$89,3,0)*0.475*44/12</f>
        <v>7.1409106760773357E-4</v>
      </c>
      <c r="AC61" s="22">
        <f t="shared" si="3"/>
        <v>14.270741351553973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9.75</v>
      </c>
      <c r="AI61" s="13">
        <f>IF('Données projet'!$A$62&gt;35,AI60+AH61-AQ60,IF(A61&lt;'Données projet'!$A$62,$AF$205^A61,IF(A61='Données projet'!$A$62,'Données projet'!$B$62,AI60+AH61-AQ60)))</f>
        <v>284.5</v>
      </c>
      <c r="AJ61" s="13">
        <f>AI61*VLOOKUP('Données projet'!$B$10,Paramètres!$A$1:$I$89,3,0)*VLOOKUP('Données projet'!$B$10,Paramètres!$A$1:$I$89,5,0)</f>
        <v>177.52800000000002</v>
      </c>
      <c r="AK61" s="13">
        <f t="shared" si="35"/>
        <v>44.771769863863661</v>
      </c>
      <c r="AL61" s="20">
        <f t="shared" si="4"/>
        <v>387.17209917956257</v>
      </c>
      <c r="AM61" s="59">
        <f t="shared" si="5"/>
        <v>680.50543251289582</v>
      </c>
      <c r="AN61" s="59">
        <f ca="1">AVERAGE(OFFSET($AM$3,0,0,'Données projet'!$E$10+1,1))-AVERAGE(OFFSET($H$3,0,0,'Données projet'!$E$10+1,1))</f>
        <v>175.05987582828078</v>
      </c>
      <c r="AO61" s="59">
        <f t="shared" si="36"/>
        <v>268.54782308462387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3.0237512801681814</v>
      </c>
      <c r="AV61" s="21">
        <f>EXP(-LN(2)/25)*AV60+(1-EXP(-LN(2)/25))/(LN(2)/25)*Calculateur!AQ61*Calculateur!AS61*VLOOKUP('Données projet'!$B$10,Paramètres!$A$1:$I$89,3,0)*0.475*44/12</f>
        <v>8.3559322651257641</v>
      </c>
      <c r="AW61" s="21">
        <f>EXP(-LN(2)/2)*AW60+(1-EXP(-LN(2)/2))/(LN(2)/2)*AQ61*AT61*VLOOKUP('Données projet'!$B$10,Paramètres!$A$1:$I$89,3,0)*0.475*44/12</f>
        <v>6.3169815293693762E-4</v>
      </c>
      <c r="AX61" s="21">
        <f t="shared" si="6"/>
        <v>11.380315243446882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10.3</v>
      </c>
      <c r="BD61" s="12">
        <f>IF('Données projet'!$A$88&gt;35,BD60+BC61-BL60,IF(A61&lt;'Données projet'!$A$88,$BA$205^A61,IF(A61='Données projet'!$A$88,'Données projet'!$B$88,BD60+BC61-BL60)))</f>
        <v>464.39999999999981</v>
      </c>
      <c r="BE61" s="13">
        <f>BD61*VLOOKUP('Données projet'!$B$11,Paramètres!$A$1:$I$89,3,0)*VLOOKUP('Données projet'!$B$11,Paramètres!$A$1:$I$89,5,0)</f>
        <v>277.71119999999991</v>
      </c>
      <c r="BF61" s="13">
        <f t="shared" si="37"/>
        <v>66.483088830893976</v>
      </c>
      <c r="BG61" s="20">
        <f t="shared" si="7"/>
        <v>599.47171971380681</v>
      </c>
      <c r="BH61" s="59">
        <f t="shared" si="8"/>
        <v>892.80505304714006</v>
      </c>
      <c r="BI61" s="59">
        <f ca="1">AVERAGE(OFFSET($BH$3,0,0,'Données projet'!$E$11+1,1))-AVERAGE(OFFSET($H$3,0,0,'Données projet'!$E$11+1,1))</f>
        <v>381.78368385345919</v>
      </c>
      <c r="BJ61" s="59">
        <f t="shared" si="38"/>
        <v>257.35575295655639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7.0161896340206358</v>
      </c>
      <c r="BR61" s="21">
        <f>EXP(-LN(2)/2)*BR60+(1-EXP(-LN(2)/2))/(LN(2)/2)*BL61*BO61*VLOOKUP('Données projet'!$B$11,Paramètres!$A$1:$I$89,3,0)*0.475*44/12</f>
        <v>1.104147850348036</v>
      </c>
      <c r="BS61" s="22">
        <f t="shared" si="9"/>
        <v>8.1203374843686724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23.8</v>
      </c>
      <c r="BY61" s="12">
        <f>IF('Données projet'!$A$114&gt;35,BY60+BX61-CG60,IF(A61&lt;'Données projet'!$A$114,$BV$205^A61,IF(A61='Données projet'!$A$114,'Données projet'!$B$114,BY60+BX61-CG60)))</f>
        <v>692.4000000000002</v>
      </c>
      <c r="BZ61" s="13">
        <f>BY61*VLOOKUP('Données projet'!$B$12,Paramètres!$A$1:$I$89,3,0)*VLOOKUP('Données projet'!$B$12,Paramètres!$A$1:$I$89,5,0)</f>
        <v>333.04440000000005</v>
      </c>
      <c r="CA61" s="13">
        <f t="shared" si="39"/>
        <v>78.061151227538204</v>
      </c>
      <c r="CB61" s="20">
        <f t="shared" si="10"/>
        <v>716.008835054629</v>
      </c>
      <c r="CC61" s="59">
        <f t="shared" si="11"/>
        <v>1009.3421683879624</v>
      </c>
      <c r="CD61" s="59">
        <f ca="1">AVERAGE(OFFSET($CC$3,0,0,'Données projet'!$E$12+1,1))-AVERAGE(OFFSET($H$3,0,0,'Données projet'!$E$12+1,1))</f>
        <v>415.97633163853953</v>
      </c>
      <c r="CE61" s="59">
        <f t="shared" si="40"/>
        <v>356.23532720804423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1.5520397891966484</v>
      </c>
      <c r="CL61" s="21">
        <f>EXP(-LN(2)/25)*CL60+(1-EXP(-LN(2)/25))/(LN(2)/25)*Calculateur!CG61*Calculateur!CI61*VLOOKUP('Données projet'!$B$12,Paramètres!$A$1:$I$89,3,0)*0.475*44/12</f>
        <v>6.9195931272608915</v>
      </c>
      <c r="CM61" s="21">
        <f>EXP(-LN(2)/2)*CM60+(1-EXP(-LN(2)/2))/(LN(2)/2)*CG61*CJ61*VLOOKUP('Données projet'!$B$12,Paramètres!$A$1:$I$89,3,0)*0.475*44/12</f>
        <v>1.933384624471318E-3</v>
      </c>
      <c r="CN61" s="22">
        <f t="shared" si="12"/>
        <v>8.4735663010820126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16.8</v>
      </c>
      <c r="N62" s="13">
        <f>IF('Données projet'!$A$36&gt;35,N61+M62-V61,IF(A62&lt;'Données projet'!$A$36,$K$205^A62,IF(A62='Données projet'!$A$36,'Données projet'!$B$36,N61+M62-V61)))</f>
        <v>706.1999999999997</v>
      </c>
      <c r="O62" s="13">
        <f>N62*VLOOKUP('Données projet'!$B$9,Paramètres!$A$1:$I$89,3,0)*VLOOKUP('Données projet'!$B$9,Paramètres!$A$1:$I$89,5,0)</f>
        <v>394.76579999999984</v>
      </c>
      <c r="P62" s="13">
        <f t="shared" si="33"/>
        <v>90.714699385924675</v>
      </c>
      <c r="Q62" s="20">
        <f t="shared" si="53"/>
        <v>845.5452030971519</v>
      </c>
      <c r="R62" s="59">
        <f t="shared" si="0"/>
        <v>1138.8785364304852</v>
      </c>
      <c r="S62" s="59">
        <f ca="1">AVERAGE(OFFSET($R$3,0,0,'Données projet'!$E$9+1,1))-AVERAGE(OFFSET($H$3,0,0,'Données projet'!$E$9+1,1))</f>
        <v>492.3498626914548</v>
      </c>
      <c r="T62" s="59">
        <f t="shared" si="34"/>
        <v>635.90304180030307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3.0773918453560727</v>
      </c>
      <c r="AA62" s="21">
        <f>EXP(-LN(2)/25)*AA61+(1-EXP(-LN(2)/25))/(LN(2)/25)*Calculateur!V62*Calculateur!X62*VLOOKUP('Données projet'!$B$9,Paramètres!$A$1:$I$89,3,0)*0.475*44/12</f>
        <v>10.826702585653644</v>
      </c>
      <c r="AB62" s="21">
        <f>EXP(-LN(2)/2)*AB61+(1-EXP(-LN(2)/2))/(LN(2)/2)*V62*Y62*VLOOKUP('Données projet'!$B$9,Paramètres!$A$1:$I$89,3,0)*0.475*44/12</f>
        <v>5.0493863629016977E-4</v>
      </c>
      <c r="AC62" s="22">
        <f t="shared" si="3"/>
        <v>13.904599369646007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294.25</v>
      </c>
      <c r="AJ62" s="13">
        <f>AI62*VLOOKUP('Données projet'!$B$10,Paramètres!$A$1:$I$89,3,0)*VLOOKUP('Données projet'!$B$10,Paramètres!$A$1:$I$89,5,0)</f>
        <v>183.61199999999999</v>
      </c>
      <c r="AK62" s="13">
        <f t="shared" si="35"/>
        <v>46.124858041839339</v>
      </c>
      <c r="AL62" s="20">
        <f t="shared" si="4"/>
        <v>400.12502775620351</v>
      </c>
      <c r="AM62" s="59">
        <f t="shared" si="5"/>
        <v>693.45836108953677</v>
      </c>
      <c r="AN62" s="59">
        <f ca="1">AVERAGE(OFFSET($AM$3,0,0,'Données projet'!$E$10+1,1))-AVERAGE(OFFSET($H$3,0,0,'Données projet'!$E$10+1,1))</f>
        <v>175.05987582828078</v>
      </c>
      <c r="AO62" s="59">
        <f t="shared" si="36"/>
        <v>268.54782308462387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2.9644573618702541</v>
      </c>
      <c r="AV62" s="21">
        <f>EXP(-LN(2)/25)*AV61+(1-EXP(-LN(2)/25))/(LN(2)/25)*Calculateur!AQ62*Calculateur!AS62*VLOOKUP('Données projet'!$B$10,Paramètres!$A$1:$I$89,3,0)*0.475*44/12</f>
        <v>8.1274388579165198</v>
      </c>
      <c r="AW62" s="21">
        <f>EXP(-LN(2)/2)*AW61+(1-EXP(-LN(2)/2))/(LN(2)/2)*AQ62*AT62*VLOOKUP('Données projet'!$B$10,Paramètres!$A$1:$I$89,3,0)*0.475*44/12</f>
        <v>4.4667804760472539E-4</v>
      </c>
      <c r="AX62" s="21">
        <f t="shared" si="6"/>
        <v>11.092342897834378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10.3</v>
      </c>
      <c r="BD62" s="12">
        <f>IF('Données projet'!$A$88&gt;35,BD61+BC62-BL61,IF(A62&lt;'Données projet'!$A$88,$BA$205^A62,IF(A62='Données projet'!$A$88,'Données projet'!$B$88,BD61+BC62-BL61)))</f>
        <v>474.69999999999982</v>
      </c>
      <c r="BE62" s="13">
        <f>BD62*VLOOKUP('Données projet'!$B$11,Paramètres!$A$1:$I$89,3,0)*VLOOKUP('Données projet'!$B$11,Paramètres!$A$1:$I$89,5,0)</f>
        <v>283.87059999999991</v>
      </c>
      <c r="BF62" s="13">
        <f t="shared" si="37"/>
        <v>67.784323206297671</v>
      </c>
      <c r="BG62" s="20">
        <f t="shared" si="7"/>
        <v>612.46565791763487</v>
      </c>
      <c r="BH62" s="59">
        <f t="shared" si="8"/>
        <v>905.79899125096813</v>
      </c>
      <c r="BI62" s="59">
        <f ca="1">AVERAGE(OFFSET($BH$3,0,0,'Données projet'!$E$11+1,1))-AVERAGE(OFFSET($H$3,0,0,'Données projet'!$E$11+1,1))</f>
        <v>381.78368385345919</v>
      </c>
      <c r="BJ62" s="59">
        <f t="shared" si="38"/>
        <v>257.35575295655639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6.8243315595129648</v>
      </c>
      <c r="BR62" s="21">
        <f>EXP(-LN(2)/2)*BR61+(1-EXP(-LN(2)/2))/(LN(2)/2)*BL62*BO62*VLOOKUP('Données projet'!$B$11,Paramètres!$A$1:$I$89,3,0)*0.475*44/12</f>
        <v>0.7807504324136455</v>
      </c>
      <c r="BS62" s="22">
        <f t="shared" si="9"/>
        <v>7.6050819919266104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23.8</v>
      </c>
      <c r="BY62" s="12">
        <f>IF('Données projet'!$A$114&gt;35,BY61+BX62-CG61,IF(A62&lt;'Données projet'!$A$114,$BV$205^A62,IF(A62='Données projet'!$A$114,'Données projet'!$B$114,BY61+BX62-CG61)))</f>
        <v>716.20000000000016</v>
      </c>
      <c r="BZ62" s="13">
        <f>BY62*VLOOKUP('Données projet'!$B$12,Paramètres!$A$1:$I$89,3,0)*VLOOKUP('Données projet'!$B$12,Paramètres!$A$1:$I$89,5,0)</f>
        <v>344.49220000000003</v>
      </c>
      <c r="CA62" s="13">
        <f t="shared" si="39"/>
        <v>80.427353184320381</v>
      </c>
      <c r="CB62" s="20">
        <f t="shared" si="10"/>
        <v>740.06822179602466</v>
      </c>
      <c r="CC62" s="59">
        <f t="shared" si="11"/>
        <v>1033.401555129358</v>
      </c>
      <c r="CD62" s="59">
        <f ca="1">AVERAGE(OFFSET($CC$3,0,0,'Données projet'!$E$12+1,1))-AVERAGE(OFFSET($H$3,0,0,'Données projet'!$E$12+1,1))</f>
        <v>415.97633163853953</v>
      </c>
      <c r="CE62" s="59">
        <f t="shared" si="40"/>
        <v>356.23532720804423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1.5216052355812995</v>
      </c>
      <c r="CL62" s="21">
        <f>EXP(-LN(2)/25)*CL61+(1-EXP(-LN(2)/25))/(LN(2)/25)*Calculateur!CG62*Calculateur!CI62*VLOOKUP('Données projet'!$B$12,Paramètres!$A$1:$I$89,3,0)*0.475*44/12</f>
        <v>6.7303764893103546</v>
      </c>
      <c r="CM62" s="21">
        <f>EXP(-LN(2)/2)*CM61+(1-EXP(-LN(2)/2))/(LN(2)/2)*CG62*CJ62*VLOOKUP('Données projet'!$B$12,Paramètres!$A$1:$I$89,3,0)*0.475*44/12</f>
        <v>1.3671093786054758E-3</v>
      </c>
      <c r="CN62" s="22">
        <f t="shared" si="12"/>
        <v>8.253348834270259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723</v>
      </c>
      <c r="L63" s="12">
        <f>VLOOKUP(A63,'Données projet'!$A$35:$I$55,9,0)</f>
        <v>16.8</v>
      </c>
      <c r="M63" s="12">
        <f t="array" ref="M63">INDEX(L:L,MIN(IF(ISNUMBER(L63:L259),ROW(L63:L259),"")))</f>
        <v>16.8</v>
      </c>
      <c r="N63" s="13">
        <f>IF('Données projet'!$A$36&gt;35,N62+M63-V62,IF(A63&lt;'Données projet'!$A$36,$K$205^A63,IF(A63='Données projet'!$A$36,'Données projet'!$B$36,N62+M63-V62)))</f>
        <v>722.99999999999966</v>
      </c>
      <c r="O63" s="13">
        <f>N63*VLOOKUP('Données projet'!$B$9,Paramètres!$A$1:$I$89,3,0)*VLOOKUP('Données projet'!$B$9,Paramètres!$A$1:$I$89,5,0)</f>
        <v>404.15699999999987</v>
      </c>
      <c r="P63" s="13">
        <f t="shared" si="33"/>
        <v>92.618925393623158</v>
      </c>
      <c r="Q63" s="20">
        <f t="shared" si="53"/>
        <v>865.21807006056008</v>
      </c>
      <c r="R63" s="59">
        <f t="shared" si="0"/>
        <v>1158.5514033938935</v>
      </c>
      <c r="S63" s="59">
        <f ca="1">AVERAGE(OFFSET($R$3,0,0,'Données projet'!$E$9+1,1))-AVERAGE(OFFSET($H$3,0,0,'Données projet'!$E$9+1,1))</f>
        <v>492.3498626914548</v>
      </c>
      <c r="T63" s="59">
        <f t="shared" si="34"/>
        <v>635.90304180030307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64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3.0170460682923252</v>
      </c>
      <c r="AA63" s="21">
        <f>EXP(-LN(2)/25)*AA62+(1-EXP(-LN(2)/25))/(LN(2)/25)*Calculateur!V63*Calculateur!X63*VLOOKUP('Données projet'!$B$9,Paramètres!$A$1:$I$89,3,0)*0.475*44/12</f>
        <v>10.530645834097401</v>
      </c>
      <c r="AB63" s="21">
        <f>EXP(-LN(2)/2)*AB62+(1-EXP(-LN(2)/2))/(LN(2)/2)*V63*Y63*VLOOKUP('Données projet'!$B$9,Paramètres!$A$1:$I$89,3,0)*0.475*44/12</f>
        <v>3.5704553380386679E-4</v>
      </c>
      <c r="AC63" s="22">
        <f t="shared" si="3"/>
        <v>13.54804894792353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304</v>
      </c>
      <c r="AG63" s="12">
        <f>VLOOKUP(A63,'Données projet'!$A$61:$I$81,9,0)</f>
        <v>9.75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304</v>
      </c>
      <c r="AJ63" s="13">
        <f>AI63*VLOOKUP('Données projet'!$B$10,Paramètres!$A$1:$I$89,3,0)*VLOOKUP('Données projet'!$B$10,Paramètres!$A$1:$I$89,5,0)</f>
        <v>189.696</v>
      </c>
      <c r="AK63" s="13">
        <f t="shared" si="35"/>
        <v>47.472736505152469</v>
      </c>
      <c r="AL63" s="20">
        <f t="shared" si="4"/>
        <v>413.06888274647389</v>
      </c>
      <c r="AM63" s="59">
        <f t="shared" si="5"/>
        <v>706.4022160798072</v>
      </c>
      <c r="AN63" s="59">
        <f ca="1">AVERAGE(OFFSET($AM$3,0,0,'Données projet'!$E$10+1,1))-AVERAGE(OFFSET($H$3,0,0,'Données projet'!$E$10+1,1))</f>
        <v>175.05987582828078</v>
      </c>
      <c r="AO63" s="59">
        <f t="shared" si="36"/>
        <v>268.54782308462387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304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2.9063261611444302</v>
      </c>
      <c r="AV63" s="21">
        <f>EXP(-LN(2)/25)*AV62+(1-EXP(-LN(2)/25))/(LN(2)/25)*Calculateur!AQ63*Calculateur!AS63*VLOOKUP('Données projet'!$B$10,Paramètres!$A$1:$I$89,3,0)*0.475*44/12</f>
        <v>7.9051936149433581</v>
      </c>
      <c r="AW63" s="21">
        <f>EXP(-LN(2)/2)*AW62+(1-EXP(-LN(2)/2))/(LN(2)/2)*AQ63*AT63*VLOOKUP('Données projet'!$B$10,Paramètres!$A$1:$I$89,3,0)*0.475*44/12</f>
        <v>3.1584907646846881E-4</v>
      </c>
      <c r="AX63" s="21">
        <f t="shared" si="6"/>
        <v>10.811835625164257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485</v>
      </c>
      <c r="BB63" s="12">
        <f>VLOOKUP(A63,'Données projet'!$A$87:$I$107,9,0)</f>
        <v>10.3</v>
      </c>
      <c r="BC63" s="12">
        <f t="array" ref="BC63">INDEX(BB:BB,MIN(IF(ISNUMBER(BB63:BB259),ROW(BB63:BB259),"")))</f>
        <v>10.3</v>
      </c>
      <c r="BD63" s="12">
        <f>IF('Données projet'!$A$88&gt;35,BD62+BC63-BL62,IF(A63&lt;'Données projet'!$A$88,$BA$205^A63,IF(A63='Données projet'!$A$88,'Données projet'!$B$88,BD62+BC63-BL62)))</f>
        <v>484.99999999999983</v>
      </c>
      <c r="BE63" s="13">
        <f>BD63*VLOOKUP('Données projet'!$B$11,Paramètres!$A$1:$I$89,3,0)*VLOOKUP('Données projet'!$B$11,Paramètres!$A$1:$I$89,5,0)</f>
        <v>290.02999999999992</v>
      </c>
      <c r="BF63" s="13">
        <f t="shared" si="37"/>
        <v>69.082275010142553</v>
      </c>
      <c r="BG63" s="20">
        <f t="shared" si="7"/>
        <v>625.45387897599801</v>
      </c>
      <c r="BH63" s="59">
        <f t="shared" si="8"/>
        <v>918.78721230933138</v>
      </c>
      <c r="BI63" s="59">
        <f ca="1">AVERAGE(OFFSET($BH$3,0,0,'Données projet'!$E$11+1,1))-AVERAGE(OFFSET($H$3,0,0,'Données projet'!$E$11+1,1))</f>
        <v>381.78368385345919</v>
      </c>
      <c r="BJ63" s="59">
        <f t="shared" si="38"/>
        <v>257.35575295655639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42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6.637719854142083</v>
      </c>
      <c r="BR63" s="21">
        <f>EXP(-LN(2)/2)*BR62+(1-EXP(-LN(2)/2))/(LN(2)/2)*BL63*BO63*VLOOKUP('Données projet'!$B$11,Paramètres!$A$1:$I$89,3,0)*0.475*44/12</f>
        <v>0.55207392517401799</v>
      </c>
      <c r="BS63" s="22">
        <f t="shared" si="9"/>
        <v>7.1897937793161013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740</v>
      </c>
      <c r="BW63" s="12">
        <f>VLOOKUP(A63,'Données projet'!$A$113:$I$133,9,0)</f>
        <v>23.8</v>
      </c>
      <c r="BX63" s="12">
        <f t="array" ref="BX63">INDEX(BW:BW,MIN(IF(ISNUMBER(BW63:BW259),ROW(BW63:BW259),"")))</f>
        <v>23.8</v>
      </c>
      <c r="BY63" s="12">
        <f>IF('Données projet'!$A$114&gt;35,BY62+BX63-CG62,IF(A63&lt;'Données projet'!$A$114,$BV$205^A63,IF(A63='Données projet'!$A$114,'Données projet'!$B$114,BY62+BX63-CG62)))</f>
        <v>740.00000000000011</v>
      </c>
      <c r="BZ63" s="13">
        <f>BY63*VLOOKUP('Données projet'!$B$12,Paramètres!$A$1:$I$89,3,0)*VLOOKUP('Données projet'!$B$12,Paramètres!$A$1:$I$89,5,0)</f>
        <v>355.94000000000005</v>
      </c>
      <c r="CA63" s="13">
        <f t="shared" si="39"/>
        <v>82.784418381290166</v>
      </c>
      <c r="CB63" s="20">
        <f t="shared" si="10"/>
        <v>764.11169534741384</v>
      </c>
      <c r="CC63" s="59">
        <f t="shared" si="11"/>
        <v>1057.4450286807471</v>
      </c>
      <c r="CD63" s="59">
        <f ca="1">AVERAGE(OFFSET($CC$3,0,0,'Données projet'!$E$12+1,1))-AVERAGE(OFFSET($H$3,0,0,'Données projet'!$E$12+1,1))</f>
        <v>415.97633163853953</v>
      </c>
      <c r="CE63" s="59">
        <f t="shared" si="40"/>
        <v>356.23532720804423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66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1.4917674849991029</v>
      </c>
      <c r="CL63" s="21">
        <f>EXP(-LN(2)/25)*CL62+(1-EXP(-LN(2)/25))/(LN(2)/25)*Calculateur!CG63*Calculateur!CI63*VLOOKUP('Données projet'!$B$12,Paramètres!$A$1:$I$89,3,0)*0.475*44/12</f>
        <v>6.5463339902750457</v>
      </c>
      <c r="CM63" s="21">
        <f>EXP(-LN(2)/2)*CM62+(1-EXP(-LN(2)/2))/(LN(2)/2)*CG63*CJ63*VLOOKUP('Données projet'!$B$12,Paramètres!$A$1:$I$89,3,0)*0.475*44/12</f>
        <v>9.6669231223565921E-4</v>
      </c>
      <c r="CN63" s="22">
        <f t="shared" si="12"/>
        <v>8.0390681675863842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16.399999999999999</v>
      </c>
      <c r="N64" s="13">
        <f>IF('Données projet'!$A$36&gt;35,N63+M64-V63,IF(A64&lt;'Données projet'!$A$36,$K$205^A64,IF(A64='Données projet'!$A$36,'Données projet'!$B$36,N63+M64-V63)))</f>
        <v>675.39999999999964</v>
      </c>
      <c r="O64" s="13">
        <f>N64*VLOOKUP('Données projet'!$B$9,Paramètres!$A$1:$I$89,3,0)*VLOOKUP('Données projet'!$B$9,Paramètres!$A$1:$I$89,5,0)</f>
        <v>377.54859999999985</v>
      </c>
      <c r="P64" s="13">
        <f t="shared" si="33"/>
        <v>87.209799427543345</v>
      </c>
      <c r="Q64" s="20">
        <f t="shared" si="53"/>
        <v>809.45421233630441</v>
      </c>
      <c r="R64" s="59">
        <f t="shared" si="0"/>
        <v>1102.7875456696377</v>
      </c>
      <c r="S64" s="59">
        <f ca="1">AVERAGE(OFFSET($R$3,0,0,'Données projet'!$E$9+1,1))-AVERAGE(OFFSET($H$3,0,0,'Données projet'!$E$9+1,1))</f>
        <v>492.3498626914548</v>
      </c>
      <c r="T64" s="59">
        <f t="shared" si="34"/>
        <v>635.90304180030307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2.9578836351095079</v>
      </c>
      <c r="AA64" s="21">
        <f>EXP(-LN(2)/25)*AA63+(1-EXP(-LN(2)/25))/(LN(2)/25)*Calculateur!V64*Calculateur!X64*VLOOKUP('Données projet'!$B$9,Paramètres!$A$1:$I$89,3,0)*0.475*44/12</f>
        <v>10.242684769981411</v>
      </c>
      <c r="AB64" s="21">
        <f>EXP(-LN(2)/2)*AB63+(1-EXP(-LN(2)/2))/(LN(2)/2)*V64*Y64*VLOOKUP('Données projet'!$B$9,Paramètres!$A$1:$I$89,3,0)*0.475*44/12</f>
        <v>2.5246931814508489E-4</v>
      </c>
      <c r="AC64" s="22">
        <f t="shared" si="3"/>
        <v>13.200820874409064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175.05987582828078</v>
      </c>
      <c r="AO64" s="59">
        <f t="shared" si="36"/>
        <v>268.54782308462387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2.8493348778083081</v>
      </c>
      <c r="AV64" s="21">
        <f>EXP(-LN(2)/25)*AV63+(1-EXP(-LN(2)/25))/(LN(2)/25)*Calculateur!AQ64*Calculateur!AS64*VLOOKUP('Données projet'!$B$10,Paramètres!$A$1:$I$89,3,0)*0.475*44/12</f>
        <v>7.689025679826667</v>
      </c>
      <c r="AW64" s="21">
        <f>EXP(-LN(2)/2)*AW63+(1-EXP(-LN(2)/2))/(LN(2)/2)*AQ64*AT64*VLOOKUP('Données projet'!$B$10,Paramètres!$A$1:$I$89,3,0)*0.475*44/12</f>
        <v>2.2333902380236269E-4</v>
      </c>
      <c r="AX64" s="21">
        <f t="shared" si="6"/>
        <v>10.538583896658778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8.6</v>
      </c>
      <c r="BD64" s="12">
        <f>IF('Données projet'!$A$88&gt;35,BD63+BC64-BL63,IF(A64&lt;'Données projet'!$A$88,$BA$205^A64,IF(A64='Données projet'!$A$88,'Données projet'!$B$88,BD63+BC64-BL63)))</f>
        <v>451.59999999999985</v>
      </c>
      <c r="BE64" s="13">
        <f>BD64*VLOOKUP('Données projet'!$B$11,Paramètres!$A$1:$I$89,3,0)*VLOOKUP('Données projet'!$B$11,Paramètres!$A$1:$I$89,5,0)</f>
        <v>270.0567999999999</v>
      </c>
      <c r="BF64" s="13">
        <f t="shared" si="37"/>
        <v>64.861323533797417</v>
      </c>
      <c r="BG64" s="20">
        <f t="shared" si="7"/>
        <v>583.31573182136367</v>
      </c>
      <c r="BH64" s="59">
        <f t="shared" si="8"/>
        <v>876.64906515469693</v>
      </c>
      <c r="BI64" s="59">
        <f ca="1">AVERAGE(OFFSET($BH$3,0,0,'Données projet'!$E$11+1,1))-AVERAGE(OFFSET($H$3,0,0,'Données projet'!$E$11+1,1))</f>
        <v>381.78368385345919</v>
      </c>
      <c r="BJ64" s="59">
        <f t="shared" si="38"/>
        <v>257.35575295655639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6.4562110556680512</v>
      </c>
      <c r="BR64" s="21">
        <f>EXP(-LN(2)/2)*BR63+(1-EXP(-LN(2)/2))/(LN(2)/2)*BL64*BO64*VLOOKUP('Données projet'!$B$11,Paramètres!$A$1:$I$89,3,0)*0.475*44/12</f>
        <v>0.39037521620682275</v>
      </c>
      <c r="BS64" s="22">
        <f t="shared" si="9"/>
        <v>6.846586271874874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22.4</v>
      </c>
      <c r="BY64" s="12">
        <f>IF('Données projet'!$A$114&gt;35,BY63+BX64-CG63,IF(A64&lt;'Données projet'!$A$114,$BV$205^A64,IF(A64='Données projet'!$A$114,'Données projet'!$B$114,BY63+BX64-CG63)))</f>
        <v>696.40000000000009</v>
      </c>
      <c r="BZ64" s="13">
        <f>BY64*VLOOKUP('Données projet'!$B$12,Paramètres!$A$1:$I$89,3,0)*VLOOKUP('Données projet'!$B$12,Paramètres!$A$1:$I$89,5,0)</f>
        <v>334.96840000000003</v>
      </c>
      <c r="CA64" s="13">
        <f t="shared" si="39"/>
        <v>78.459485670540758</v>
      </c>
      <c r="CB64" s="20">
        <f t="shared" si="10"/>
        <v>720.05356754285856</v>
      </c>
      <c r="CC64" s="59">
        <f t="shared" si="11"/>
        <v>1013.3869008761919</v>
      </c>
      <c r="CD64" s="59">
        <f ca="1">AVERAGE(OFFSET($CC$3,0,0,'Données projet'!$E$12+1,1))-AVERAGE(OFFSET($H$3,0,0,'Données projet'!$E$12+1,1))</f>
        <v>415.97633163853953</v>
      </c>
      <c r="CE64" s="59">
        <f t="shared" si="40"/>
        <v>356.23532720804423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1.4625148345065924</v>
      </c>
      <c r="CL64" s="21">
        <f>EXP(-LN(2)/25)*CL63+(1-EXP(-LN(2)/25))/(LN(2)/25)*Calculateur!CG64*Calculateur!CI64*VLOOKUP('Données projet'!$B$12,Paramètres!$A$1:$I$89,3,0)*0.475*44/12</f>
        <v>6.3673241430542316</v>
      </c>
      <c r="CM64" s="21">
        <f>EXP(-LN(2)/2)*CM63+(1-EXP(-LN(2)/2))/(LN(2)/2)*CG64*CJ64*VLOOKUP('Données projet'!$B$12,Paramètres!$A$1:$I$89,3,0)*0.475*44/12</f>
        <v>6.83554689302738E-4</v>
      </c>
      <c r="CN64" s="22">
        <f t="shared" si="12"/>
        <v>7.8305225322501268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16.399999999999999</v>
      </c>
      <c r="N65" s="13">
        <f>IF('Données projet'!$A$36&gt;35,N64+M65-V64,IF(A65&lt;'Données projet'!$A$36,$K$205^A65,IF(A65='Données projet'!$A$36,'Données projet'!$B$36,N64+M65-V64)))</f>
        <v>691.79999999999961</v>
      </c>
      <c r="O65" s="13">
        <f>N65*VLOOKUP('Données projet'!$B$9,Paramètres!$A$1:$I$89,3,0)*VLOOKUP('Données projet'!$B$9,Paramètres!$A$1:$I$89,5,0)</f>
        <v>386.71619999999979</v>
      </c>
      <c r="P65" s="13">
        <f t="shared" si="33"/>
        <v>89.078307971059814</v>
      </c>
      <c r="Q65" s="20">
        <f t="shared" si="53"/>
        <v>828.6754347162622</v>
      </c>
      <c r="R65" s="59">
        <f t="shared" si="0"/>
        <v>1122.0087680495956</v>
      </c>
      <c r="S65" s="59">
        <f ca="1">AVERAGE(OFFSET($R$3,0,0,'Données projet'!$E$9+1,1))-AVERAGE(OFFSET($H$3,0,0,'Données projet'!$E$9+1,1))</f>
        <v>492.3498626914548</v>
      </c>
      <c r="T65" s="59">
        <f t="shared" si="34"/>
        <v>635.90304180030307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2.8998813411558846</v>
      </c>
      <c r="AA65" s="21">
        <f>EXP(-LN(2)/25)*AA64+(1-EXP(-LN(2)/25))/(LN(2)/25)*Calculateur!V65*Calculateur!X65*VLOOKUP('Données projet'!$B$9,Paramètres!$A$1:$I$89,3,0)*0.475*44/12</f>
        <v>9.9625980163068864</v>
      </c>
      <c r="AB65" s="21">
        <f>EXP(-LN(2)/2)*AB64+(1-EXP(-LN(2)/2))/(LN(2)/2)*V65*Y65*VLOOKUP('Données projet'!$B$9,Paramètres!$A$1:$I$89,3,0)*0.475*44/12</f>
        <v>1.7852276690193339E-4</v>
      </c>
      <c r="AC65" s="22">
        <f t="shared" si="3"/>
        <v>12.862657880229673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175.05987582828078</v>
      </c>
      <c r="AO65" s="59">
        <f t="shared" si="36"/>
        <v>268.54782308462387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2.7934611587771569</v>
      </c>
      <c r="AV65" s="21">
        <f>EXP(-LN(2)/25)*AV64+(1-EXP(-LN(2)/25))/(LN(2)/25)*Calculateur!AQ65*Calculateur!AS65*VLOOKUP('Données projet'!$B$10,Paramètres!$A$1:$I$89,3,0)*0.475*44/12</f>
        <v>7.4787688682635194</v>
      </c>
      <c r="AW65" s="21">
        <f>EXP(-LN(2)/2)*AW64+(1-EXP(-LN(2)/2))/(LN(2)/2)*AQ65*AT65*VLOOKUP('Données projet'!$B$10,Paramètres!$A$1:$I$89,3,0)*0.475*44/12</f>
        <v>1.579245382342344E-4</v>
      </c>
      <c r="AX65" s="21">
        <f t="shared" si="6"/>
        <v>10.27238795157891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8.6</v>
      </c>
      <c r="BD65" s="12">
        <f>IF('Données projet'!$A$88&gt;35,BD64+BC65-BL64,IF(A65&lt;'Données projet'!$A$88,$BA$205^A65,IF(A65='Données projet'!$A$88,'Données projet'!$B$88,BD64+BC65-BL64)))</f>
        <v>460.19999999999987</v>
      </c>
      <c r="BE65" s="13">
        <f>BD65*VLOOKUP('Données projet'!$B$11,Paramètres!$A$1:$I$89,3,0)*VLOOKUP('Données projet'!$B$11,Paramètres!$A$1:$I$89,5,0)</f>
        <v>275.19959999999992</v>
      </c>
      <c r="BF65" s="13">
        <f t="shared" si="37"/>
        <v>65.951527620662617</v>
      </c>
      <c r="BG65" s="20">
        <f t="shared" si="7"/>
        <v>594.17154727265392</v>
      </c>
      <c r="BH65" s="59">
        <f t="shared" si="8"/>
        <v>887.50488060598718</v>
      </c>
      <c r="BI65" s="59">
        <f ca="1">AVERAGE(OFFSET($BH$3,0,0,'Données projet'!$E$11+1,1))-AVERAGE(OFFSET($H$3,0,0,'Données projet'!$E$11+1,1))</f>
        <v>381.78368385345919</v>
      </c>
      <c r="BJ65" s="59">
        <f t="shared" si="38"/>
        <v>257.35575295655639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6.2796656248334246</v>
      </c>
      <c r="BR65" s="21">
        <f>EXP(-LN(2)/2)*BR64+(1-EXP(-LN(2)/2))/(LN(2)/2)*BL65*BO65*VLOOKUP('Données projet'!$B$11,Paramètres!$A$1:$I$89,3,0)*0.475*44/12</f>
        <v>0.27603696258700899</v>
      </c>
      <c r="BS65" s="22">
        <f t="shared" si="9"/>
        <v>6.5557025874204333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22.4</v>
      </c>
      <c r="BY65" s="12">
        <f>IF('Données projet'!$A$114&gt;35,BY64+BX65-CG64,IF(A65&lt;'Données projet'!$A$114,$BV$205^A65,IF(A65='Données projet'!$A$114,'Données projet'!$B$114,BY64+BX65-CG64)))</f>
        <v>718.80000000000007</v>
      </c>
      <c r="BZ65" s="13">
        <f>BY65*VLOOKUP('Données projet'!$B$12,Paramètres!$A$1:$I$89,3,0)*VLOOKUP('Données projet'!$B$12,Paramètres!$A$1:$I$89,5,0)</f>
        <v>345.74280000000005</v>
      </c>
      <c r="CA65" s="13">
        <f t="shared" si="39"/>
        <v>80.685286161274362</v>
      </c>
      <c r="CB65" s="20">
        <f t="shared" si="10"/>
        <v>742.69558339755292</v>
      </c>
      <c r="CC65" s="59">
        <f t="shared" si="11"/>
        <v>1036.0289167308863</v>
      </c>
      <c r="CD65" s="59">
        <f ca="1">AVERAGE(OFFSET($CC$3,0,0,'Données projet'!$E$12+1,1))-AVERAGE(OFFSET($H$3,0,0,'Données projet'!$E$12+1,1))</f>
        <v>415.97633163853953</v>
      </c>
      <c r="CE65" s="59">
        <f t="shared" si="40"/>
        <v>356.23532720804423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1.433835810647885</v>
      </c>
      <c r="CL65" s="21">
        <f>EXP(-LN(2)/25)*CL64+(1-EXP(-LN(2)/25))/(LN(2)/25)*Calculateur!CG65*Calculateur!CI65*VLOOKUP('Données projet'!$B$12,Paramètres!$A$1:$I$89,3,0)*0.475*44/12</f>
        <v>6.19320932951939</v>
      </c>
      <c r="CM65" s="21">
        <f>EXP(-LN(2)/2)*CM64+(1-EXP(-LN(2)/2))/(LN(2)/2)*CG65*CJ65*VLOOKUP('Données projet'!$B$12,Paramètres!$A$1:$I$89,3,0)*0.475*44/12</f>
        <v>4.8334615611782966E-4</v>
      </c>
      <c r="CN65" s="22">
        <f t="shared" si="12"/>
        <v>7.627528486323393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16.399999999999999</v>
      </c>
      <c r="N66" s="13">
        <f>IF('Données projet'!$A$36&gt;35,N65+M66-V65,IF(A66&lt;'Données projet'!$A$36,$K$205^A66,IF(A66='Données projet'!$A$36,'Données projet'!$B$36,N65+M66-V65)))</f>
        <v>708.19999999999959</v>
      </c>
      <c r="O66" s="13">
        <f>N66*VLOOKUP('Données projet'!$B$9,Paramètres!$A$1:$I$89,3,0)*VLOOKUP('Données projet'!$B$9,Paramètres!$A$1:$I$89,5,0)</f>
        <v>395.88379999999978</v>
      </c>
      <c r="P66" s="13">
        <f t="shared" si="33"/>
        <v>90.941667130422957</v>
      </c>
      <c r="Q66" s="20">
        <f t="shared" si="53"/>
        <v>847.8876885854861</v>
      </c>
      <c r="R66" s="59">
        <f t="shared" si="0"/>
        <v>1141.2210219188194</v>
      </c>
      <c r="S66" s="59">
        <f ca="1">AVERAGE(OFFSET($R$3,0,0,'Données projet'!$E$9+1,1))-AVERAGE(OFFSET($H$3,0,0,'Données projet'!$E$9+1,1))</f>
        <v>492.3498626914548</v>
      </c>
      <c r="T66" s="59">
        <f t="shared" si="34"/>
        <v>635.90304180030307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2.843016436808786</v>
      </c>
      <c r="AA66" s="21">
        <f>EXP(-LN(2)/25)*AA65+(1-EXP(-LN(2)/25))/(LN(2)/25)*Calculateur!V66*Calculateur!X66*VLOOKUP('Données projet'!$B$9,Paramètres!$A$1:$I$89,3,0)*0.475*44/12</f>
        <v>9.6901702496407154</v>
      </c>
      <c r="AB66" s="21">
        <f>EXP(-LN(2)/2)*AB65+(1-EXP(-LN(2)/2))/(LN(2)/2)*V66*Y66*VLOOKUP('Données projet'!$B$9,Paramètres!$A$1:$I$89,3,0)*0.475*44/12</f>
        <v>1.2623465907254244E-4</v>
      </c>
      <c r="AC66" s="22">
        <f t="shared" si="3"/>
        <v>12.533312921108573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175.05987582828078</v>
      </c>
      <c r="AO66" s="59">
        <f t="shared" si="36"/>
        <v>268.54782308462387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2.7386830892966034</v>
      </c>
      <c r="AV66" s="21">
        <f>EXP(-LN(2)/25)*AV65+(1-EXP(-LN(2)/25))/(LN(2)/25)*Calculateur!AQ66*Calculateur!AS66*VLOOKUP('Données projet'!$B$10,Paramètres!$A$1:$I$89,3,0)*0.475*44/12</f>
        <v>7.2742615402694915</v>
      </c>
      <c r="AW66" s="21">
        <f>EXP(-LN(2)/2)*AW65+(1-EXP(-LN(2)/2))/(LN(2)/2)*AQ66*AT66*VLOOKUP('Données projet'!$B$10,Paramètres!$A$1:$I$89,3,0)*0.475*44/12</f>
        <v>1.1166951190118135E-4</v>
      </c>
      <c r="AX66" s="21">
        <f t="shared" si="6"/>
        <v>10.013056299077995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8.6</v>
      </c>
      <c r="BD66" s="12">
        <f>IF('Données projet'!$A$88&gt;35,BD65+BC66-BL65,IF(A66&lt;'Données projet'!$A$88,$BA$205^A66,IF(A66='Données projet'!$A$88,'Données projet'!$B$88,BD65+BC66-BL65)))</f>
        <v>468.7999999999999</v>
      </c>
      <c r="BE66" s="13">
        <f>BD66*VLOOKUP('Données projet'!$B$11,Paramètres!$A$1:$I$89,3,0)*VLOOKUP('Données projet'!$B$11,Paramètres!$A$1:$I$89,5,0)</f>
        <v>280.34239999999994</v>
      </c>
      <c r="BF66" s="13">
        <f t="shared" si="37"/>
        <v>67.039362696476971</v>
      </c>
      <c r="BG66" s="20">
        <f t="shared" si="7"/>
        <v>605.02323669636394</v>
      </c>
      <c r="BH66" s="59">
        <f t="shared" si="8"/>
        <v>898.3565700296972</v>
      </c>
      <c r="BI66" s="59">
        <f ca="1">AVERAGE(OFFSET($BH$3,0,0,'Données projet'!$E$11+1,1))-AVERAGE(OFFSET($H$3,0,0,'Données projet'!$E$11+1,1))</f>
        <v>381.78368385345919</v>
      </c>
      <c r="BJ66" s="59">
        <f t="shared" si="38"/>
        <v>257.35575295655639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6.1079478380890917</v>
      </c>
      <c r="BR66" s="21">
        <f>EXP(-LN(2)/2)*BR65+(1-EXP(-LN(2)/2))/(LN(2)/2)*BL66*BO66*VLOOKUP('Données projet'!$B$11,Paramètres!$A$1:$I$89,3,0)*0.475*44/12</f>
        <v>0.19518760810341138</v>
      </c>
      <c r="BS66" s="22">
        <f t="shared" si="9"/>
        <v>6.3031354461925027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22.4</v>
      </c>
      <c r="BY66" s="12">
        <f>IF('Données projet'!$A$114&gt;35,BY65+BX66-CG65,IF(A66&lt;'Données projet'!$A$114,$BV$205^A66,IF(A66='Données projet'!$A$114,'Données projet'!$B$114,BY65+BX66-CG65)))</f>
        <v>741.2</v>
      </c>
      <c r="BZ66" s="13">
        <f>BY66*VLOOKUP('Données projet'!$B$12,Paramètres!$A$1:$I$89,3,0)*VLOOKUP('Données projet'!$B$12,Paramètres!$A$1:$I$89,5,0)</f>
        <v>356.51720000000006</v>
      </c>
      <c r="CA66" s="13">
        <f t="shared" si="39"/>
        <v>82.90302607743898</v>
      </c>
      <c r="CB66" s="20">
        <f t="shared" si="10"/>
        <v>765.32356041820628</v>
      </c>
      <c r="CC66" s="59">
        <f t="shared" si="11"/>
        <v>1058.6568937515397</v>
      </c>
      <c r="CD66" s="59">
        <f ca="1">AVERAGE(OFFSET($CC$3,0,0,'Données projet'!$E$12+1,1))-AVERAGE(OFFSET($H$3,0,0,'Données projet'!$E$12+1,1))</f>
        <v>415.97633163853953</v>
      </c>
      <c r="CE66" s="59">
        <f t="shared" si="40"/>
        <v>356.23532720804423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1.4057191649545695</v>
      </c>
      <c r="CL66" s="21">
        <f>EXP(-LN(2)/25)*CL65+(1-EXP(-LN(2)/25))/(LN(2)/25)*Calculateur!CG66*Calculateur!CI66*VLOOKUP('Données projet'!$B$12,Paramètres!$A$1:$I$89,3,0)*0.475*44/12</f>
        <v>6.0238556947169588</v>
      </c>
      <c r="CM66" s="21">
        <f>EXP(-LN(2)/2)*CM65+(1-EXP(-LN(2)/2))/(LN(2)/2)*CG66*CJ66*VLOOKUP('Données projet'!$B$12,Paramètres!$A$1:$I$89,3,0)*0.475*44/12</f>
        <v>3.4177734465136905E-4</v>
      </c>
      <c r="CN66" s="22">
        <f t="shared" si="12"/>
        <v>7.4299166370161798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16.399999999999999</v>
      </c>
      <c r="N67" s="13">
        <f>IF('Données projet'!$A$36&gt;35,N66+M67-V66,IF(A67&lt;'Données projet'!$A$36,$K$205^A67,IF(A67='Données projet'!$A$36,'Données projet'!$B$36,N66+M67-V66)))</f>
        <v>724.59999999999957</v>
      </c>
      <c r="O67" s="13">
        <f>N67*VLOOKUP('Données projet'!$B$9,Paramètres!$A$1:$I$89,3,0)*VLOOKUP('Données projet'!$B$9,Paramètres!$A$1:$I$89,5,0)</f>
        <v>405.05139999999977</v>
      </c>
      <c r="P67" s="13">
        <f t="shared" si="33"/>
        <v>92.800009876444051</v>
      </c>
      <c r="Q67" s="20">
        <f t="shared" ref="Q67:Q98" si="54">(O67+P67)*0.475*44/12</f>
        <v>867.09120553480625</v>
      </c>
      <c r="R67" s="59">
        <f t="shared" ref="R67:R130" si="55">Q67+(I67+J67)*44/12</f>
        <v>1160.4245388681395</v>
      </c>
      <c r="S67" s="59">
        <f ca="1">AVERAGE(OFFSET($R$3,0,0,'Données projet'!$E$9+1,1))-AVERAGE(OFFSET($H$3,0,0,'Données projet'!$E$9+1,1))</f>
        <v>492.3498626914548</v>
      </c>
      <c r="T67" s="59">
        <f t="shared" si="34"/>
        <v>635.90304180030307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2.7872666185517669</v>
      </c>
      <c r="AA67" s="21">
        <f>EXP(-LN(2)/25)*AA66+(1-EXP(-LN(2)/25))/(LN(2)/25)*Calculateur!V67*Calculateur!X67*VLOOKUP('Données projet'!$B$9,Paramètres!$A$1:$I$89,3,0)*0.475*44/12</f>
        <v>9.4251920345803839</v>
      </c>
      <c r="AB67" s="21">
        <f>EXP(-LN(2)/2)*AB66+(1-EXP(-LN(2)/2))/(LN(2)/2)*V67*Y67*VLOOKUP('Données projet'!$B$9,Paramètres!$A$1:$I$89,3,0)*0.475*44/12</f>
        <v>8.9261383450966696E-5</v>
      </c>
      <c r="AC67" s="22">
        <f t="shared" si="3"/>
        <v>12.212547914515602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175.05987582828078</v>
      </c>
      <c r="AO67" s="59">
        <f t="shared" si="36"/>
        <v>268.54782308462387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2.6849791843472399</v>
      </c>
      <c r="AV67" s="21">
        <f>EXP(-LN(2)/25)*AV66+(1-EXP(-LN(2)/25))/(LN(2)/25)*Calculateur!AQ67*Calculateur!AS67*VLOOKUP('Données projet'!$B$10,Paramètres!$A$1:$I$89,3,0)*0.475*44/12</f>
        <v>7.0753464759140332</v>
      </c>
      <c r="AW67" s="21">
        <f>EXP(-LN(2)/2)*AW66+(1-EXP(-LN(2)/2))/(LN(2)/2)*AQ67*AT67*VLOOKUP('Données projet'!$B$10,Paramètres!$A$1:$I$89,3,0)*0.475*44/12</f>
        <v>7.8962269117117202E-5</v>
      </c>
      <c r="AX67" s="21">
        <f t="shared" si="6"/>
        <v>9.7604046225303911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8.6</v>
      </c>
      <c r="BD67" s="12">
        <f>IF('Données projet'!$A$88&gt;35,BD66+BC67-BL66,IF(A67&lt;'Données projet'!$A$88,$BA$205^A67,IF(A67='Données projet'!$A$88,'Données projet'!$B$88,BD66+BC67-BL66)))</f>
        <v>477.39999999999992</v>
      </c>
      <c r="BE67" s="13">
        <f>BD67*VLOOKUP('Données projet'!$B$11,Paramètres!$A$1:$I$89,3,0)*VLOOKUP('Données projet'!$B$11,Paramètres!$A$1:$I$89,5,0)</f>
        <v>285.48519999999996</v>
      </c>
      <c r="BF67" s="13">
        <f t="shared" si="37"/>
        <v>68.124877232386936</v>
      </c>
      <c r="BG67" s="20">
        <f t="shared" si="7"/>
        <v>615.87088451307386</v>
      </c>
      <c r="BH67" s="59">
        <f t="shared" si="8"/>
        <v>909.20421784640712</v>
      </c>
      <c r="BI67" s="59">
        <f ca="1">AVERAGE(OFFSET($BH$3,0,0,'Données projet'!$E$11+1,1))-AVERAGE(OFFSET($H$3,0,0,'Données projet'!$E$11+1,1))</f>
        <v>381.78368385345919</v>
      </c>
      <c r="BJ67" s="59">
        <f t="shared" si="38"/>
        <v>257.35575295655639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5.9409256832535284</v>
      </c>
      <c r="BR67" s="21">
        <f>EXP(-LN(2)/2)*BR66+(1-EXP(-LN(2)/2))/(LN(2)/2)*BL67*BO67*VLOOKUP('Données projet'!$B$11,Paramètres!$A$1:$I$89,3,0)*0.475*44/12</f>
        <v>0.1380184812935045</v>
      </c>
      <c r="BS67" s="22">
        <f t="shared" si="9"/>
        <v>6.0789441645470328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22.4</v>
      </c>
      <c r="BY67" s="12">
        <f>IF('Données projet'!$A$114&gt;35,BY66+BX67-CG66,IF(A67&lt;'Données projet'!$A$114,$BV$205^A67,IF(A67='Données projet'!$A$114,'Données projet'!$B$114,BY66+BX67-CG66)))</f>
        <v>763.6</v>
      </c>
      <c r="BZ67" s="13">
        <f>BY67*VLOOKUP('Données projet'!$B$12,Paramètres!$A$1:$I$89,3,0)*VLOOKUP('Données projet'!$B$12,Paramètres!$A$1:$I$89,5,0)</f>
        <v>367.29160000000002</v>
      </c>
      <c r="CA67" s="13">
        <f t="shared" si="39"/>
        <v>85.112976980963069</v>
      </c>
      <c r="CB67" s="20">
        <f t="shared" si="10"/>
        <v>787.93797157517736</v>
      </c>
      <c r="CC67" s="59">
        <f t="shared" si="11"/>
        <v>1081.2713049085107</v>
      </c>
      <c r="CD67" s="59">
        <f ca="1">AVERAGE(OFFSET($CC$3,0,0,'Données projet'!$E$12+1,1))-AVERAGE(OFFSET($H$3,0,0,'Données projet'!$E$12+1,1))</f>
        <v>415.97633163853953</v>
      </c>
      <c r="CE67" s="59">
        <f t="shared" si="40"/>
        <v>356.23532720804423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1.3781538695338393</v>
      </c>
      <c r="CL67" s="21">
        <f>EXP(-LN(2)/25)*CL66+(1-EXP(-LN(2)/25))/(LN(2)/25)*Calculateur!CG67*Calculateur!CI67*VLOOKUP('Données projet'!$B$12,Paramètres!$A$1:$I$89,3,0)*0.475*44/12</f>
        <v>5.8591330439641203</v>
      </c>
      <c r="CM67" s="21">
        <f>EXP(-LN(2)/2)*CM66+(1-EXP(-LN(2)/2))/(LN(2)/2)*CG67*CJ67*VLOOKUP('Données projet'!$B$12,Paramètres!$A$1:$I$89,3,0)*0.475*44/12</f>
        <v>2.4167307805891488E-4</v>
      </c>
      <c r="CN67" s="22">
        <f t="shared" si="12"/>
        <v>7.2375285865760182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741</v>
      </c>
      <c r="L68" s="12">
        <f>VLOOKUP(A68,'Données projet'!$A$35:$I$55,9,0)</f>
        <v>16.399999999999999</v>
      </c>
      <c r="M68" s="12">
        <f t="array" ref="M68">INDEX(L:L,MIN(IF(ISNUMBER(L68:L264),ROW(L68:L264),"")))</f>
        <v>16.399999999999999</v>
      </c>
      <c r="N68" s="13">
        <f>IF('Données projet'!$A$36&gt;35,N67+M68-V67,IF(A68&lt;'Données projet'!$A$36,$K$205^A68,IF(A68='Données projet'!$A$36,'Données projet'!$B$36,N67+M68-V67)))</f>
        <v>740.99999999999955</v>
      </c>
      <c r="O68" s="13">
        <f>N68*VLOOKUP('Données projet'!$B$9,Paramètres!$A$1:$I$89,3,0)*VLOOKUP('Données projet'!$B$9,Paramètres!$A$1:$I$89,5,0)</f>
        <v>414.21899999999977</v>
      </c>
      <c r="P68" s="13">
        <f t="shared" si="33"/>
        <v>94.653462817267666</v>
      </c>
      <c r="Q68" s="20">
        <f t="shared" si="54"/>
        <v>886.28620607340736</v>
      </c>
      <c r="R68" s="59">
        <f t="shared" si="55"/>
        <v>1179.6195394067406</v>
      </c>
      <c r="S68" s="59">
        <f ca="1">AVERAGE(OFFSET($R$3,0,0,'Données projet'!$E$9+1,1))-AVERAGE(OFFSET($H$3,0,0,'Données projet'!$E$9+1,1))</f>
        <v>492.3498626914548</v>
      </c>
      <c r="T68" s="59">
        <f t="shared" si="34"/>
        <v>635.90304180030307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741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2.7326100202267365</v>
      </c>
      <c r="AA68" s="21">
        <f>EXP(-LN(2)/25)*AA67+(1-EXP(-LN(2)/25))/(LN(2)/25)*Calculateur!V68*Calculateur!X68*VLOOKUP('Données projet'!$B$9,Paramètres!$A$1:$I$89,3,0)*0.475*44/12</f>
        <v>9.1674596627454754</v>
      </c>
      <c r="AB68" s="21">
        <f>EXP(-LN(2)/2)*AB67+(1-EXP(-LN(2)/2))/(LN(2)/2)*V68*Y68*VLOOKUP('Données projet'!$B$9,Paramètres!$A$1:$I$89,3,0)*0.475*44/12</f>
        <v>6.3117329536271222E-5</v>
      </c>
      <c r="AC68" s="22">
        <f t="shared" ref="AC68:AC131" si="57">SUM(Z68:AB68)</f>
        <v>11.900132800301749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175.05987582828078</v>
      </c>
      <c r="AO68" s="59">
        <f t="shared" si="36"/>
        <v>268.54782308462387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2.6323283802177859</v>
      </c>
      <c r="AV68" s="21">
        <f>EXP(-LN(2)/25)*AV67+(1-EXP(-LN(2)/25))/(LN(2)/25)*Calculateur!AQ68*Calculateur!AS68*VLOOKUP('Données projet'!$B$10,Paramètres!$A$1:$I$89,3,0)*0.475*44/12</f>
        <v>6.881870754453864</v>
      </c>
      <c r="AW68" s="21">
        <f>EXP(-LN(2)/2)*AW67+(1-EXP(-LN(2)/2))/(LN(2)/2)*AQ68*AT68*VLOOKUP('Données projet'!$B$10,Paramètres!$A$1:$I$89,3,0)*0.475*44/12</f>
        <v>5.5834755950590673E-5</v>
      </c>
      <c r="AX68" s="21">
        <f t="shared" ref="AX68:AX131" si="60">SUM(AU68:AW68)</f>
        <v>9.5142549694276006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8.6</v>
      </c>
      <c r="BD68" s="12">
        <f>IF('Données projet'!$A$88&gt;35,BD67+BC68-BL67,IF(A68&lt;'Données projet'!$A$88,$BA$205^A68,IF(A68='Données projet'!$A$88,'Données projet'!$B$88,BD67+BC68-BL67)))</f>
        <v>485.99999999999994</v>
      </c>
      <c r="BE68" s="13">
        <f>BD68*VLOOKUP('Données projet'!$B$11,Paramètres!$A$1:$I$89,3,0)*VLOOKUP('Données projet'!$B$11,Paramètres!$A$1:$I$89,5,0)</f>
        <v>290.62799999999999</v>
      </c>
      <c r="BF68" s="13">
        <f t="shared" si="37"/>
        <v>69.208117853196882</v>
      </c>
      <c r="BG68" s="20">
        <f t="shared" ref="BG68:BG131" si="61">(BE68+BF68)*0.475*44/12</f>
        <v>626.71457192765126</v>
      </c>
      <c r="BH68" s="59">
        <f t="shared" ref="BH68:BH131" si="62">BG68+(AY68+AZ68)*44/12</f>
        <v>920.04790526098463</v>
      </c>
      <c r="BI68" s="59">
        <f ca="1">AVERAGE(OFFSET($BH$3,0,0,'Données projet'!$E$11+1,1))-AVERAGE(OFFSET($H$3,0,0,'Données projet'!$E$11+1,1))</f>
        <v>381.78368385345919</v>
      </c>
      <c r="BJ68" s="59">
        <f t="shared" si="38"/>
        <v>257.35575295655639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5.7784707580252572</v>
      </c>
      <c r="BR68" s="21">
        <f>EXP(-LN(2)/2)*BR67+(1-EXP(-LN(2)/2))/(LN(2)/2)*BL68*BO68*VLOOKUP('Données projet'!$B$11,Paramètres!$A$1:$I$89,3,0)*0.475*44/12</f>
        <v>9.7593804051705688E-2</v>
      </c>
      <c r="BS68" s="22">
        <f t="shared" ref="BS68:BS131" si="63">SUM(BP68:BR68)</f>
        <v>5.8760645620769631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786</v>
      </c>
      <c r="BW68" s="12">
        <f>VLOOKUP(A68,'Données projet'!$A$113:$I$133,9,0)</f>
        <v>22.4</v>
      </c>
      <c r="BX68" s="12">
        <f t="array" ref="BX68">INDEX(BW:BW,MIN(IF(ISNUMBER(BW68:BW264),ROW(BW68:BW264),"")))</f>
        <v>22.4</v>
      </c>
      <c r="BY68" s="12">
        <f>IF('Données projet'!$A$114&gt;35,BY67+BX68-CG67,IF(A68&lt;'Données projet'!$A$114,$BV$205^A68,IF(A68='Données projet'!$A$114,'Données projet'!$B$114,BY67+BX68-CG67)))</f>
        <v>786</v>
      </c>
      <c r="BZ68" s="13">
        <f>BY68*VLOOKUP('Données projet'!$B$12,Paramètres!$A$1:$I$89,3,0)*VLOOKUP('Données projet'!$B$12,Paramètres!$A$1:$I$89,5,0)</f>
        <v>378.06600000000003</v>
      </c>
      <c r="CA68" s="13">
        <f t="shared" si="39"/>
        <v>87.315393595556259</v>
      </c>
      <c r="CB68" s="20">
        <f t="shared" ref="CB68:CB131" si="64">(BZ68+CA68)*0.475*44/12</f>
        <v>810.53926051226051</v>
      </c>
      <c r="CC68" s="59">
        <f t="shared" ref="CC68:CC131" si="65">CB68+(BT68+BU68)*44/12</f>
        <v>1103.8725938455939</v>
      </c>
      <c r="CD68" s="59">
        <f ca="1">AVERAGE(OFFSET($CC$3,0,0,'Données projet'!$E$12+1,1))-AVERAGE(OFFSET($H$3,0,0,'Données projet'!$E$12+1,1))</f>
        <v>415.97633163853953</v>
      </c>
      <c r="CE68" s="59">
        <f t="shared" si="40"/>
        <v>356.23532720804423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62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1.3511291127431397</v>
      </c>
      <c r="CL68" s="21">
        <f>EXP(-LN(2)/25)*CL67+(1-EXP(-LN(2)/25))/(LN(2)/25)*Calculateur!CG68*Calculateur!CI68*VLOOKUP('Données projet'!$B$12,Paramètres!$A$1:$I$89,3,0)*0.475*44/12</f>
        <v>5.6989147427585056</v>
      </c>
      <c r="CM68" s="21">
        <f>EXP(-LN(2)/2)*CM67+(1-EXP(-LN(2)/2))/(LN(2)/2)*CG68*CJ68*VLOOKUP('Données projet'!$B$12,Paramètres!$A$1:$I$89,3,0)*0.475*44/12</f>
        <v>1.7088867232568455E-4</v>
      </c>
      <c r="CN68" s="22">
        <f t="shared" ref="CN68:CN131" si="66">SUM(CK68:CM68)</f>
        <v>7.0502147441739709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-4.5474735088646412E-13</v>
      </c>
      <c r="O69" s="13">
        <f>N69*VLOOKUP('Données projet'!$B$9,Paramètres!$A$1:$I$89,3,0)*VLOOKUP('Données projet'!$B$9,Paramètres!$A$1:$I$89,5,0)</f>
        <v>-2.5420376914553347E-13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492.3498626914548</v>
      </c>
      <c r="T69" s="59">
        <f t="shared" ref="T69:T132" si="88">$T$3</f>
        <v>635.90304180030307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2.679025204457627</v>
      </c>
      <c r="AA69" s="21">
        <f>EXP(-LN(2)/25)*AA68+(1-EXP(-LN(2)/25))/(LN(2)/25)*Calculateur!V69*Calculateur!X69*VLOOKUP('Données projet'!$B$9,Paramètres!$A$1:$I$89,3,0)*0.475*44/12</f>
        <v>8.9167749961719487</v>
      </c>
      <c r="AB69" s="21">
        <f>EXP(-LN(2)/2)*AB68+(1-EXP(-LN(2)/2))/(LN(2)/2)*V69*Y69*VLOOKUP('Données projet'!$B$9,Paramètres!$A$1:$I$89,3,0)*0.475*44/12</f>
        <v>4.4630691725483348E-5</v>
      </c>
      <c r="AC69" s="22">
        <f t="shared" si="57"/>
        <v>11.595844831321301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175.05987582828078</v>
      </c>
      <c r="AO69" s="59">
        <f t="shared" ref="AO69:AO132" si="90">$AO$3</f>
        <v>268.54782308462387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2.5807100262434912</v>
      </c>
      <c r="AV69" s="21">
        <f>EXP(-LN(2)/25)*AV68+(1-EXP(-LN(2)/25))/(LN(2)/25)*Calculateur!AQ69*Calculateur!AS69*VLOOKUP('Données projet'!$B$10,Paramètres!$A$1:$I$89,3,0)*0.475*44/12</f>
        <v>6.6936856367714688</v>
      </c>
      <c r="AW69" s="21">
        <f>EXP(-LN(2)/2)*AW68+(1-EXP(-LN(2)/2))/(LN(2)/2)*AQ69*AT69*VLOOKUP('Données projet'!$B$10,Paramètres!$A$1:$I$89,3,0)*0.475*44/12</f>
        <v>3.9481134558558601E-5</v>
      </c>
      <c r="AX69" s="21">
        <f t="shared" si="60"/>
        <v>9.2744351441495194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8.6</v>
      </c>
      <c r="BD69" s="12">
        <f>IF('Données projet'!$A$88&gt;35,BD68+BC69-BL68,IF(A69&lt;'Données projet'!$A$88,$BA$205^A69,IF(A69='Données projet'!$A$88,'Données projet'!$B$88,BD68+BC69-BL68)))</f>
        <v>494.59999999999997</v>
      </c>
      <c r="BE69" s="13">
        <f>BD69*VLOOKUP('Données projet'!$B$11,Paramètres!$A$1:$I$89,3,0)*VLOOKUP('Données projet'!$B$11,Paramètres!$A$1:$I$89,5,0)</f>
        <v>295.77080000000001</v>
      </c>
      <c r="BF69" s="13">
        <f t="shared" ref="BF69:BF132" si="91">EXP(-1.0587+0.8836*LN(BE69)+0.284)</f>
        <v>70.289129439104499</v>
      </c>
      <c r="BG69" s="20">
        <f t="shared" si="61"/>
        <v>637.55437710644037</v>
      </c>
      <c r="BH69" s="59">
        <f t="shared" si="62"/>
        <v>930.88771043977363</v>
      </c>
      <c r="BI69" s="59">
        <f ca="1">AVERAGE(OFFSET($BH$3,0,0,'Données projet'!$E$11+1,1))-AVERAGE(OFFSET($H$3,0,0,'Données projet'!$E$11+1,1))</f>
        <v>381.78368385345919</v>
      </c>
      <c r="BJ69" s="59">
        <f t="shared" ref="BJ69:BJ132" si="92">$BJ$3</f>
        <v>257.35575295655639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5.620458171270486</v>
      </c>
      <c r="BR69" s="21">
        <f>EXP(-LN(2)/2)*BR68+(1-EXP(-LN(2)/2))/(LN(2)/2)*BL69*BO69*VLOOKUP('Données projet'!$B$11,Paramètres!$A$1:$I$89,3,0)*0.475*44/12</f>
        <v>6.9009240646752248E-2</v>
      </c>
      <c r="BS69" s="22">
        <f t="shared" si="63"/>
        <v>5.6894674119172386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21.6</v>
      </c>
      <c r="BY69" s="12">
        <f>IF('Données projet'!$A$114&gt;35,BY68+BX69-CG68,IF(A69&lt;'Données projet'!$A$114,$BV$205^A69,IF(A69='Données projet'!$A$114,'Données projet'!$B$114,BY68+BX69-CG68)))</f>
        <v>745.6</v>
      </c>
      <c r="BZ69" s="13">
        <f>BY69*VLOOKUP('Données projet'!$B$12,Paramètres!$A$1:$I$89,3,0)*VLOOKUP('Données projet'!$B$12,Paramètres!$A$1:$I$89,5,0)</f>
        <v>358.63360000000006</v>
      </c>
      <c r="CA69" s="13">
        <f t="shared" ref="CA69:CA132" si="93">EXP(-1.0587+0.8836*LN(BZ69)+0.284)</f>
        <v>83.337730055787091</v>
      </c>
      <c r="CB69" s="20">
        <f t="shared" si="64"/>
        <v>769.76673318049586</v>
      </c>
      <c r="CC69" s="59">
        <f t="shared" si="65"/>
        <v>1063.1000665138292</v>
      </c>
      <c r="CD69" s="59">
        <f ca="1">AVERAGE(OFFSET($CC$3,0,0,'Données projet'!$E$12+1,1))-AVERAGE(OFFSET($H$3,0,0,'Données projet'!$E$12+1,1))</f>
        <v>415.97633163853953</v>
      </c>
      <c r="CE69" s="59">
        <f t="shared" ref="CE69:CE132" si="94">$CE$3</f>
        <v>356.23532720804423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1.3246342949496317</v>
      </c>
      <c r="CL69" s="21">
        <f>EXP(-LN(2)/25)*CL68+(1-EXP(-LN(2)/25))/(LN(2)/25)*Calculateur!CG69*Calculateur!CI69*VLOOKUP('Données projet'!$B$12,Paramètres!$A$1:$I$89,3,0)*0.475*44/12</f>
        <v>5.5430776194248734</v>
      </c>
      <c r="CM69" s="21">
        <f>EXP(-LN(2)/2)*CM68+(1-EXP(-LN(2)/2))/(LN(2)/2)*CG69*CJ69*VLOOKUP('Données projet'!$B$12,Paramètres!$A$1:$I$89,3,0)*0.475*44/12</f>
        <v>1.2083653902945746E-4</v>
      </c>
      <c r="CN69" s="22">
        <f t="shared" si="66"/>
        <v>6.867832750913534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-4.5474735088646412E-13</v>
      </c>
      <c r="O70" s="13">
        <f>N70*VLOOKUP('Données projet'!$B$9,Paramètres!$A$1:$I$89,3,0)*VLOOKUP('Données projet'!$B$9,Paramètres!$A$1:$I$89,5,0)</f>
        <v>-2.5420376914553347E-13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492.3498626914548</v>
      </c>
      <c r="T70" s="59">
        <f t="shared" si="88"/>
        <v>635.90304180030307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2.6264911542422391</v>
      </c>
      <c r="AA70" s="21">
        <f>EXP(-LN(2)/25)*AA69+(1-EXP(-LN(2)/25))/(LN(2)/25)*Calculateur!V70*Calculateur!X70*VLOOKUP('Données projet'!$B$9,Paramètres!$A$1:$I$89,3,0)*0.475*44/12</f>
        <v>8.6729453149888087</v>
      </c>
      <c r="AB70" s="21">
        <f>EXP(-LN(2)/2)*AB69+(1-EXP(-LN(2)/2))/(LN(2)/2)*V70*Y70*VLOOKUP('Données projet'!$B$9,Paramètres!$A$1:$I$89,3,0)*0.475*44/12</f>
        <v>3.1558664768135611E-5</v>
      </c>
      <c r="AC70" s="22">
        <f t="shared" si="57"/>
        <v>11.299468027895815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175.05987582828078</v>
      </c>
      <c r="AO70" s="59">
        <f t="shared" si="90"/>
        <v>268.54782308462387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2.5301038767065451</v>
      </c>
      <c r="AV70" s="21">
        <f>EXP(-LN(2)/25)*AV69+(1-EXP(-LN(2)/25))/(LN(2)/25)*Calculateur!AQ70*Calculateur!AS70*VLOOKUP('Données projet'!$B$10,Paramètres!$A$1:$I$89,3,0)*0.475*44/12</f>
        <v>6.5106464510283235</v>
      </c>
      <c r="AW70" s="21">
        <f>EXP(-LN(2)/2)*AW69+(1-EXP(-LN(2)/2))/(LN(2)/2)*AQ70*AT70*VLOOKUP('Données projet'!$B$10,Paramètres!$A$1:$I$89,3,0)*0.475*44/12</f>
        <v>2.7917377975295337E-5</v>
      </c>
      <c r="AX70" s="21">
        <f t="shared" si="60"/>
        <v>9.0407782451128451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8.6</v>
      </c>
      <c r="BD70" s="12">
        <f>IF('Données projet'!$A$88&gt;35,BD69+BC70-BL69,IF(A70&lt;'Données projet'!$A$88,$BA$205^A70,IF(A70='Données projet'!$A$88,'Données projet'!$B$88,BD69+BC70-BL69)))</f>
        <v>503.2</v>
      </c>
      <c r="BE70" s="13">
        <f>BD70*VLOOKUP('Données projet'!$B$11,Paramètres!$A$1:$I$89,3,0)*VLOOKUP('Données projet'!$B$11,Paramètres!$A$1:$I$89,5,0)</f>
        <v>300.91360000000003</v>
      </c>
      <c r="BF70" s="13">
        <f t="shared" si="91"/>
        <v>71.367955220159118</v>
      </c>
      <c r="BG70" s="20">
        <f t="shared" si="61"/>
        <v>648.39037534177703</v>
      </c>
      <c r="BH70" s="59">
        <f t="shared" si="62"/>
        <v>941.7237086751104</v>
      </c>
      <c r="BI70" s="59">
        <f ca="1">AVERAGE(OFFSET($BH$3,0,0,'Données projet'!$E$11+1,1))-AVERAGE(OFFSET($H$3,0,0,'Données projet'!$E$11+1,1))</f>
        <v>381.78368385345919</v>
      </c>
      <c r="BJ70" s="59">
        <f t="shared" si="92"/>
        <v>257.35575295655639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5.4667664470100448</v>
      </c>
      <c r="BR70" s="21">
        <f>EXP(-LN(2)/2)*BR69+(1-EXP(-LN(2)/2))/(LN(2)/2)*BL70*BO70*VLOOKUP('Données projet'!$B$11,Paramètres!$A$1:$I$89,3,0)*0.475*44/12</f>
        <v>4.8796902025852844E-2</v>
      </c>
      <c r="BS70" s="22">
        <f t="shared" si="63"/>
        <v>5.5155633490358973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21.6</v>
      </c>
      <c r="BY70" s="12">
        <f>IF('Données projet'!$A$114&gt;35,BY69+BX70-CG69,IF(A70&lt;'Données projet'!$A$114,$BV$205^A70,IF(A70='Données projet'!$A$114,'Données projet'!$B$114,BY69+BX70-CG69)))</f>
        <v>767.2</v>
      </c>
      <c r="BZ70" s="13">
        <f>BY70*VLOOKUP('Données projet'!$B$12,Paramètres!$A$1:$I$89,3,0)*VLOOKUP('Données projet'!$B$12,Paramètres!$A$1:$I$89,5,0)</f>
        <v>369.02320000000003</v>
      </c>
      <c r="CA70" s="13">
        <f t="shared" si="93"/>
        <v>85.467438502884093</v>
      </c>
      <c r="CB70" s="20">
        <f t="shared" si="64"/>
        <v>791.57119539252324</v>
      </c>
      <c r="CC70" s="59">
        <f t="shared" si="65"/>
        <v>1084.9045287258566</v>
      </c>
      <c r="CD70" s="59">
        <f ca="1">AVERAGE(OFFSET($CC$3,0,0,'Données projet'!$E$12+1,1))-AVERAGE(OFFSET($H$3,0,0,'Données projet'!$E$12+1,1))</f>
        <v>415.97633163853953</v>
      </c>
      <c r="CE70" s="59">
        <f t="shared" si="94"/>
        <v>356.23532720804423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1.2986590243728111</v>
      </c>
      <c r="CL70" s="21">
        <f>EXP(-LN(2)/25)*CL69+(1-EXP(-LN(2)/25))/(LN(2)/25)*Calculateur!CG70*Calculateur!CI70*VLOOKUP('Données projet'!$B$12,Paramètres!$A$1:$I$89,3,0)*0.475*44/12</f>
        <v>5.3915018704239168</v>
      </c>
      <c r="CM70" s="21">
        <f>EXP(-LN(2)/2)*CM69+(1-EXP(-LN(2)/2))/(LN(2)/2)*CG70*CJ70*VLOOKUP('Données projet'!$B$12,Paramètres!$A$1:$I$89,3,0)*0.475*44/12</f>
        <v>8.544433616284229E-5</v>
      </c>
      <c r="CN70" s="22">
        <f t="shared" si="66"/>
        <v>6.6902463391328908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-4.5474735088646412E-13</v>
      </c>
      <c r="O71" s="13">
        <f>N71*VLOOKUP('Données projet'!$B$9,Paramètres!$A$1:$I$89,3,0)*VLOOKUP('Données projet'!$B$9,Paramètres!$A$1:$I$89,5,0)</f>
        <v>-2.5420376914553347E-13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492.3498626914548</v>
      </c>
      <c r="T71" s="59">
        <f t="shared" si="88"/>
        <v>635.90304180030307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2.5749872647089682</v>
      </c>
      <c r="AA71" s="21">
        <f>EXP(-LN(2)/25)*AA70+(1-EXP(-LN(2)/25))/(LN(2)/25)*Calculateur!V71*Calculateur!X71*VLOOKUP('Données projet'!$B$9,Paramètres!$A$1:$I$89,3,0)*0.475*44/12</f>
        <v>8.435783169260068</v>
      </c>
      <c r="AB71" s="21">
        <f>EXP(-LN(2)/2)*AB70+(1-EXP(-LN(2)/2))/(LN(2)/2)*V71*Y71*VLOOKUP('Données projet'!$B$9,Paramètres!$A$1:$I$89,3,0)*0.475*44/12</f>
        <v>2.2315345862741674E-5</v>
      </c>
      <c r="AC71" s="22">
        <f t="shared" si="57"/>
        <v>11.010792749314898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175.05987582828078</v>
      </c>
      <c r="AO71" s="59">
        <f t="shared" si="90"/>
        <v>268.54782308462387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2.4804900828953151</v>
      </c>
      <c r="AV71" s="21">
        <f>EXP(-LN(2)/25)*AV70+(1-EXP(-LN(2)/25))/(LN(2)/25)*Calculateur!AQ71*Calculateur!AS71*VLOOKUP('Données projet'!$B$10,Paramètres!$A$1:$I$89,3,0)*0.475*44/12</f>
        <v>6.3326124814449374</v>
      </c>
      <c r="AW71" s="21">
        <f>EXP(-LN(2)/2)*AW70+(1-EXP(-LN(2)/2))/(LN(2)/2)*AQ71*AT71*VLOOKUP('Données projet'!$B$10,Paramètres!$A$1:$I$89,3,0)*0.475*44/12</f>
        <v>1.9740567279279301E-5</v>
      </c>
      <c r="AX71" s="21">
        <f t="shared" si="60"/>
        <v>8.8131223049075302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8.6</v>
      </c>
      <c r="BD71" s="12">
        <f>IF('Données projet'!$A$88&gt;35,BD70+BC71-BL70,IF(A71&lt;'Données projet'!$A$88,$BA$205^A71,IF(A71='Données projet'!$A$88,'Données projet'!$B$88,BD70+BC71-BL70)))</f>
        <v>511.8</v>
      </c>
      <c r="BE71" s="13">
        <f>BD71*VLOOKUP('Données projet'!$B$11,Paramètres!$A$1:$I$89,3,0)*VLOOKUP('Données projet'!$B$11,Paramètres!$A$1:$I$89,5,0)</f>
        <v>306.05640000000005</v>
      </c>
      <c r="BF71" s="13">
        <f t="shared" si="91"/>
        <v>72.444636864080792</v>
      </c>
      <c r="BG71" s="20">
        <f t="shared" si="61"/>
        <v>659.22263920494072</v>
      </c>
      <c r="BH71" s="59">
        <f t="shared" si="62"/>
        <v>952.55597253827409</v>
      </c>
      <c r="BI71" s="59">
        <f ca="1">AVERAGE(OFFSET($BH$3,0,0,'Données projet'!$E$11+1,1))-AVERAGE(OFFSET($H$3,0,0,'Données projet'!$E$11+1,1))</f>
        <v>381.78368385345919</v>
      </c>
      <c r="BJ71" s="59">
        <f t="shared" si="92"/>
        <v>257.35575295655639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5.3172774310318021</v>
      </c>
      <c r="BR71" s="21">
        <f>EXP(-LN(2)/2)*BR70+(1-EXP(-LN(2)/2))/(LN(2)/2)*BL71*BO71*VLOOKUP('Données projet'!$B$11,Paramètres!$A$1:$I$89,3,0)*0.475*44/12</f>
        <v>3.4504620323376124E-2</v>
      </c>
      <c r="BS71" s="22">
        <f t="shared" si="63"/>
        <v>5.3517820513551779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21.6</v>
      </c>
      <c r="BY71" s="12">
        <f>IF('Données projet'!$A$114&gt;35,BY70+BX71-CG70,IF(A71&lt;'Données projet'!$A$114,$BV$205^A71,IF(A71='Données projet'!$A$114,'Données projet'!$B$114,BY70+BX71-CG70)))</f>
        <v>788.80000000000007</v>
      </c>
      <c r="BZ71" s="13">
        <f>BY71*VLOOKUP('Données projet'!$B$12,Paramètres!$A$1:$I$89,3,0)*VLOOKUP('Données projet'!$B$12,Paramètres!$A$1:$I$89,5,0)</f>
        <v>379.4128</v>
      </c>
      <c r="CA71" s="13">
        <f t="shared" si="93"/>
        <v>87.590177997731288</v>
      </c>
      <c r="CB71" s="20">
        <f t="shared" si="64"/>
        <v>813.36352001271541</v>
      </c>
      <c r="CC71" s="59">
        <f t="shared" si="65"/>
        <v>1106.6968533460488</v>
      </c>
      <c r="CD71" s="59">
        <f ca="1">AVERAGE(OFFSET($CC$3,0,0,'Données projet'!$E$12+1,1))-AVERAGE(OFFSET($H$3,0,0,'Données projet'!$E$12+1,1))</f>
        <v>415.97633163853953</v>
      </c>
      <c r="CE71" s="59">
        <f t="shared" si="94"/>
        <v>356.23532720804423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1.2731931130086513</v>
      </c>
      <c r="CL71" s="21">
        <f>EXP(-LN(2)/25)*CL70+(1-EXP(-LN(2)/25))/(LN(2)/25)*Calculateur!CG71*Calculateur!CI71*VLOOKUP('Données projet'!$B$12,Paramètres!$A$1:$I$89,3,0)*0.475*44/12</f>
        <v>5.2440709682504139</v>
      </c>
      <c r="CM71" s="21">
        <f>EXP(-LN(2)/2)*CM70+(1-EXP(-LN(2)/2))/(LN(2)/2)*CG71*CJ71*VLOOKUP('Données projet'!$B$12,Paramètres!$A$1:$I$89,3,0)*0.475*44/12</f>
        <v>6.0418269514728734E-5</v>
      </c>
      <c r="CN71" s="22">
        <f t="shared" si="66"/>
        <v>6.5173244995285797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-4.5474735088646412E-13</v>
      </c>
      <c r="O72" s="13">
        <f>N72*VLOOKUP('Données projet'!$B$9,Paramètres!$A$1:$I$89,3,0)*VLOOKUP('Données projet'!$B$9,Paramètres!$A$1:$I$89,5,0)</f>
        <v>-2.5420376914553347E-13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492.3498626914548</v>
      </c>
      <c r="T72" s="59">
        <f t="shared" si="88"/>
        <v>635.90304180030307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2.5244933350351744</v>
      </c>
      <c r="AA72" s="21">
        <f>EXP(-LN(2)/25)*AA71+(1-EXP(-LN(2)/25))/(LN(2)/25)*Calculateur!V72*Calculateur!X72*VLOOKUP('Données projet'!$B$9,Paramètres!$A$1:$I$89,3,0)*0.475*44/12</f>
        <v>8.2051062348780945</v>
      </c>
      <c r="AB72" s="21">
        <f>EXP(-LN(2)/2)*AB71+(1-EXP(-LN(2)/2))/(LN(2)/2)*V72*Y72*VLOOKUP('Données projet'!$B$9,Paramètres!$A$1:$I$89,3,0)*0.475*44/12</f>
        <v>1.5779332384067805E-5</v>
      </c>
      <c r="AC72" s="22">
        <f t="shared" si="57"/>
        <v>10.729615349245654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175.05987582828078</v>
      </c>
      <c r="AO72" s="59">
        <f t="shared" si="90"/>
        <v>268.54782308462387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2.4318491853192974</v>
      </c>
      <c r="AV72" s="21">
        <f>EXP(-LN(2)/25)*AV71+(1-EXP(-LN(2)/25))/(LN(2)/25)*Calculateur!AQ72*Calculateur!AS72*VLOOKUP('Données projet'!$B$10,Paramètres!$A$1:$I$89,3,0)*0.475*44/12</f>
        <v>6.159446860122209</v>
      </c>
      <c r="AW72" s="21">
        <f>EXP(-LN(2)/2)*AW71+(1-EXP(-LN(2)/2))/(LN(2)/2)*AQ72*AT72*VLOOKUP('Données projet'!$B$10,Paramètres!$A$1:$I$89,3,0)*0.475*44/12</f>
        <v>1.3958688987647668E-5</v>
      </c>
      <c r="AX72" s="21">
        <f t="shared" si="60"/>
        <v>8.5913100041304933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8.6</v>
      </c>
      <c r="BD72" s="12">
        <f>IF('Données projet'!$A$88&gt;35,BD71+BC72-BL71,IF(A72&lt;'Données projet'!$A$88,$BA$205^A72,IF(A72='Données projet'!$A$88,'Données projet'!$B$88,BD71+BC72-BL71)))</f>
        <v>520.4</v>
      </c>
      <c r="BE72" s="13">
        <f>BD72*VLOOKUP('Données projet'!$B$11,Paramètres!$A$1:$I$89,3,0)*VLOOKUP('Données projet'!$B$11,Paramètres!$A$1:$I$89,5,0)</f>
        <v>311.19920000000002</v>
      </c>
      <c r="BF72" s="13">
        <f t="shared" si="91"/>
        <v>73.519214558008628</v>
      </c>
      <c r="BG72" s="20">
        <f t="shared" si="61"/>
        <v>670.05123868853173</v>
      </c>
      <c r="BH72" s="59">
        <f t="shared" si="62"/>
        <v>963.3845720218651</v>
      </c>
      <c r="BI72" s="59">
        <f ca="1">AVERAGE(OFFSET($BH$3,0,0,'Données projet'!$E$11+1,1))-AVERAGE(OFFSET($H$3,0,0,'Données projet'!$E$11+1,1))</f>
        <v>381.78368385345919</v>
      </c>
      <c r="BJ72" s="59">
        <f t="shared" si="92"/>
        <v>257.35575295655639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5.1718762000567704</v>
      </c>
      <c r="BR72" s="21">
        <f>EXP(-LN(2)/2)*BR71+(1-EXP(-LN(2)/2))/(LN(2)/2)*BL72*BO72*VLOOKUP('Données projet'!$B$11,Paramètres!$A$1:$I$89,3,0)*0.475*44/12</f>
        <v>2.4398451012926422E-2</v>
      </c>
      <c r="BS72" s="22">
        <f t="shared" si="63"/>
        <v>5.1962746510696967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21.6</v>
      </c>
      <c r="BY72" s="12">
        <f>IF('Données projet'!$A$114&gt;35,BY71+BX72-CG71,IF(A72&lt;'Données projet'!$A$114,$BV$205^A72,IF(A72='Données projet'!$A$114,'Données projet'!$B$114,BY71+BX72-CG71)))</f>
        <v>810.40000000000009</v>
      </c>
      <c r="BZ72" s="13">
        <f>BY72*VLOOKUP('Données projet'!$B$12,Paramètres!$A$1:$I$89,3,0)*VLOOKUP('Données projet'!$B$12,Paramètres!$A$1:$I$89,5,0)</f>
        <v>389.80240000000003</v>
      </c>
      <c r="CA72" s="13">
        <f t="shared" si="93"/>
        <v>89.70616130139075</v>
      </c>
      <c r="CB72" s="20">
        <f t="shared" si="64"/>
        <v>835.1440775999223</v>
      </c>
      <c r="CC72" s="59">
        <f t="shared" si="65"/>
        <v>1128.4774109332557</v>
      </c>
      <c r="CD72" s="59">
        <f ca="1">AVERAGE(OFFSET($CC$3,0,0,'Données projet'!$E$12+1,1))-AVERAGE(OFFSET($H$3,0,0,'Données projet'!$E$12+1,1))</f>
        <v>415.97633163853953</v>
      </c>
      <c r="CE72" s="59">
        <f t="shared" si="94"/>
        <v>356.23532720804423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1.2482265726336705</v>
      </c>
      <c r="CL72" s="21">
        <f>EXP(-LN(2)/25)*CL71+(1-EXP(-LN(2)/25))/(LN(2)/25)*Calculateur!CG72*Calculateur!CI72*VLOOKUP('Données projet'!$B$12,Paramètres!$A$1:$I$89,3,0)*0.475*44/12</f>
        <v>5.1006715718498992</v>
      </c>
      <c r="CM72" s="21">
        <f>EXP(-LN(2)/2)*CM71+(1-EXP(-LN(2)/2))/(LN(2)/2)*CG72*CJ72*VLOOKUP('Données projet'!$B$12,Paramètres!$A$1:$I$89,3,0)*0.475*44/12</f>
        <v>4.2722168081421152E-5</v>
      </c>
      <c r="CN72" s="22">
        <f t="shared" si="66"/>
        <v>6.3489408666516516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-4.5474735088646412E-13</v>
      </c>
      <c r="O73" s="13">
        <f>N73*VLOOKUP('Données projet'!$B$9,Paramètres!$A$1:$I$89,3,0)*VLOOKUP('Données projet'!$B$9,Paramètres!$A$1:$I$89,5,0)</f>
        <v>-2.5420376914553347E-13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492.3498626914548</v>
      </c>
      <c r="T73" s="59">
        <f t="shared" si="88"/>
        <v>635.90304180030307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2.4749895605240275</v>
      </c>
      <c r="AA73" s="21">
        <f>EXP(-LN(2)/25)*AA72+(1-EXP(-LN(2)/25))/(LN(2)/25)*Calculateur!V73*Calculateur!X73*VLOOKUP('Données projet'!$B$9,Paramètres!$A$1:$I$89,3,0)*0.475*44/12</f>
        <v>7.9807371733975696</v>
      </c>
      <c r="AB73" s="21">
        <f>EXP(-LN(2)/2)*AB72+(1-EXP(-LN(2)/2))/(LN(2)/2)*V73*Y73*VLOOKUP('Données projet'!$B$9,Paramètres!$A$1:$I$89,3,0)*0.475*44/12</f>
        <v>1.1157672931370837E-5</v>
      </c>
      <c r="AC73" s="22">
        <f t="shared" si="57"/>
        <v>10.455737891594529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175.05987582828078</v>
      </c>
      <c r="AO73" s="59">
        <f t="shared" si="90"/>
        <v>268.54782308462387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2.3841621060767273</v>
      </c>
      <c r="AV73" s="21">
        <f>EXP(-LN(2)/25)*AV72+(1-EXP(-LN(2)/25))/(LN(2)/25)*Calculateur!AQ73*Calculateur!AS73*VLOOKUP('Données projet'!$B$10,Paramètres!$A$1:$I$89,3,0)*0.475*44/12</f>
        <v>5.9910164618209345</v>
      </c>
      <c r="AW73" s="21">
        <f>EXP(-LN(2)/2)*AW72+(1-EXP(-LN(2)/2))/(LN(2)/2)*AQ73*AT73*VLOOKUP('Données projet'!$B$10,Paramètres!$A$1:$I$89,3,0)*0.475*44/12</f>
        <v>9.8702836396396503E-6</v>
      </c>
      <c r="AX73" s="21">
        <f t="shared" si="60"/>
        <v>8.3751884381813007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529</v>
      </c>
      <c r="BB73" s="12">
        <f>VLOOKUP(A73,'Données projet'!$A$87:$I$107,9,0)</f>
        <v>8.6</v>
      </c>
      <c r="BC73" s="12">
        <f t="array" ref="BC73">INDEX(BB:BB,MIN(IF(ISNUMBER(BB73:BB269),ROW(BB73:BB269),"")))</f>
        <v>8.6</v>
      </c>
      <c r="BD73" s="12">
        <f>IF('Données projet'!$A$88&gt;35,BD72+BC73-BL72,IF(A73&lt;'Données projet'!$A$88,$BA$205^A73,IF(A73='Données projet'!$A$88,'Données projet'!$B$88,BD72+BC73-BL72)))</f>
        <v>529</v>
      </c>
      <c r="BE73" s="13">
        <f>BD73*VLOOKUP('Données projet'!$B$11,Paramètres!$A$1:$I$89,3,0)*VLOOKUP('Données projet'!$B$11,Paramètres!$A$1:$I$89,5,0)</f>
        <v>316.34200000000004</v>
      </c>
      <c r="BF73" s="13">
        <f t="shared" si="91"/>
        <v>74.591727084692607</v>
      </c>
      <c r="BG73" s="20">
        <f t="shared" si="61"/>
        <v>680.87624133917302</v>
      </c>
      <c r="BH73" s="59">
        <f t="shared" si="62"/>
        <v>974.20957467250628</v>
      </c>
      <c r="BI73" s="59">
        <f ca="1">AVERAGE(OFFSET($BH$3,0,0,'Données projet'!$E$11+1,1))-AVERAGE(OFFSET($H$3,0,0,'Données projet'!$E$11+1,1))</f>
        <v>381.78368385345919</v>
      </c>
      <c r="BJ73" s="59">
        <f t="shared" si="92"/>
        <v>257.35575295655639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39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5.030450973389069</v>
      </c>
      <c r="BR73" s="21">
        <f>EXP(-LN(2)/2)*BR72+(1-EXP(-LN(2)/2))/(LN(2)/2)*BL73*BO73*VLOOKUP('Données projet'!$B$11,Paramètres!$A$1:$I$89,3,0)*0.475*44/12</f>
        <v>1.7252310161688062E-2</v>
      </c>
      <c r="BS73" s="22">
        <f t="shared" si="63"/>
        <v>5.0477032835507574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832</v>
      </c>
      <c r="BW73" s="12">
        <f>VLOOKUP(A73,'Données projet'!$A$113:$I$133,9,0)</f>
        <v>21.6</v>
      </c>
      <c r="BX73" s="12">
        <f t="array" ref="BX73">INDEX(BW:BW,MIN(IF(ISNUMBER(BW73:BW269),ROW(BW73:BW269),"")))</f>
        <v>21.6</v>
      </c>
      <c r="BY73" s="12">
        <f>IF('Données projet'!$A$114&gt;35,BY72+BX73-CG72,IF(A73&lt;'Données projet'!$A$114,$BV$205^A73,IF(A73='Données projet'!$A$114,'Données projet'!$B$114,BY72+BX73-CG72)))</f>
        <v>832.00000000000011</v>
      </c>
      <c r="BZ73" s="13">
        <f>BY73*VLOOKUP('Données projet'!$B$12,Paramètres!$A$1:$I$89,3,0)*VLOOKUP('Données projet'!$B$12,Paramètres!$A$1:$I$89,5,0)</f>
        <v>400.19200000000006</v>
      </c>
      <c r="CA73" s="13">
        <f t="shared" si="93"/>
        <v>91.815589187496514</v>
      </c>
      <c r="CB73" s="20">
        <f t="shared" si="64"/>
        <v>856.91321783488991</v>
      </c>
      <c r="CC73" s="59">
        <f t="shared" si="65"/>
        <v>1150.2465511682233</v>
      </c>
      <c r="CD73" s="59">
        <f ca="1">AVERAGE(OFFSET($CC$3,0,0,'Données projet'!$E$12+1,1))-AVERAGE(OFFSET($H$3,0,0,'Données projet'!$E$12+1,1))</f>
        <v>415.97633163853953</v>
      </c>
      <c r="CE73" s="59">
        <f t="shared" si="94"/>
        <v>356.23532720804423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60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1.2237496108873571</v>
      </c>
      <c r="CL73" s="21">
        <f>EXP(-LN(2)/25)*CL72+(1-EXP(-LN(2)/25))/(LN(2)/25)*Calculateur!CG73*Calculateur!CI73*VLOOKUP('Données projet'!$B$12,Paramètres!$A$1:$I$89,3,0)*0.475*44/12</f>
        <v>4.9611934394850037</v>
      </c>
      <c r="CM73" s="21">
        <f>EXP(-LN(2)/2)*CM72+(1-EXP(-LN(2)/2))/(LN(2)/2)*CG73*CJ73*VLOOKUP('Données projet'!$B$12,Paramètres!$A$1:$I$89,3,0)*0.475*44/12</f>
        <v>3.0209134757364374E-5</v>
      </c>
      <c r="CN73" s="22">
        <f t="shared" si="66"/>
        <v>6.1849732595071183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-4.5474735088646412E-13</v>
      </c>
      <c r="O74" s="13">
        <f>N74*VLOOKUP('Données projet'!$B$9,Paramètres!$A$1:$I$89,3,0)*VLOOKUP('Données projet'!$B$9,Paramètres!$A$1:$I$89,5,0)</f>
        <v>-2.5420376914553347E-13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492.3498626914548</v>
      </c>
      <c r="T74" s="59">
        <f t="shared" si="88"/>
        <v>635.90304180030307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2.4264565248367234</v>
      </c>
      <c r="AA74" s="21">
        <f>EXP(-LN(2)/25)*AA73+(1-EXP(-LN(2)/25))/(LN(2)/25)*Calculateur!V74*Calculateur!X74*VLOOKUP('Données projet'!$B$9,Paramètres!$A$1:$I$89,3,0)*0.475*44/12</f>
        <v>7.7625034957022852</v>
      </c>
      <c r="AB74" s="21">
        <f>EXP(-LN(2)/2)*AB73+(1-EXP(-LN(2)/2))/(LN(2)/2)*V74*Y74*VLOOKUP('Données projet'!$B$9,Paramètres!$A$1:$I$89,3,0)*0.475*44/12</f>
        <v>7.8896661920339027E-6</v>
      </c>
      <c r="AC74" s="22">
        <f t="shared" si="57"/>
        <v>10.1889679102052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175.05987582828078</v>
      </c>
      <c r="AO74" s="59">
        <f t="shared" si="90"/>
        <v>268.54782308462387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2.3374101413718575</v>
      </c>
      <c r="AV74" s="21">
        <f>EXP(-LN(2)/25)*AV73+(1-EXP(-LN(2)/25))/(LN(2)/25)*Calculateur!AQ74*Calculateur!AS74*VLOOKUP('Données projet'!$B$10,Paramètres!$A$1:$I$89,3,0)*0.475*44/12</f>
        <v>5.8271918016185777</v>
      </c>
      <c r="AW74" s="21">
        <f>EXP(-LN(2)/2)*AW73+(1-EXP(-LN(2)/2))/(LN(2)/2)*AQ74*AT74*VLOOKUP('Données projet'!$B$10,Paramètres!$A$1:$I$89,3,0)*0.475*44/12</f>
        <v>6.9793444938238342E-6</v>
      </c>
      <c r="AX74" s="21">
        <f t="shared" si="60"/>
        <v>8.1646089223349296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7.2</v>
      </c>
      <c r="BD74" s="12">
        <f>IF('Données projet'!$A$88&gt;35,BD73+BC74-BL73,IF(A74&lt;'Données projet'!$A$88,$BA$205^A74,IF(A74='Données projet'!$A$88,'Données projet'!$B$88,BD73+BC74-BL73)))</f>
        <v>497.20000000000005</v>
      </c>
      <c r="BE74" s="13">
        <f>BD74*VLOOKUP('Données projet'!$B$11,Paramètres!$A$1:$I$89,3,0)*VLOOKUP('Données projet'!$B$11,Paramètres!$A$1:$I$89,5,0)</f>
        <v>297.32560000000001</v>
      </c>
      <c r="BF74" s="13">
        <f t="shared" si="91"/>
        <v>70.61551465359878</v>
      </c>
      <c r="BG74" s="20">
        <f t="shared" si="61"/>
        <v>640.8307746883512</v>
      </c>
      <c r="BH74" s="59">
        <f t="shared" si="62"/>
        <v>934.16410802168457</v>
      </c>
      <c r="BI74" s="59">
        <f ca="1">AVERAGE(OFFSET($BH$3,0,0,'Données projet'!$E$11+1,1))-AVERAGE(OFFSET($H$3,0,0,'Données projet'!$E$11+1,1))</f>
        <v>381.78368385345919</v>
      </c>
      <c r="BJ74" s="59">
        <f t="shared" si="92"/>
        <v>257.35575295655639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4.8928930269818256</v>
      </c>
      <c r="BR74" s="21">
        <f>EXP(-LN(2)/2)*BR73+(1-EXP(-LN(2)/2))/(LN(2)/2)*BL74*BO74*VLOOKUP('Données projet'!$B$11,Paramètres!$A$1:$I$89,3,0)*0.475*44/12</f>
        <v>1.2199225506463211E-2</v>
      </c>
      <c r="BS74" s="22">
        <f t="shared" si="63"/>
        <v>4.9050922524882887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20.399999999999999</v>
      </c>
      <c r="BY74" s="12">
        <f>IF('Données projet'!$A$114&gt;35,BY73+BX74-CG73,IF(A74&lt;'Données projet'!$A$114,$BV$205^A74,IF(A74='Données projet'!$A$114,'Données projet'!$B$114,BY73+BX74-CG73)))</f>
        <v>792.40000000000009</v>
      </c>
      <c r="BZ74" s="13">
        <f>BY74*VLOOKUP('Données projet'!$B$12,Paramètres!$A$1:$I$89,3,0)*VLOOKUP('Données projet'!$B$12,Paramètres!$A$1:$I$89,5,0)</f>
        <v>381.14440000000008</v>
      </c>
      <c r="CA74" s="13">
        <f t="shared" si="93"/>
        <v>87.94330549658369</v>
      </c>
      <c r="CB74" s="20">
        <f t="shared" si="64"/>
        <v>816.99442040655003</v>
      </c>
      <c r="CC74" s="59">
        <f t="shared" si="65"/>
        <v>1110.3277537398833</v>
      </c>
      <c r="CD74" s="59">
        <f ca="1">AVERAGE(OFFSET($CC$3,0,0,'Données projet'!$E$12+1,1))-AVERAGE(OFFSET($H$3,0,0,'Données projet'!$E$12+1,1))</f>
        <v>415.97633163853953</v>
      </c>
      <c r="CE74" s="59">
        <f t="shared" si="94"/>
        <v>356.23532720804423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1.1997526274314165</v>
      </c>
      <c r="CL74" s="21">
        <f>EXP(-LN(2)/25)*CL73+(1-EXP(-LN(2)/25))/(LN(2)/25)*Calculateur!CG74*Calculateur!CI74*VLOOKUP('Données projet'!$B$12,Paramètres!$A$1:$I$89,3,0)*0.475*44/12</f>
        <v>4.8255293439844626</v>
      </c>
      <c r="CM74" s="21">
        <f>EXP(-LN(2)/2)*CM73+(1-EXP(-LN(2)/2))/(LN(2)/2)*CG74*CJ74*VLOOKUP('Données projet'!$B$12,Paramètres!$A$1:$I$89,3,0)*0.475*44/12</f>
        <v>2.1361084040710579E-5</v>
      </c>
      <c r="CN74" s="22">
        <f t="shared" si="66"/>
        <v>6.0253033324999192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-4.5474735088646412E-13</v>
      </c>
      <c r="O75" s="13">
        <f>N75*VLOOKUP('Données projet'!$B$9,Paramètres!$A$1:$I$89,3,0)*VLOOKUP('Données projet'!$B$9,Paramètres!$A$1:$I$89,5,0)</f>
        <v>-2.5420376914553347E-13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492.3498626914548</v>
      </c>
      <c r="T75" s="59">
        <f t="shared" si="88"/>
        <v>635.90304180030307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2.3788751923770182</v>
      </c>
      <c r="AA75" s="21">
        <f>EXP(-LN(2)/25)*AA74+(1-EXP(-LN(2)/25))/(LN(2)/25)*Calculateur!V75*Calculateur!X75*VLOOKUP('Données projet'!$B$9,Paramètres!$A$1:$I$89,3,0)*0.475*44/12</f>
        <v>7.5502374293999885</v>
      </c>
      <c r="AB75" s="21">
        <f>EXP(-LN(2)/2)*AB74+(1-EXP(-LN(2)/2))/(LN(2)/2)*V75*Y75*VLOOKUP('Données projet'!$B$9,Paramètres!$A$1:$I$89,3,0)*0.475*44/12</f>
        <v>5.5788364656854185E-6</v>
      </c>
      <c r="AC75" s="22">
        <f t="shared" si="57"/>
        <v>9.9291182006134733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175.05987582828078</v>
      </c>
      <c r="AO75" s="59">
        <f t="shared" si="90"/>
        <v>268.54782308462387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2.2915749541789676</v>
      </c>
      <c r="AV75" s="21">
        <f>EXP(-LN(2)/25)*AV74+(1-EXP(-LN(2)/25))/(LN(2)/25)*Calculateur!AQ75*Calculateur!AS75*VLOOKUP('Données projet'!$B$10,Paramètres!$A$1:$I$89,3,0)*0.475*44/12</f>
        <v>5.6678469353646195</v>
      </c>
      <c r="AW75" s="21">
        <f>EXP(-LN(2)/2)*AW74+(1-EXP(-LN(2)/2))/(LN(2)/2)*AQ75*AT75*VLOOKUP('Données projet'!$B$10,Paramètres!$A$1:$I$89,3,0)*0.475*44/12</f>
        <v>4.9351418198198251E-6</v>
      </c>
      <c r="AX75" s="21">
        <f t="shared" si="60"/>
        <v>7.9594268246854067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7.2</v>
      </c>
      <c r="BD75" s="12">
        <f>IF('Données projet'!$A$88&gt;35,BD74+BC75-BL74,IF(A75&lt;'Données projet'!$A$88,$BA$205^A75,IF(A75='Données projet'!$A$88,'Données projet'!$B$88,BD74+BC75-BL74)))</f>
        <v>504.40000000000003</v>
      </c>
      <c r="BE75" s="13">
        <f>BD75*VLOOKUP('Données projet'!$B$11,Paramètres!$A$1:$I$89,3,0)*VLOOKUP('Données projet'!$B$11,Paramètres!$A$1:$I$89,5,0)</f>
        <v>301.63120000000004</v>
      </c>
      <c r="BF75" s="13">
        <f t="shared" si="91"/>
        <v>71.518317654219274</v>
      </c>
      <c r="BG75" s="20">
        <f t="shared" si="61"/>
        <v>649.90207658109864</v>
      </c>
      <c r="BH75" s="59">
        <f t="shared" si="62"/>
        <v>943.23540991443201</v>
      </c>
      <c r="BI75" s="59">
        <f ca="1">AVERAGE(OFFSET($BH$3,0,0,'Données projet'!$E$11+1,1))-AVERAGE(OFFSET($H$3,0,0,'Données projet'!$E$11+1,1))</f>
        <v>381.78368385345919</v>
      </c>
      <c r="BJ75" s="59">
        <f t="shared" si="92"/>
        <v>257.35575295655639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4.7590966098529464</v>
      </c>
      <c r="BR75" s="21">
        <f>EXP(-LN(2)/2)*BR74+(1-EXP(-LN(2)/2))/(LN(2)/2)*BL75*BO75*VLOOKUP('Données projet'!$B$11,Paramètres!$A$1:$I$89,3,0)*0.475*44/12</f>
        <v>8.6261550808440311E-3</v>
      </c>
      <c r="BS75" s="22">
        <f t="shared" si="63"/>
        <v>4.7677227649337901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20.399999999999999</v>
      </c>
      <c r="BY75" s="12">
        <f>IF('Données projet'!$A$114&gt;35,BY74+BX75-CG74,IF(A75&lt;'Données projet'!$A$114,$BV$205^A75,IF(A75='Données projet'!$A$114,'Données projet'!$B$114,BY74+BX75-CG74)))</f>
        <v>812.80000000000007</v>
      </c>
      <c r="BZ75" s="13">
        <f>BY75*VLOOKUP('Données projet'!$B$12,Paramètres!$A$1:$I$89,3,0)*VLOOKUP('Données projet'!$B$12,Paramètres!$A$1:$I$89,5,0)</f>
        <v>390.9568000000001</v>
      </c>
      <c r="CA75" s="13">
        <f t="shared" si="93"/>
        <v>89.940862339513885</v>
      </c>
      <c r="CB75" s="20">
        <f t="shared" si="64"/>
        <v>837.56342857465359</v>
      </c>
      <c r="CC75" s="59">
        <f t="shared" si="65"/>
        <v>1130.896761907987</v>
      </c>
      <c r="CD75" s="59">
        <f ca="1">AVERAGE(OFFSET($CC$3,0,0,'Données projet'!$E$12+1,1))-AVERAGE(OFFSET($H$3,0,0,'Données projet'!$E$12+1,1))</f>
        <v>415.97633163853953</v>
      </c>
      <c r="CE75" s="59">
        <f t="shared" si="94"/>
        <v>356.23532720804423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1.1762262101843322</v>
      </c>
      <c r="CL75" s="21">
        <f>EXP(-LN(2)/25)*CL74+(1-EXP(-LN(2)/25))/(LN(2)/25)*Calculateur!CG75*Calculateur!CI75*VLOOKUP('Données projet'!$B$12,Paramètres!$A$1:$I$89,3,0)*0.475*44/12</f>
        <v>4.6935749903096484</v>
      </c>
      <c r="CM75" s="21">
        <f>EXP(-LN(2)/2)*CM74+(1-EXP(-LN(2)/2))/(LN(2)/2)*CG75*CJ75*VLOOKUP('Données projet'!$B$12,Paramètres!$A$1:$I$89,3,0)*0.475*44/12</f>
        <v>1.5104567378682189E-5</v>
      </c>
      <c r="CN75" s="22">
        <f t="shared" si="66"/>
        <v>5.8698163050613594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-4.5474735088646412E-13</v>
      </c>
      <c r="O76" s="13">
        <f>N76*VLOOKUP('Données projet'!$B$9,Paramètres!$A$1:$I$89,3,0)*VLOOKUP('Données projet'!$B$9,Paramètres!$A$1:$I$89,5,0)</f>
        <v>-2.5420376914553347E-13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492.3498626914548</v>
      </c>
      <c r="T76" s="59">
        <f t="shared" si="88"/>
        <v>635.90304180030307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2.3322269008251006</v>
      </c>
      <c r="AA76" s="21">
        <f>EXP(-LN(2)/25)*AA75+(1-EXP(-LN(2)/25))/(LN(2)/25)*Calculateur!V76*Calculateur!X76*VLOOKUP('Données projet'!$B$9,Paramètres!$A$1:$I$89,3,0)*0.475*44/12</f>
        <v>7.343775789843316</v>
      </c>
      <c r="AB76" s="21">
        <f>EXP(-LN(2)/2)*AB75+(1-EXP(-LN(2)/2))/(LN(2)/2)*V76*Y76*VLOOKUP('Données projet'!$B$9,Paramètres!$A$1:$I$89,3,0)*0.475*44/12</f>
        <v>3.9448330960169514E-6</v>
      </c>
      <c r="AC76" s="22">
        <f t="shared" si="57"/>
        <v>9.6760066355015137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175.05987582828078</v>
      </c>
      <c r="AO76" s="59">
        <f t="shared" si="90"/>
        <v>268.54782308462387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2.2466385670502262</v>
      </c>
      <c r="AV76" s="21">
        <f>EXP(-LN(2)/25)*AV75+(1-EXP(-LN(2)/25))/(LN(2)/25)*Calculateur!AQ76*Calculateur!AS76*VLOOKUP('Données projet'!$B$10,Paramètres!$A$1:$I$89,3,0)*0.475*44/12</f>
        <v>5.5128593628579576</v>
      </c>
      <c r="AW76" s="21">
        <f>EXP(-LN(2)/2)*AW75+(1-EXP(-LN(2)/2))/(LN(2)/2)*AQ76*AT76*VLOOKUP('Données projet'!$B$10,Paramètres!$A$1:$I$89,3,0)*0.475*44/12</f>
        <v>3.4896722469119171E-6</v>
      </c>
      <c r="AX76" s="21">
        <f t="shared" si="60"/>
        <v>7.759501419580431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7.2</v>
      </c>
      <c r="BD76" s="12">
        <f>IF('Données projet'!$A$88&gt;35,BD75+BC76-BL75,IF(A76&lt;'Données projet'!$A$88,$BA$205^A76,IF(A76='Données projet'!$A$88,'Données projet'!$B$88,BD75+BC76-BL75)))</f>
        <v>511.6</v>
      </c>
      <c r="BE76" s="13">
        <f>BD76*VLOOKUP('Données projet'!$B$11,Paramètres!$A$1:$I$89,3,0)*VLOOKUP('Données projet'!$B$11,Paramètres!$A$1:$I$89,5,0)</f>
        <v>305.93680000000001</v>
      </c>
      <c r="BF76" s="13">
        <f t="shared" si="91"/>
        <v>72.419621804609037</v>
      </c>
      <c r="BG76" s="20">
        <f t="shared" si="61"/>
        <v>658.97076797636078</v>
      </c>
      <c r="BH76" s="59">
        <f t="shared" si="62"/>
        <v>952.30410130969403</v>
      </c>
      <c r="BI76" s="59">
        <f ca="1">AVERAGE(OFFSET($BH$3,0,0,'Données projet'!$E$11+1,1))-AVERAGE(OFFSET($H$3,0,0,'Données projet'!$E$11+1,1))</f>
        <v>381.78368385345919</v>
      </c>
      <c r="BJ76" s="59">
        <f t="shared" si="92"/>
        <v>257.35575295655639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4.6289588627865035</v>
      </c>
      <c r="BR76" s="21">
        <f>EXP(-LN(2)/2)*BR75+(1-EXP(-LN(2)/2))/(LN(2)/2)*BL76*BO76*VLOOKUP('Données projet'!$B$11,Paramètres!$A$1:$I$89,3,0)*0.475*44/12</f>
        <v>6.0996127532316055E-3</v>
      </c>
      <c r="BS76" s="22">
        <f t="shared" si="63"/>
        <v>4.6350584755397355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20.399999999999999</v>
      </c>
      <c r="BY76" s="12">
        <f>IF('Données projet'!$A$114&gt;35,BY75+BX76-CG75,IF(A76&lt;'Données projet'!$A$114,$BV$205^A76,IF(A76='Données projet'!$A$114,'Données projet'!$B$114,BY75+BX76-CG75)))</f>
        <v>833.2</v>
      </c>
      <c r="BZ76" s="13">
        <f>BY76*VLOOKUP('Données projet'!$B$12,Paramètres!$A$1:$I$89,3,0)*VLOOKUP('Données projet'!$B$12,Paramètres!$A$1:$I$89,5,0)</f>
        <v>400.76920000000001</v>
      </c>
      <c r="CA76" s="13">
        <f t="shared" si="93"/>
        <v>91.932591276196774</v>
      </c>
      <c r="CB76" s="20">
        <f t="shared" si="64"/>
        <v>858.12228647270933</v>
      </c>
      <c r="CC76" s="59">
        <f t="shared" si="65"/>
        <v>1151.4556198060427</v>
      </c>
      <c r="CD76" s="59">
        <f ca="1">AVERAGE(OFFSET($CC$3,0,0,'Données projet'!$E$12+1,1))-AVERAGE(OFFSET($H$3,0,0,'Données projet'!$E$12+1,1))</f>
        <v>415.97633163853953</v>
      </c>
      <c r="CE76" s="59">
        <f t="shared" si="94"/>
        <v>356.23532720804423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1.1531611316297656</v>
      </c>
      <c r="CL76" s="21">
        <f>EXP(-LN(2)/25)*CL75+(1-EXP(-LN(2)/25))/(LN(2)/25)*Calculateur!CG76*Calculateur!CI76*VLOOKUP('Données projet'!$B$12,Paramètres!$A$1:$I$89,3,0)*0.475*44/12</f>
        <v>4.5652289353752495</v>
      </c>
      <c r="CM76" s="21">
        <f>EXP(-LN(2)/2)*CM75+(1-EXP(-LN(2)/2))/(LN(2)/2)*CG76*CJ76*VLOOKUP('Données projet'!$B$12,Paramètres!$A$1:$I$89,3,0)*0.475*44/12</f>
        <v>1.0680542020355291E-5</v>
      </c>
      <c r="CN76" s="22">
        <f t="shared" si="66"/>
        <v>5.7184007475470358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-4.5474735088646412E-13</v>
      </c>
      <c r="O77" s="13">
        <f>N77*VLOOKUP('Données projet'!$B$9,Paramètres!$A$1:$I$89,3,0)*VLOOKUP('Données projet'!$B$9,Paramètres!$A$1:$I$89,5,0)</f>
        <v>-2.5420376914553347E-13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492.3498626914548</v>
      </c>
      <c r="T77" s="59">
        <f t="shared" si="88"/>
        <v>635.90304180030307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2.286493353817868</v>
      </c>
      <c r="AA77" s="21">
        <f>EXP(-LN(2)/25)*AA76+(1-EXP(-LN(2)/25))/(LN(2)/25)*Calculateur!V77*Calculateur!X77*VLOOKUP('Données projet'!$B$9,Paramètres!$A$1:$I$89,3,0)*0.475*44/12</f>
        <v>7.1429598546776658</v>
      </c>
      <c r="AB77" s="21">
        <f>EXP(-LN(2)/2)*AB76+(1-EXP(-LN(2)/2))/(LN(2)/2)*V77*Y77*VLOOKUP('Données projet'!$B$9,Paramètres!$A$1:$I$89,3,0)*0.475*44/12</f>
        <v>2.7894182328427093E-6</v>
      </c>
      <c r="AC77" s="22">
        <f t="shared" si="57"/>
        <v>9.4294559979137667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175.05987582828078</v>
      </c>
      <c r="AO77" s="59">
        <f t="shared" si="90"/>
        <v>268.54782308462387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2.2025833550645899</v>
      </c>
      <c r="AV77" s="21">
        <f>EXP(-LN(2)/25)*AV76+(1-EXP(-LN(2)/25))/(LN(2)/25)*Calculateur!AQ77*Calculateur!AS77*VLOOKUP('Données projet'!$B$10,Paramètres!$A$1:$I$89,3,0)*0.475*44/12</f>
        <v>5.3621099336719329</v>
      </c>
      <c r="AW77" s="21">
        <f>EXP(-LN(2)/2)*AW76+(1-EXP(-LN(2)/2))/(LN(2)/2)*AQ77*AT77*VLOOKUP('Données projet'!$B$10,Paramètres!$A$1:$I$89,3,0)*0.475*44/12</f>
        <v>2.4675709099099126E-6</v>
      </c>
      <c r="AX77" s="21">
        <f t="shared" si="60"/>
        <v>7.5646957563074331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7.2</v>
      </c>
      <c r="BD77" s="12">
        <f>IF('Données projet'!$A$88&gt;35,BD76+BC77-BL76,IF(A77&lt;'Données projet'!$A$88,$BA$205^A77,IF(A77='Données projet'!$A$88,'Données projet'!$B$88,BD76+BC77-BL76)))</f>
        <v>518.80000000000007</v>
      </c>
      <c r="BE77" s="13">
        <f>BD77*VLOOKUP('Données projet'!$B$11,Paramètres!$A$1:$I$89,3,0)*VLOOKUP('Données projet'!$B$11,Paramètres!$A$1:$I$89,5,0)</f>
        <v>310.24240000000009</v>
      </c>
      <c r="BF77" s="13">
        <f t="shared" si="91"/>
        <v>73.319450636463003</v>
      </c>
      <c r="BG77" s="20">
        <f t="shared" si="61"/>
        <v>668.03688985850647</v>
      </c>
      <c r="BH77" s="59">
        <f t="shared" si="62"/>
        <v>961.37022319183984</v>
      </c>
      <c r="BI77" s="59">
        <f ca="1">AVERAGE(OFFSET($BH$3,0,0,'Données projet'!$E$11+1,1))-AVERAGE(OFFSET($H$3,0,0,'Données projet'!$E$11+1,1))</f>
        <v>381.78368385345919</v>
      </c>
      <c r="BJ77" s="59">
        <f t="shared" si="92"/>
        <v>257.35575295655639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4.5023797392572398</v>
      </c>
      <c r="BR77" s="21">
        <f>EXP(-LN(2)/2)*BR76+(1-EXP(-LN(2)/2))/(LN(2)/2)*BL77*BO77*VLOOKUP('Données projet'!$B$11,Paramètres!$A$1:$I$89,3,0)*0.475*44/12</f>
        <v>4.3130775404220155E-3</v>
      </c>
      <c r="BS77" s="22">
        <f t="shared" si="63"/>
        <v>4.5066928167976616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20.399999999999999</v>
      </c>
      <c r="BY77" s="12">
        <f>IF('Données projet'!$A$114&gt;35,BY76+BX77-CG76,IF(A77&lt;'Données projet'!$A$114,$BV$205^A77,IF(A77='Données projet'!$A$114,'Données projet'!$B$114,BY76+BX77-CG76)))</f>
        <v>853.6</v>
      </c>
      <c r="BZ77" s="13">
        <f>BY77*VLOOKUP('Données projet'!$B$12,Paramètres!$A$1:$I$89,3,0)*VLOOKUP('Données projet'!$B$12,Paramètres!$A$1:$I$89,5,0)</f>
        <v>410.58159999999998</v>
      </c>
      <c r="CA77" s="13">
        <f t="shared" si="93"/>
        <v>93.91865141109129</v>
      </c>
      <c r="CB77" s="20">
        <f t="shared" si="64"/>
        <v>878.67127120765053</v>
      </c>
      <c r="CC77" s="59">
        <f t="shared" si="65"/>
        <v>1172.0046045409838</v>
      </c>
      <c r="CD77" s="59">
        <f ca="1">AVERAGE(OFFSET($CC$3,0,0,'Données projet'!$E$12+1,1))-AVERAGE(OFFSET($H$3,0,0,'Données projet'!$E$12+1,1))</f>
        <v>415.97633163853953</v>
      </c>
      <c r="CE77" s="59">
        <f t="shared" si="94"/>
        <v>356.23532720804423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1.1305483451973453</v>
      </c>
      <c r="CL77" s="21">
        <f>EXP(-LN(2)/25)*CL76+(1-EXP(-LN(2)/25))/(LN(2)/25)*Calculateur!CG77*Calculateur!CI77*VLOOKUP('Données projet'!$B$12,Paramètres!$A$1:$I$89,3,0)*0.475*44/12</f>
        <v>4.4403925100624573</v>
      </c>
      <c r="CM77" s="21">
        <f>EXP(-LN(2)/2)*CM76+(1-EXP(-LN(2)/2))/(LN(2)/2)*CG77*CJ77*VLOOKUP('Données projet'!$B$12,Paramètres!$A$1:$I$89,3,0)*0.475*44/12</f>
        <v>7.552283689341096E-6</v>
      </c>
      <c r="CN77" s="22">
        <f t="shared" si="66"/>
        <v>5.5709484075434919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-4.5474735088646412E-13</v>
      </c>
      <c r="O78" s="13">
        <f>N78*VLOOKUP('Données projet'!$B$9,Paramètres!$A$1:$I$89,3,0)*VLOOKUP('Données projet'!$B$9,Paramètres!$A$1:$I$89,5,0)</f>
        <v>-2.5420376914553347E-13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492.3498626914548</v>
      </c>
      <c r="T78" s="59">
        <f t="shared" si="88"/>
        <v>635.90304180030307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2.2416566137727378</v>
      </c>
      <c r="AA78" s="21">
        <f>EXP(-LN(2)/25)*AA77+(1-EXP(-LN(2)/25))/(LN(2)/25)*Calculateur!V78*Calculateur!X78*VLOOKUP('Données projet'!$B$9,Paramètres!$A$1:$I$89,3,0)*0.475*44/12</f>
        <v>6.9476352418195715</v>
      </c>
      <c r="AB78" s="21">
        <f>EXP(-LN(2)/2)*AB77+(1-EXP(-LN(2)/2))/(LN(2)/2)*V78*Y78*VLOOKUP('Données projet'!$B$9,Paramètres!$A$1:$I$89,3,0)*0.475*44/12</f>
        <v>1.9724165480084757E-6</v>
      </c>
      <c r="AC78" s="22">
        <f t="shared" si="57"/>
        <v>9.1892938280088572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175.05987582828078</v>
      </c>
      <c r="AO78" s="59">
        <f t="shared" si="90"/>
        <v>268.54782308462387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2.1593920389149659</v>
      </c>
      <c r="AV78" s="21">
        <f>EXP(-LN(2)/25)*AV77+(1-EXP(-LN(2)/25))/(LN(2)/25)*Calculateur!AQ78*Calculateur!AS78*VLOOKUP('Données projet'!$B$10,Paramètres!$A$1:$I$89,3,0)*0.475*44/12</f>
        <v>5.215482755554568</v>
      </c>
      <c r="AW78" s="21">
        <f>EXP(-LN(2)/2)*AW77+(1-EXP(-LN(2)/2))/(LN(2)/2)*AQ78*AT78*VLOOKUP('Données projet'!$B$10,Paramètres!$A$1:$I$89,3,0)*0.475*44/12</f>
        <v>1.7448361234559585E-6</v>
      </c>
      <c r="AX78" s="21">
        <f t="shared" si="60"/>
        <v>7.3748765393056575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7.2</v>
      </c>
      <c r="BD78" s="12">
        <f>IF('Données projet'!$A$88&gt;35,BD77+BC78-BL77,IF(A78&lt;'Données projet'!$A$88,$BA$205^A78,IF(A78='Données projet'!$A$88,'Données projet'!$B$88,BD77+BC78-BL77)))</f>
        <v>526.00000000000011</v>
      </c>
      <c r="BE78" s="13">
        <f>BD78*VLOOKUP('Données projet'!$B$11,Paramètres!$A$1:$I$89,3,0)*VLOOKUP('Données projet'!$B$11,Paramètres!$A$1:$I$89,5,0)</f>
        <v>314.54800000000012</v>
      </c>
      <c r="BF78" s="13">
        <f t="shared" si="91"/>
        <v>74.217826990800262</v>
      </c>
      <c r="BG78" s="20">
        <f t="shared" si="61"/>
        <v>677.10048200897734</v>
      </c>
      <c r="BH78" s="59">
        <f t="shared" si="62"/>
        <v>970.43381534231071</v>
      </c>
      <c r="BI78" s="59">
        <f ca="1">AVERAGE(OFFSET($BH$3,0,0,'Données projet'!$E$11+1,1))-AVERAGE(OFFSET($H$3,0,0,'Données projet'!$E$11+1,1))</f>
        <v>381.78368385345919</v>
      </c>
      <c r="BJ78" s="59">
        <f t="shared" si="92"/>
        <v>257.35575295655639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4.3792619285173906</v>
      </c>
      <c r="BR78" s="21">
        <f>EXP(-LN(2)/2)*BR77+(1-EXP(-LN(2)/2))/(LN(2)/2)*BL78*BO78*VLOOKUP('Données projet'!$B$11,Paramètres!$A$1:$I$89,3,0)*0.475*44/12</f>
        <v>3.0498063766158027E-3</v>
      </c>
      <c r="BS78" s="22">
        <f t="shared" si="63"/>
        <v>4.3823117348940066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874</v>
      </c>
      <c r="BW78" s="12">
        <f>VLOOKUP(A78,'Données projet'!$A$113:$I$133,9,0)</f>
        <v>20.399999999999999</v>
      </c>
      <c r="BX78" s="12">
        <f t="array" ref="BX78">INDEX(BW:BW,MIN(IF(ISNUMBER(BW78:BW274),ROW(BW78:BW274),"")))</f>
        <v>20.399999999999999</v>
      </c>
      <c r="BY78" s="12">
        <f>IF('Données projet'!$A$114&gt;35,BY77+BX78-CG77,IF(A78&lt;'Données projet'!$A$114,$BV$205^A78,IF(A78='Données projet'!$A$114,'Données projet'!$B$114,BY77+BX78-CG77)))</f>
        <v>874</v>
      </c>
      <c r="BZ78" s="13">
        <f>BY78*VLOOKUP('Données projet'!$B$12,Paramètres!$A$1:$I$89,3,0)*VLOOKUP('Données projet'!$B$12,Paramètres!$A$1:$I$89,5,0)</f>
        <v>420.39400000000001</v>
      </c>
      <c r="CA78" s="13">
        <f t="shared" si="93"/>
        <v>95.899193810129589</v>
      </c>
      <c r="CB78" s="20">
        <f t="shared" si="64"/>
        <v>899.21064588597574</v>
      </c>
      <c r="CC78" s="59">
        <f t="shared" si="65"/>
        <v>1192.543979219309</v>
      </c>
      <c r="CD78" s="59">
        <f ca="1">AVERAGE(OFFSET($CC$3,0,0,'Données projet'!$E$12+1,1))-AVERAGE(OFFSET($H$3,0,0,'Données projet'!$E$12+1,1))</f>
        <v>415.97633163853953</v>
      </c>
      <c r="CE78" s="59">
        <f t="shared" si="94"/>
        <v>356.23532720804423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58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1.1083789817144269</v>
      </c>
      <c r="CL78" s="21">
        <f>EXP(-LN(2)/25)*CL77+(1-EXP(-LN(2)/25))/(LN(2)/25)*Calculateur!CG78*Calculateur!CI78*VLOOKUP('Données projet'!$B$12,Paramètres!$A$1:$I$89,3,0)*0.475*44/12</f>
        <v>4.3189697433647058</v>
      </c>
      <c r="CM78" s="21">
        <f>EXP(-LN(2)/2)*CM77+(1-EXP(-LN(2)/2))/(LN(2)/2)*CG78*CJ78*VLOOKUP('Données projet'!$B$12,Paramètres!$A$1:$I$89,3,0)*0.475*44/12</f>
        <v>5.3402710101776465E-6</v>
      </c>
      <c r="CN78" s="22">
        <f t="shared" si="66"/>
        <v>5.4273540653501433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-4.5474735088646412E-13</v>
      </c>
      <c r="O79" s="13">
        <f>N79*VLOOKUP('Données projet'!$B$9,Paramètres!$A$1:$I$89,3,0)*VLOOKUP('Données projet'!$B$9,Paramètres!$A$1:$I$89,5,0)</f>
        <v>-2.5420376914553347E-13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492.3498626914548</v>
      </c>
      <c r="T79" s="59">
        <f t="shared" si="88"/>
        <v>635.90304180030307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2.1976990948521817</v>
      </c>
      <c r="AA79" s="21">
        <f>EXP(-LN(2)/25)*AA78+(1-EXP(-LN(2)/25))/(LN(2)/25)*Calculateur!V79*Calculateur!X79*VLOOKUP('Données projet'!$B$9,Paramètres!$A$1:$I$89,3,0)*0.475*44/12</f>
        <v>6.7576517907717566</v>
      </c>
      <c r="AB79" s="21">
        <f>EXP(-LN(2)/2)*AB78+(1-EXP(-LN(2)/2))/(LN(2)/2)*V79*Y79*VLOOKUP('Données projet'!$B$9,Paramètres!$A$1:$I$89,3,0)*0.475*44/12</f>
        <v>1.3947091164213546E-6</v>
      </c>
      <c r="AC79" s="22">
        <f t="shared" si="57"/>
        <v>8.9553522803330541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175.05987582828078</v>
      </c>
      <c r="AO79" s="59">
        <f t="shared" si="90"/>
        <v>268.54782308462387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2.1170476781309344</v>
      </c>
      <c r="AV79" s="21">
        <f>EXP(-LN(2)/25)*AV78+(1-EXP(-LN(2)/25))/(LN(2)/25)*Calculateur!AQ79*Calculateur!AS79*VLOOKUP('Données projet'!$B$10,Paramètres!$A$1:$I$89,3,0)*0.475*44/12</f>
        <v>5.0728651053336105</v>
      </c>
      <c r="AW79" s="21">
        <f>EXP(-LN(2)/2)*AW78+(1-EXP(-LN(2)/2))/(LN(2)/2)*AQ79*AT79*VLOOKUP('Données projet'!$B$10,Paramètres!$A$1:$I$89,3,0)*0.475*44/12</f>
        <v>1.2337854549549563E-6</v>
      </c>
      <c r="AX79" s="21">
        <f t="shared" si="60"/>
        <v>7.1899140172499996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7.2</v>
      </c>
      <c r="BD79" s="12">
        <f>IF('Données projet'!$A$88&gt;35,BD78+BC79-BL78,IF(A79&lt;'Données projet'!$A$88,$BA$205^A79,IF(A79='Données projet'!$A$88,'Données projet'!$B$88,BD78+BC79-BL78)))</f>
        <v>533.20000000000016</v>
      </c>
      <c r="BE79" s="13">
        <f>BD79*VLOOKUP('Données projet'!$B$11,Paramètres!$A$1:$I$89,3,0)*VLOOKUP('Données projet'!$B$11,Paramètres!$A$1:$I$89,5,0)</f>
        <v>318.85360000000009</v>
      </c>
      <c r="BF79" s="13">
        <f t="shared" si="91"/>
        <v>75.114773047407027</v>
      </c>
      <c r="BG79" s="20">
        <f t="shared" si="61"/>
        <v>686.16158305756733</v>
      </c>
      <c r="BH79" s="59">
        <f t="shared" si="62"/>
        <v>979.4949163909007</v>
      </c>
      <c r="BI79" s="59">
        <f ca="1">AVERAGE(OFFSET($BH$3,0,0,'Données projet'!$E$11+1,1))-AVERAGE(OFFSET($H$3,0,0,'Données projet'!$E$11+1,1))</f>
        <v>381.78368385345919</v>
      </c>
      <c r="BJ79" s="59">
        <f t="shared" si="92"/>
        <v>257.35575295655639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4.259510780786707</v>
      </c>
      <c r="BR79" s="21">
        <f>EXP(-LN(2)/2)*BR78+(1-EXP(-LN(2)/2))/(LN(2)/2)*BL79*BO79*VLOOKUP('Données projet'!$B$11,Paramètres!$A$1:$I$89,3,0)*0.475*44/12</f>
        <v>2.1565387702110078E-3</v>
      </c>
      <c r="BS79" s="22">
        <f t="shared" si="63"/>
        <v>4.2616673195569179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18.600000000000001</v>
      </c>
      <c r="BY79" s="12">
        <f>IF('Données projet'!$A$114&gt;35,BY78+BX79-CG78,IF(A79&lt;'Données projet'!$A$114,$BV$205^A79,IF(A79='Données projet'!$A$114,'Données projet'!$B$114,BY78+BX79-CG78)))</f>
        <v>834.6</v>
      </c>
      <c r="BZ79" s="13">
        <f>BY79*VLOOKUP('Données projet'!$B$12,Paramètres!$A$1:$I$89,3,0)*VLOOKUP('Données projet'!$B$12,Paramètres!$A$1:$I$89,5,0)</f>
        <v>401.44260000000003</v>
      </c>
      <c r="CA79" s="13">
        <f t="shared" si="93"/>
        <v>92.069068926669985</v>
      </c>
      <c r="CB79" s="20">
        <f t="shared" si="64"/>
        <v>859.53282338061706</v>
      </c>
      <c r="CC79" s="59">
        <f t="shared" si="65"/>
        <v>1152.8661567139504</v>
      </c>
      <c r="CD79" s="59">
        <f ca="1">AVERAGE(OFFSET($CC$3,0,0,'Données projet'!$E$12+1,1))-AVERAGE(OFFSET($H$3,0,0,'Données projet'!$E$12+1,1))</f>
        <v>415.97633163853953</v>
      </c>
      <c r="CE79" s="59">
        <f t="shared" si="94"/>
        <v>356.23532720804423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1.086644345927432</v>
      </c>
      <c r="CL79" s="21">
        <f>EXP(-LN(2)/25)*CL78+(1-EXP(-LN(2)/25))/(LN(2)/25)*Calculateur!CG79*Calculateur!CI79*VLOOKUP('Données projet'!$B$12,Paramètres!$A$1:$I$89,3,0)*0.475*44/12</f>
        <v>4.2008672886076504</v>
      </c>
      <c r="CM79" s="21">
        <f>EXP(-LN(2)/2)*CM78+(1-EXP(-LN(2)/2))/(LN(2)/2)*CG79*CJ79*VLOOKUP('Données projet'!$B$12,Paramètres!$A$1:$I$89,3,0)*0.475*44/12</f>
        <v>3.7761418446705484E-6</v>
      </c>
      <c r="CN79" s="22">
        <f t="shared" si="66"/>
        <v>5.2875154106769271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-4.5474735088646412E-13</v>
      </c>
      <c r="O80" s="13">
        <f>N80*VLOOKUP('Données projet'!$B$9,Paramètres!$A$1:$I$89,3,0)*VLOOKUP('Données projet'!$B$9,Paramètres!$A$1:$I$89,5,0)</f>
        <v>-2.5420376914553347E-13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492.3498626914548</v>
      </c>
      <c r="T80" s="59">
        <f t="shared" si="88"/>
        <v>635.90304180030307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2.1546035560662187</v>
      </c>
      <c r="AA80" s="21">
        <f>EXP(-LN(2)/25)*AA79+(1-EXP(-LN(2)/25))/(LN(2)/25)*Calculateur!V80*Calculateur!X80*VLOOKUP('Données projet'!$B$9,Paramètres!$A$1:$I$89,3,0)*0.475*44/12</f>
        <v>6.5728634471836402</v>
      </c>
      <c r="AB80" s="21">
        <f>EXP(-LN(2)/2)*AB79+(1-EXP(-LN(2)/2))/(LN(2)/2)*V80*Y80*VLOOKUP('Données projet'!$B$9,Paramètres!$A$1:$I$89,3,0)*0.475*44/12</f>
        <v>9.8620827400423784E-7</v>
      </c>
      <c r="AC80" s="22">
        <f t="shared" si="57"/>
        <v>8.727467989458134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175.05987582828078</v>
      </c>
      <c r="AO80" s="59">
        <f t="shared" si="90"/>
        <v>268.54782308462387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2.075533664434368</v>
      </c>
      <c r="AV80" s="21">
        <f>EXP(-LN(2)/25)*AV79+(1-EXP(-LN(2)/25))/(LN(2)/25)*Calculateur!AQ80*Calculateur!AS80*VLOOKUP('Données projet'!$B$10,Paramètres!$A$1:$I$89,3,0)*0.475*44/12</f>
        <v>4.934147342257881</v>
      </c>
      <c r="AW80" s="21">
        <f>EXP(-LN(2)/2)*AW79+(1-EXP(-LN(2)/2))/(LN(2)/2)*AQ80*AT80*VLOOKUP('Données projet'!$B$10,Paramètres!$A$1:$I$89,3,0)*0.475*44/12</f>
        <v>8.7241806172797927E-7</v>
      </c>
      <c r="AX80" s="21">
        <f t="shared" si="60"/>
        <v>7.0096818791103104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7.2</v>
      </c>
      <c r="BD80" s="12">
        <f>IF('Données projet'!$A$88&gt;35,BD79+BC80-BL79,IF(A80&lt;'Données projet'!$A$88,$BA$205^A80,IF(A80='Données projet'!$A$88,'Données projet'!$B$88,BD79+BC80-BL79)))</f>
        <v>540.4000000000002</v>
      </c>
      <c r="BE80" s="13">
        <f>BD80*VLOOKUP('Données projet'!$B$11,Paramètres!$A$1:$I$89,3,0)*VLOOKUP('Données projet'!$B$11,Paramètres!$A$1:$I$89,5,0)</f>
        <v>323.15920000000017</v>
      </c>
      <c r="BF80" s="13">
        <f t="shared" si="91"/>
        <v>76.010310352644041</v>
      </c>
      <c r="BG80" s="20">
        <f t="shared" si="61"/>
        <v>695.22023053085525</v>
      </c>
      <c r="BH80" s="59">
        <f t="shared" si="62"/>
        <v>988.55356386418862</v>
      </c>
      <c r="BI80" s="59">
        <f ca="1">AVERAGE(OFFSET($BH$3,0,0,'Données projet'!$E$11+1,1))-AVERAGE(OFFSET($H$3,0,0,'Données projet'!$E$11+1,1))</f>
        <v>381.78368385345919</v>
      </c>
      <c r="BJ80" s="59">
        <f t="shared" si="92"/>
        <v>257.35575295655639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4.1430342344881579</v>
      </c>
      <c r="BR80" s="21">
        <f>EXP(-LN(2)/2)*BR79+(1-EXP(-LN(2)/2))/(LN(2)/2)*BL80*BO80*VLOOKUP('Données projet'!$B$11,Paramètres!$A$1:$I$89,3,0)*0.475*44/12</f>
        <v>1.5249031883079014E-3</v>
      </c>
      <c r="BS80" s="22">
        <f t="shared" si="63"/>
        <v>4.1445591376764659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18.600000000000001</v>
      </c>
      <c r="BY80" s="12">
        <f>IF('Données projet'!$A$114&gt;35,BY79+BX80-CG79,IF(A80&lt;'Données projet'!$A$114,$BV$205^A80,IF(A80='Données projet'!$A$114,'Données projet'!$B$114,BY79+BX80-CG79)))</f>
        <v>853.2</v>
      </c>
      <c r="BZ80" s="13">
        <f>BY80*VLOOKUP('Données projet'!$B$12,Paramètres!$A$1:$I$89,3,0)*VLOOKUP('Données projet'!$B$12,Paramètres!$A$1:$I$89,5,0)</f>
        <v>410.38920000000007</v>
      </c>
      <c r="CA80" s="13">
        <f t="shared" si="93"/>
        <v>93.879762571330062</v>
      </c>
      <c r="CB80" s="20">
        <f t="shared" si="64"/>
        <v>878.26844314506661</v>
      </c>
      <c r="CC80" s="59">
        <f t="shared" si="65"/>
        <v>1171.6017764783999</v>
      </c>
      <c r="CD80" s="59">
        <f ca="1">AVERAGE(OFFSET($CC$3,0,0,'Données projet'!$E$12+1,1))-AVERAGE(OFFSET($H$3,0,0,'Données projet'!$E$12+1,1))</f>
        <v>415.97633163853953</v>
      </c>
      <c r="CE80" s="59">
        <f t="shared" si="94"/>
        <v>356.23532720804423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1.0653359130914013</v>
      </c>
      <c r="CL80" s="21">
        <f>EXP(-LN(2)/25)*CL79+(1-EXP(-LN(2)/25))/(LN(2)/25)*Calculateur!CG80*Calculateur!CI80*VLOOKUP('Données projet'!$B$12,Paramètres!$A$1:$I$89,3,0)*0.475*44/12</f>
        <v>4.085994351686665</v>
      </c>
      <c r="CM80" s="21">
        <f>EXP(-LN(2)/2)*CM79+(1-EXP(-LN(2)/2))/(LN(2)/2)*CG80*CJ80*VLOOKUP('Données projet'!$B$12,Paramètres!$A$1:$I$89,3,0)*0.475*44/12</f>
        <v>2.6701355050888237E-6</v>
      </c>
      <c r="CN80" s="22">
        <f t="shared" si="66"/>
        <v>5.1513329349135706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-4.5474735088646412E-13</v>
      </c>
      <c r="O81" s="13">
        <f>N81*VLOOKUP('Données projet'!$B$9,Paramètres!$A$1:$I$89,3,0)*VLOOKUP('Données projet'!$B$9,Paramètres!$A$1:$I$89,5,0)</f>
        <v>-2.5420376914553347E-13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492.3498626914548</v>
      </c>
      <c r="T81" s="59">
        <f t="shared" si="88"/>
        <v>635.90304180030307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2.1123530945101652</v>
      </c>
      <c r="AA81" s="21">
        <f>EXP(-LN(2)/25)*AA80+(1-EXP(-LN(2)/25))/(LN(2)/25)*Calculateur!V81*Calculateur!X81*VLOOKUP('Données projet'!$B$9,Paramètres!$A$1:$I$89,3,0)*0.475*44/12</f>
        <v>6.3931281505685371</v>
      </c>
      <c r="AB81" s="21">
        <f>EXP(-LN(2)/2)*AB80+(1-EXP(-LN(2)/2))/(LN(2)/2)*V81*Y81*VLOOKUP('Données projet'!$B$9,Paramètres!$A$1:$I$89,3,0)*0.475*44/12</f>
        <v>6.9735455821067731E-7</v>
      </c>
      <c r="AC81" s="22">
        <f t="shared" si="57"/>
        <v>8.5054819424332599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175.05987582828078</v>
      </c>
      <c r="AO81" s="59">
        <f t="shared" si="90"/>
        <v>268.54782308462387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2.0348337152253433</v>
      </c>
      <c r="AV81" s="21">
        <f>EXP(-LN(2)/25)*AV80+(1-EXP(-LN(2)/25))/(LN(2)/25)*Calculateur!AQ81*Calculateur!AS81*VLOOKUP('Données projet'!$B$10,Paramètres!$A$1:$I$89,3,0)*0.475*44/12</f>
        <v>4.7992228237083072</v>
      </c>
      <c r="AW81" s="21">
        <f>EXP(-LN(2)/2)*AW80+(1-EXP(-LN(2)/2))/(LN(2)/2)*AQ81*AT81*VLOOKUP('Données projet'!$B$10,Paramètres!$A$1:$I$89,3,0)*0.475*44/12</f>
        <v>6.1689272747747814E-7</v>
      </c>
      <c r="AX81" s="21">
        <f t="shared" si="60"/>
        <v>6.8340571558263772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7.2</v>
      </c>
      <c r="BD81" s="12">
        <f>IF('Données projet'!$A$88&gt;35,BD80+BC81-BL80,IF(A81&lt;'Données projet'!$A$88,$BA$205^A81,IF(A81='Données projet'!$A$88,'Données projet'!$B$88,BD80+BC81-BL80)))</f>
        <v>547.60000000000025</v>
      </c>
      <c r="BE81" s="13">
        <f>BD81*VLOOKUP('Données projet'!$B$11,Paramètres!$A$1:$I$89,3,0)*VLOOKUP('Données projet'!$B$11,Paramètres!$A$1:$I$89,5,0)</f>
        <v>327.4648000000002</v>
      </c>
      <c r="BF81" s="13">
        <f t="shared" si="91"/>
        <v>76.904459845729548</v>
      </c>
      <c r="BG81" s="20">
        <f t="shared" si="61"/>
        <v>704.27646089797929</v>
      </c>
      <c r="BH81" s="59">
        <f t="shared" si="62"/>
        <v>997.60979423131266</v>
      </c>
      <c r="BI81" s="59">
        <f ca="1">AVERAGE(OFFSET($BH$3,0,0,'Données projet'!$E$11+1,1))-AVERAGE(OFFSET($H$3,0,0,'Données projet'!$E$11+1,1))</f>
        <v>381.78368385345919</v>
      </c>
      <c r="BJ81" s="59">
        <f t="shared" si="92"/>
        <v>257.35575295655639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4.0297427454733779</v>
      </c>
      <c r="BR81" s="21">
        <f>EXP(-LN(2)/2)*BR80+(1-EXP(-LN(2)/2))/(LN(2)/2)*BL81*BO81*VLOOKUP('Données projet'!$B$11,Paramètres!$A$1:$I$89,3,0)*0.475*44/12</f>
        <v>1.0782693851055039E-3</v>
      </c>
      <c r="BS81" s="22">
        <f t="shared" si="63"/>
        <v>4.0308210148584838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18.600000000000001</v>
      </c>
      <c r="BY81" s="12">
        <f>IF('Données projet'!$A$114&gt;35,BY80+BX81-CG80,IF(A81&lt;'Données projet'!$A$114,$BV$205^A81,IF(A81='Données projet'!$A$114,'Données projet'!$B$114,BY80+BX81-CG80)))</f>
        <v>871.80000000000007</v>
      </c>
      <c r="BZ81" s="13">
        <f>BY81*VLOOKUP('Données projet'!$B$12,Paramètres!$A$1:$I$89,3,0)*VLOOKUP('Données projet'!$B$12,Paramètres!$A$1:$I$89,5,0)</f>
        <v>419.33580000000006</v>
      </c>
      <c r="CA81" s="13">
        <f t="shared" si="93"/>
        <v>95.685866925899333</v>
      </c>
      <c r="CB81" s="20">
        <f t="shared" si="64"/>
        <v>896.99606989594133</v>
      </c>
      <c r="CC81" s="59">
        <f t="shared" si="65"/>
        <v>1190.3294032292747</v>
      </c>
      <c r="CD81" s="59">
        <f ca="1">AVERAGE(OFFSET($CC$3,0,0,'Données projet'!$E$12+1,1))-AVERAGE(OFFSET($H$3,0,0,'Données projet'!$E$12+1,1))</f>
        <v>415.97633163853953</v>
      </c>
      <c r="CE81" s="59">
        <f t="shared" si="94"/>
        <v>356.23532720804423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1.0444453256264243</v>
      </c>
      <c r="CL81" s="21">
        <f>EXP(-LN(2)/25)*CL80+(1-EXP(-LN(2)/25))/(LN(2)/25)*Calculateur!CG81*Calculateur!CI81*VLOOKUP('Données projet'!$B$12,Paramètres!$A$1:$I$89,3,0)*0.475*44/12</f>
        <v>3.9742626212666887</v>
      </c>
      <c r="CM81" s="21">
        <f>EXP(-LN(2)/2)*CM80+(1-EXP(-LN(2)/2))/(LN(2)/2)*CG81*CJ81*VLOOKUP('Données projet'!$B$12,Paramètres!$A$1:$I$89,3,0)*0.475*44/12</f>
        <v>1.8880709223352744E-6</v>
      </c>
      <c r="CN81" s="22">
        <f t="shared" si="66"/>
        <v>5.018709834964036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-4.5474735088646412E-13</v>
      </c>
      <c r="O82" s="13">
        <f>N82*VLOOKUP('Données projet'!$B$9,Paramètres!$A$1:$I$89,3,0)*VLOOKUP('Données projet'!$B$9,Paramètres!$A$1:$I$89,5,0)</f>
        <v>-2.5420376914553347E-13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492.3498626914548</v>
      </c>
      <c r="T82" s="59">
        <f t="shared" si="88"/>
        <v>635.90304180030307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2.0709311387349887</v>
      </c>
      <c r="AA82" s="21">
        <f>EXP(-LN(2)/25)*AA81+(1-EXP(-LN(2)/25))/(LN(2)/25)*Calculateur!V82*Calculateur!X82*VLOOKUP('Données projet'!$B$9,Paramètres!$A$1:$I$89,3,0)*0.475*44/12</f>
        <v>6.2183077250912424</v>
      </c>
      <c r="AB82" s="21">
        <f>EXP(-LN(2)/2)*AB81+(1-EXP(-LN(2)/2))/(LN(2)/2)*V82*Y82*VLOOKUP('Données projet'!$B$9,Paramètres!$A$1:$I$89,3,0)*0.475*44/12</f>
        <v>4.9310413700211892E-7</v>
      </c>
      <c r="AC82" s="22">
        <f t="shared" si="57"/>
        <v>8.2892393569303682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175.05987582828078</v>
      </c>
      <c r="AO82" s="59">
        <f t="shared" si="90"/>
        <v>268.54782308462387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1.9949318671957896</v>
      </c>
      <c r="AV82" s="21">
        <f>EXP(-LN(2)/25)*AV81+(1-EXP(-LN(2)/25))/(LN(2)/25)*Calculateur!AQ82*Calculateur!AS82*VLOOKUP('Données projet'!$B$10,Paramètres!$A$1:$I$89,3,0)*0.475*44/12</f>
        <v>4.6679878232138439</v>
      </c>
      <c r="AW82" s="21">
        <f>EXP(-LN(2)/2)*AW81+(1-EXP(-LN(2)/2))/(LN(2)/2)*AQ82*AT82*VLOOKUP('Données projet'!$B$10,Paramètres!$A$1:$I$89,3,0)*0.475*44/12</f>
        <v>4.3620903086398964E-7</v>
      </c>
      <c r="AX82" s="21">
        <f t="shared" si="60"/>
        <v>6.6629201266186646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7.2</v>
      </c>
      <c r="BD82" s="12">
        <f>IF('Données projet'!$A$88&gt;35,BD81+BC82-BL81,IF(A82&lt;'Données projet'!$A$88,$BA$205^A82,IF(A82='Données projet'!$A$88,'Données projet'!$B$88,BD81+BC82-BL81)))</f>
        <v>554.8000000000003</v>
      </c>
      <c r="BE82" s="13">
        <f>BD82*VLOOKUP('Données projet'!$B$11,Paramètres!$A$1:$I$89,3,0)*VLOOKUP('Données projet'!$B$11,Paramètres!$A$1:$I$89,5,0)</f>
        <v>331.77040000000017</v>
      </c>
      <c r="BF82" s="13">
        <f t="shared" si="91"/>
        <v>77.797241883601728</v>
      </c>
      <c r="BG82" s="20">
        <f t="shared" si="61"/>
        <v>713.3303096139399</v>
      </c>
      <c r="BH82" s="59">
        <f t="shared" si="62"/>
        <v>1006.6636429472733</v>
      </c>
      <c r="BI82" s="59">
        <f ca="1">AVERAGE(OFFSET($BH$3,0,0,'Données projet'!$E$11+1,1))-AVERAGE(OFFSET($H$3,0,0,'Données projet'!$E$11+1,1))</f>
        <v>381.78368385345919</v>
      </c>
      <c r="BJ82" s="59">
        <f t="shared" si="92"/>
        <v>257.35575295655639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3.9195492181834473</v>
      </c>
      <c r="BR82" s="21">
        <f>EXP(-LN(2)/2)*BR81+(1-EXP(-LN(2)/2))/(LN(2)/2)*BL82*BO82*VLOOKUP('Données projet'!$B$11,Paramètres!$A$1:$I$89,3,0)*0.475*44/12</f>
        <v>7.6245159415395068E-4</v>
      </c>
      <c r="BS82" s="22">
        <f t="shared" si="63"/>
        <v>3.9203116697776013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18.600000000000001</v>
      </c>
      <c r="BY82" s="12">
        <f>IF('Données projet'!$A$114&gt;35,BY81+BX82-CG81,IF(A82&lt;'Données projet'!$A$114,$BV$205^A82,IF(A82='Données projet'!$A$114,'Données projet'!$B$114,BY81+BX82-CG81)))</f>
        <v>890.40000000000009</v>
      </c>
      <c r="BZ82" s="13">
        <f>BY82*VLOOKUP('Données projet'!$B$12,Paramètres!$A$1:$I$89,3,0)*VLOOKUP('Données projet'!$B$12,Paramètres!$A$1:$I$89,5,0)</f>
        <v>428.28240000000005</v>
      </c>
      <c r="CA82" s="13">
        <f t="shared" si="93"/>
        <v>97.487491181871334</v>
      </c>
      <c r="CB82" s="20">
        <f t="shared" si="64"/>
        <v>915.7158938084259</v>
      </c>
      <c r="CC82" s="59">
        <f t="shared" si="65"/>
        <v>1209.0492271417593</v>
      </c>
      <c r="CD82" s="59">
        <f ca="1">AVERAGE(OFFSET($CC$3,0,0,'Données projet'!$E$12+1,1))-AVERAGE(OFFSET($H$3,0,0,'Données projet'!$E$12+1,1))</f>
        <v>415.97633163853953</v>
      </c>
      <c r="CE82" s="59">
        <f t="shared" si="94"/>
        <v>356.23532720804423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1.0239643898396356</v>
      </c>
      <c r="CL82" s="21">
        <f>EXP(-LN(2)/25)*CL81+(1-EXP(-LN(2)/25))/(LN(2)/25)*Calculateur!CG82*Calculateur!CI82*VLOOKUP('Données projet'!$B$12,Paramètres!$A$1:$I$89,3,0)*0.475*44/12</f>
        <v>3.8655862008907631</v>
      </c>
      <c r="CM82" s="21">
        <f>EXP(-LN(2)/2)*CM81+(1-EXP(-LN(2)/2))/(LN(2)/2)*CG82*CJ82*VLOOKUP('Données projet'!$B$12,Paramètres!$A$1:$I$89,3,0)*0.475*44/12</f>
        <v>1.3350677525444121E-6</v>
      </c>
      <c r="CN82" s="22">
        <f t="shared" si="66"/>
        <v>4.889551925798151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-4.5474735088646412E-13</v>
      </c>
      <c r="O83" s="13">
        <f>N83*VLOOKUP('Données projet'!$B$9,Paramètres!$A$1:$I$89,3,0)*VLOOKUP('Données projet'!$B$9,Paramètres!$A$1:$I$89,5,0)</f>
        <v>-2.5420376914553347E-13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492.3498626914548</v>
      </c>
      <c r="T83" s="59">
        <f t="shared" si="88"/>
        <v>635.90304180030307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2.030321442247665</v>
      </c>
      <c r="AA83" s="21">
        <f>EXP(-LN(2)/25)*AA82+(1-EXP(-LN(2)/25))/(LN(2)/25)*Calculateur!V83*Calculateur!X83*VLOOKUP('Données projet'!$B$9,Paramètres!$A$1:$I$89,3,0)*0.475*44/12</f>
        <v>6.0482677733420314</v>
      </c>
      <c r="AB83" s="21">
        <f>EXP(-LN(2)/2)*AB82+(1-EXP(-LN(2)/2))/(LN(2)/2)*V83*Y83*VLOOKUP('Données projet'!$B$9,Paramètres!$A$1:$I$89,3,0)*0.475*44/12</f>
        <v>3.4867727910533866E-7</v>
      </c>
      <c r="AC83" s="22">
        <f t="shared" si="57"/>
        <v>8.0785895642669754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175.05987582828078</v>
      </c>
      <c r="AO83" s="59">
        <f t="shared" si="90"/>
        <v>268.54782308462387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1.9558124700683712</v>
      </c>
      <c r="AV83" s="21">
        <f>EXP(-LN(2)/25)*AV82+(1-EXP(-LN(2)/25))/(LN(2)/25)*Calculateur!AQ83*Calculateur!AS83*VLOOKUP('Données projet'!$B$10,Paramètres!$A$1:$I$89,3,0)*0.475*44/12</f>
        <v>4.5403414507092501</v>
      </c>
      <c r="AW83" s="21">
        <f>EXP(-LN(2)/2)*AW82+(1-EXP(-LN(2)/2))/(LN(2)/2)*AQ83*AT83*VLOOKUP('Données projet'!$B$10,Paramètres!$A$1:$I$89,3,0)*0.475*44/12</f>
        <v>3.0844636373873907E-7</v>
      </c>
      <c r="AX83" s="21">
        <f t="shared" si="60"/>
        <v>6.4961542292239844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562</v>
      </c>
      <c r="BB83" s="12">
        <f>VLOOKUP(A83,'Données projet'!$A$87:$I$107,9,0)</f>
        <v>7.2</v>
      </c>
      <c r="BC83" s="12">
        <f t="array" ref="BC83">INDEX(BB:BB,MIN(IF(ISNUMBER(BB83:BB279),ROW(BB83:BB279),"")))</f>
        <v>7.2</v>
      </c>
      <c r="BD83" s="12">
        <f>IF('Données projet'!$A$88&gt;35,BD82+BC83-BL82,IF(A83&lt;'Données projet'!$A$88,$BA$205^A83,IF(A83='Données projet'!$A$88,'Données projet'!$B$88,BD82+BC83-BL82)))</f>
        <v>562.00000000000034</v>
      </c>
      <c r="BE83" s="13">
        <f>BD83*VLOOKUP('Données projet'!$B$11,Paramètres!$A$1:$I$89,3,0)*VLOOKUP('Données projet'!$B$11,Paramètres!$A$1:$I$89,5,0)</f>
        <v>336.07600000000019</v>
      </c>
      <c r="BF83" s="13">
        <f t="shared" si="91"/>
        <v>78.688676264452312</v>
      </c>
      <c r="BG83" s="20">
        <f t="shared" si="61"/>
        <v>722.3818111605882</v>
      </c>
      <c r="BH83" s="59">
        <f t="shared" si="62"/>
        <v>1015.7151444939216</v>
      </c>
      <c r="BI83" s="59">
        <f ca="1">AVERAGE(OFFSET($BH$3,0,0,'Données projet'!$E$11+1,1))-AVERAGE(OFFSET($H$3,0,0,'Données projet'!$E$11+1,1))</f>
        <v>381.78368385345919</v>
      </c>
      <c r="BJ83" s="59">
        <f t="shared" si="92"/>
        <v>257.35575295655639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36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3.8123689386920856</v>
      </c>
      <c r="BR83" s="21">
        <f>EXP(-LN(2)/2)*BR82+(1-EXP(-LN(2)/2))/(LN(2)/2)*BL83*BO83*VLOOKUP('Données projet'!$B$11,Paramètres!$A$1:$I$89,3,0)*0.475*44/12</f>
        <v>5.3913469255275194E-4</v>
      </c>
      <c r="BS83" s="22">
        <f t="shared" si="63"/>
        <v>3.8129080733846386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909</v>
      </c>
      <c r="BW83" s="12">
        <f>VLOOKUP(A83,'Données projet'!$A$113:$I$133,9,0)</f>
        <v>18.600000000000001</v>
      </c>
      <c r="BX83" s="12">
        <f t="array" ref="BX83">INDEX(BW:BW,MIN(IF(ISNUMBER(BW83:BW279),ROW(BW83:BW279),"")))</f>
        <v>18.600000000000001</v>
      </c>
      <c r="BY83" s="12">
        <f>IF('Données projet'!$A$114&gt;35,BY82+BX83-CG82,IF(A83&lt;'Données projet'!$A$114,$BV$205^A83,IF(A83='Données projet'!$A$114,'Données projet'!$B$114,BY82+BX83-CG82)))</f>
        <v>909.00000000000011</v>
      </c>
      <c r="BZ83" s="13">
        <f>BY83*VLOOKUP('Données projet'!$B$12,Paramètres!$A$1:$I$89,3,0)*VLOOKUP('Données projet'!$B$12,Paramètres!$A$1:$I$89,5,0)</f>
        <v>437.22900000000004</v>
      </c>
      <c r="CA83" s="13">
        <f t="shared" si="93"/>
        <v>99.284739708138957</v>
      </c>
      <c r="CB83" s="20">
        <f t="shared" si="64"/>
        <v>934.42809665834204</v>
      </c>
      <c r="CC83" s="59">
        <f t="shared" si="65"/>
        <v>1227.7614299916754</v>
      </c>
      <c r="CD83" s="59">
        <f ca="1">AVERAGE(OFFSET($CC$3,0,0,'Données projet'!$E$12+1,1))-AVERAGE(OFFSET($H$3,0,0,'Données projet'!$E$12+1,1))</f>
        <v>415.97633163853953</v>
      </c>
      <c r="CE83" s="59">
        <f t="shared" si="94"/>
        <v>356.23532720804423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909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1.0038850727114883</v>
      </c>
      <c r="CL83" s="21">
        <f>EXP(-LN(2)/25)*CL82+(1-EXP(-LN(2)/25))/(LN(2)/25)*Calculateur!CG83*Calculateur!CI83*VLOOKUP('Données projet'!$B$12,Paramètres!$A$1:$I$89,3,0)*0.475*44/12</f>
        <v>3.7598815429450618</v>
      </c>
      <c r="CM83" s="21">
        <f>EXP(-LN(2)/2)*CM82+(1-EXP(-LN(2)/2))/(LN(2)/2)*CG83*CJ83*VLOOKUP('Données projet'!$B$12,Paramètres!$A$1:$I$89,3,0)*0.475*44/12</f>
        <v>9.4403546116763743E-7</v>
      </c>
      <c r="CN83" s="22">
        <f t="shared" si="66"/>
        <v>4.7637675596920115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-4.5474735088646412E-13</v>
      </c>
      <c r="O84" s="13">
        <f>N84*VLOOKUP('Données projet'!$B$9,Paramètres!$A$1:$I$89,3,0)*VLOOKUP('Données projet'!$B$9,Paramètres!$A$1:$I$89,5,0)</f>
        <v>-2.5420376914553347E-13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492.3498626914548</v>
      </c>
      <c r="T84" s="59">
        <f t="shared" si="88"/>
        <v>635.90304180030307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1.9905080771389887</v>
      </c>
      <c r="AA84" s="21">
        <f>EXP(-LN(2)/25)*AA83+(1-EXP(-LN(2)/25))/(LN(2)/25)*Calculateur!V84*Calculateur!X84*VLOOKUP('Données projet'!$B$9,Paramètres!$A$1:$I$89,3,0)*0.475*44/12</f>
        <v>5.8828775730154153</v>
      </c>
      <c r="AB84" s="21">
        <f>EXP(-LN(2)/2)*AB83+(1-EXP(-LN(2)/2))/(LN(2)/2)*V84*Y84*VLOOKUP('Données projet'!$B$9,Paramètres!$A$1:$I$89,3,0)*0.475*44/12</f>
        <v>2.4655206850105946E-7</v>
      </c>
      <c r="AC84" s="22">
        <f t="shared" si="57"/>
        <v>7.8733858967064725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175.05987582828078</v>
      </c>
      <c r="AO84" s="59">
        <f t="shared" si="90"/>
        <v>268.54782308462387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1.9174601804581453</v>
      </c>
      <c r="AV84" s="21">
        <f>EXP(-LN(2)/25)*AV83+(1-EXP(-LN(2)/25))/(LN(2)/25)*Calculateur!AQ84*Calculateur!AS84*VLOOKUP('Données projet'!$B$10,Paramètres!$A$1:$I$89,3,0)*0.475*44/12</f>
        <v>4.4161855749734258</v>
      </c>
      <c r="AW84" s="21">
        <f>EXP(-LN(2)/2)*AW83+(1-EXP(-LN(2)/2))/(LN(2)/2)*AQ84*AT84*VLOOKUP('Données projet'!$B$10,Paramètres!$A$1:$I$89,3,0)*0.475*44/12</f>
        <v>2.1810451543199482E-7</v>
      </c>
      <c r="AX84" s="21">
        <f t="shared" si="60"/>
        <v>6.333645973536087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</v>
      </c>
      <c r="BD84" s="12">
        <f>IF('Données projet'!$A$88&gt;35,BD83+BC84-BL83,IF(A84&lt;'Données projet'!$A$88,$BA$205^A84,IF(A84='Données projet'!$A$88,'Données projet'!$B$88,BD83+BC84-BL83)))</f>
        <v>532.60000000000036</v>
      </c>
      <c r="BE84" s="13">
        <f>BD84*VLOOKUP('Données projet'!$B$11,Paramètres!$A$1:$I$89,3,0)*VLOOKUP('Données projet'!$B$11,Paramètres!$A$1:$I$89,5,0)</f>
        <v>318.49480000000023</v>
      </c>
      <c r="BF84" s="13">
        <f t="shared" si="91"/>
        <v>75.040081642259693</v>
      </c>
      <c r="BG84" s="20">
        <f t="shared" si="61"/>
        <v>685.40658552693594</v>
      </c>
      <c r="BH84" s="59">
        <f t="shared" si="62"/>
        <v>978.7399188602692</v>
      </c>
      <c r="BI84" s="59">
        <f ca="1">AVERAGE(OFFSET($BH$3,0,0,'Données projet'!$E$11+1,1))-AVERAGE(OFFSET($H$3,0,0,'Données projet'!$E$11+1,1))</f>
        <v>381.78368385345919</v>
      </c>
      <c r="BJ84" s="59">
        <f t="shared" si="92"/>
        <v>257.35575295655639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3.7081195095797814</v>
      </c>
      <c r="BR84" s="21">
        <f>EXP(-LN(2)/2)*BR83+(1-EXP(-LN(2)/2))/(LN(2)/2)*BL84*BO84*VLOOKUP('Données projet'!$B$11,Paramètres!$A$1:$I$89,3,0)*0.475*44/12</f>
        <v>3.8122579707697534E-4</v>
      </c>
      <c r="BS84" s="22">
        <f t="shared" si="63"/>
        <v>3.7085007353768584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1.1368683772161603E-13</v>
      </c>
      <c r="BZ84" s="13">
        <f>BY84*VLOOKUP('Données projet'!$B$12,Paramètres!$A$1:$I$89,3,0)*VLOOKUP('Données projet'!$B$12,Paramètres!$A$1:$I$89,5,0)</f>
        <v>5.4683368944097308E-14</v>
      </c>
      <c r="CA84" s="13">
        <f t="shared" si="93"/>
        <v>8.8129432816788268E-13</v>
      </c>
      <c r="CB84" s="20">
        <f t="shared" si="64"/>
        <v>1.6301611558033651E-12</v>
      </c>
      <c r="CC84" s="59">
        <f t="shared" si="65"/>
        <v>293.33333333333496</v>
      </c>
      <c r="CD84" s="59">
        <f ca="1">AVERAGE(OFFSET($CC$3,0,0,'Données projet'!$E$12+1,1))-AVERAGE(OFFSET($H$3,0,0,'Données projet'!$E$12+1,1))</f>
        <v>415.97633163853953</v>
      </c>
      <c r="CE84" s="59">
        <f t="shared" si="94"/>
        <v>356.23532720804423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0.98419949874504986</v>
      </c>
      <c r="CL84" s="21">
        <f>EXP(-LN(2)/25)*CL83+(1-EXP(-LN(2)/25))/(LN(2)/25)*Calculateur!CG84*Calculateur!CI84*VLOOKUP('Données projet'!$B$12,Paramètres!$A$1:$I$89,3,0)*0.475*44/12</f>
        <v>3.6570673844296522</v>
      </c>
      <c r="CM84" s="21">
        <f>EXP(-LN(2)/2)*CM83+(1-EXP(-LN(2)/2))/(LN(2)/2)*CG84*CJ84*VLOOKUP('Données projet'!$B$12,Paramètres!$A$1:$I$89,3,0)*0.475*44/12</f>
        <v>6.6753387627220613E-7</v>
      </c>
      <c r="CN84" s="22">
        <f t="shared" si="66"/>
        <v>4.6412675507085783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-4.5474735088646412E-13</v>
      </c>
      <c r="O85" s="13">
        <f>N85*VLOOKUP('Données projet'!$B$9,Paramètres!$A$1:$I$89,3,0)*VLOOKUP('Données projet'!$B$9,Paramètres!$A$1:$I$89,5,0)</f>
        <v>-2.5420376914553347E-13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492.3498626914548</v>
      </c>
      <c r="T85" s="59">
        <f t="shared" si="88"/>
        <v>635.90304180030307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1.9514754278363386</v>
      </c>
      <c r="AA85" s="21">
        <f>EXP(-LN(2)/25)*AA84+(1-EXP(-LN(2)/25))/(LN(2)/25)*Calculateur!V85*Calculateur!X85*VLOOKUP('Données projet'!$B$9,Paramètres!$A$1:$I$89,3,0)*0.475*44/12</f>
        <v>5.7220099764142223</v>
      </c>
      <c r="AB85" s="21">
        <f>EXP(-LN(2)/2)*AB84+(1-EXP(-LN(2)/2))/(LN(2)/2)*V85*Y85*VLOOKUP('Données projet'!$B$9,Paramètres!$A$1:$I$89,3,0)*0.475*44/12</f>
        <v>1.7433863955266933E-7</v>
      </c>
      <c r="AC85" s="22">
        <f t="shared" si="57"/>
        <v>7.6734855785892009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175.05987582828078</v>
      </c>
      <c r="AO85" s="59">
        <f t="shared" si="90"/>
        <v>268.54782308462387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1.8798599558545892</v>
      </c>
      <c r="AV85" s="21">
        <f>EXP(-LN(2)/25)*AV84+(1-EXP(-LN(2)/25))/(LN(2)/25)*Calculateur!AQ85*Calculateur!AS85*VLOOKUP('Données projet'!$B$10,Paramètres!$A$1:$I$89,3,0)*0.475*44/12</f>
        <v>4.2954247481886716</v>
      </c>
      <c r="AW85" s="21">
        <f>EXP(-LN(2)/2)*AW84+(1-EXP(-LN(2)/2))/(LN(2)/2)*AQ85*AT85*VLOOKUP('Données projet'!$B$10,Paramètres!$A$1:$I$89,3,0)*0.475*44/12</f>
        <v>1.5422318186936954E-7</v>
      </c>
      <c r="AX85" s="21">
        <f t="shared" si="60"/>
        <v>6.1752848582664424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</v>
      </c>
      <c r="BD85" s="12">
        <f>IF('Données projet'!$A$88&gt;35,BD84+BC85-BL84,IF(A85&lt;'Données projet'!$A$88,$BA$205^A85,IF(A85='Données projet'!$A$88,'Données projet'!$B$88,BD84+BC85-BL84)))</f>
        <v>539.20000000000039</v>
      </c>
      <c r="BE85" s="13">
        <f>BD85*VLOOKUP('Données projet'!$B$11,Paramètres!$A$1:$I$89,3,0)*VLOOKUP('Données projet'!$B$11,Paramètres!$A$1:$I$89,5,0)</f>
        <v>322.44160000000022</v>
      </c>
      <c r="BF85" s="13">
        <f t="shared" si="91"/>
        <v>75.861151069099279</v>
      </c>
      <c r="BG85" s="20">
        <f t="shared" si="61"/>
        <v>693.71062477868156</v>
      </c>
      <c r="BH85" s="59">
        <f t="shared" si="62"/>
        <v>987.04395811201493</v>
      </c>
      <c r="BI85" s="59">
        <f ca="1">AVERAGE(OFFSET($BH$3,0,0,'Données projet'!$E$11+1,1))-AVERAGE(OFFSET($H$3,0,0,'Données projet'!$E$11+1,1))</f>
        <v>381.78368385345919</v>
      </c>
      <c r="BJ85" s="59">
        <f t="shared" si="92"/>
        <v>257.35575295655639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3.6067207865887925</v>
      </c>
      <c r="BR85" s="21">
        <f>EXP(-LN(2)/2)*BR84+(1-EXP(-LN(2)/2))/(LN(2)/2)*BL85*BO85*VLOOKUP('Données projet'!$B$11,Paramètres!$A$1:$I$89,3,0)*0.475*44/12</f>
        <v>2.6956734627637597E-4</v>
      </c>
      <c r="BS85" s="22">
        <f t="shared" si="63"/>
        <v>3.6069903539350689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1.1368683772161603E-13</v>
      </c>
      <c r="BZ85" s="13">
        <f>BY85*VLOOKUP('Données projet'!$B$12,Paramètres!$A$1:$I$89,3,0)*VLOOKUP('Données projet'!$B$12,Paramètres!$A$1:$I$89,5,0)</f>
        <v>5.4683368944097308E-14</v>
      </c>
      <c r="CA85" s="13">
        <f t="shared" si="93"/>
        <v>8.8129432816788268E-13</v>
      </c>
      <c r="CB85" s="20">
        <f t="shared" si="64"/>
        <v>1.6301611558033651E-12</v>
      </c>
      <c r="CC85" s="59">
        <f t="shared" si="65"/>
        <v>293.33333333333496</v>
      </c>
      <c r="CD85" s="59">
        <f ca="1">AVERAGE(OFFSET($CC$3,0,0,'Données projet'!$E$12+1,1))-AVERAGE(OFFSET($H$3,0,0,'Données projet'!$E$12+1,1))</f>
        <v>415.97633163853953</v>
      </c>
      <c r="CE85" s="59">
        <f t="shared" si="94"/>
        <v>356.23532720804423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0.9648999468770787</v>
      </c>
      <c r="CL85" s="21">
        <f>EXP(-LN(2)/25)*CL84+(1-EXP(-LN(2)/25))/(LN(2)/25)*Calculateur!CG85*Calculateur!CI85*VLOOKUP('Données projet'!$B$12,Paramètres!$A$1:$I$89,3,0)*0.475*44/12</f>
        <v>3.5570646844856078</v>
      </c>
      <c r="CM85" s="21">
        <f>EXP(-LN(2)/2)*CM84+(1-EXP(-LN(2)/2))/(LN(2)/2)*CG85*CJ85*VLOOKUP('Données projet'!$B$12,Paramètres!$A$1:$I$89,3,0)*0.475*44/12</f>
        <v>4.7201773058381877E-7</v>
      </c>
      <c r="CN85" s="22">
        <f t="shared" si="66"/>
        <v>4.5219651033804169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-4.5474735088646412E-13</v>
      </c>
      <c r="O86" s="13">
        <f>N86*VLOOKUP('Données projet'!$B$9,Paramètres!$A$1:$I$89,3,0)*VLOOKUP('Données projet'!$B$9,Paramètres!$A$1:$I$89,5,0)</f>
        <v>-2.5420376914553347E-13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492.3498626914548</v>
      </c>
      <c r="T86" s="59">
        <f t="shared" si="88"/>
        <v>635.90304180030307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1.9132081849789484</v>
      </c>
      <c r="AA86" s="21">
        <f>EXP(-LN(2)/25)*AA85+(1-EXP(-LN(2)/25))/(LN(2)/25)*Calculateur!V86*Calculateur!X86*VLOOKUP('Données projet'!$B$9,Paramètres!$A$1:$I$89,3,0)*0.475*44/12</f>
        <v>5.5655413127017486</v>
      </c>
      <c r="AB86" s="21">
        <f>EXP(-LN(2)/2)*AB85+(1-EXP(-LN(2)/2))/(LN(2)/2)*V86*Y86*VLOOKUP('Données projet'!$B$9,Paramètres!$A$1:$I$89,3,0)*0.475*44/12</f>
        <v>1.2327603425052973E-7</v>
      </c>
      <c r="AC86" s="22">
        <f t="shared" si="57"/>
        <v>7.478749620956731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175.05987582828078</v>
      </c>
      <c r="AO86" s="59">
        <f t="shared" si="90"/>
        <v>268.54782308462387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1.8429970487216363</v>
      </c>
      <c r="AV86" s="21">
        <f>EXP(-LN(2)/25)*AV85+(1-EXP(-LN(2)/25))/(LN(2)/25)*Calculateur!AQ86*Calculateur!AS86*VLOOKUP('Données projet'!$B$10,Paramètres!$A$1:$I$89,3,0)*0.475*44/12</f>
        <v>4.1779661325628821</v>
      </c>
      <c r="AW86" s="21">
        <f>EXP(-LN(2)/2)*AW85+(1-EXP(-LN(2)/2))/(LN(2)/2)*AQ86*AT86*VLOOKUP('Données projet'!$B$10,Paramètres!$A$1:$I$89,3,0)*0.475*44/12</f>
        <v>1.0905225771599741E-7</v>
      </c>
      <c r="AX86" s="21">
        <f t="shared" si="60"/>
        <v>6.020963290336776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</v>
      </c>
      <c r="BD86" s="12">
        <f>IF('Données projet'!$A$88&gt;35,BD85+BC86-BL85,IF(A86&lt;'Données projet'!$A$88,$BA$205^A86,IF(A86='Données projet'!$A$88,'Données projet'!$B$88,BD85+BC86-BL85)))</f>
        <v>545.80000000000041</v>
      </c>
      <c r="BE86" s="13">
        <f>BD86*VLOOKUP('Données projet'!$B$11,Paramètres!$A$1:$I$89,3,0)*VLOOKUP('Données projet'!$B$11,Paramètres!$A$1:$I$89,5,0)</f>
        <v>326.38840000000027</v>
      </c>
      <c r="BF86" s="13">
        <f t="shared" si="91"/>
        <v>76.681051456851932</v>
      </c>
      <c r="BG86" s="20">
        <f t="shared" si="61"/>
        <v>702.0126279540176</v>
      </c>
      <c r="BH86" s="59">
        <f t="shared" si="62"/>
        <v>995.34596128735097</v>
      </c>
      <c r="BI86" s="59">
        <f ca="1">AVERAGE(OFFSET($BH$3,0,0,'Données projet'!$E$11+1,1))-AVERAGE(OFFSET($H$3,0,0,'Données projet'!$E$11+1,1))</f>
        <v>381.78368385345919</v>
      </c>
      <c r="BJ86" s="59">
        <f t="shared" si="92"/>
        <v>257.35575295655639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3.5080948170103192</v>
      </c>
      <c r="BR86" s="21">
        <f>EXP(-LN(2)/2)*BR85+(1-EXP(-LN(2)/2))/(LN(2)/2)*BL86*BO86*VLOOKUP('Données projet'!$B$11,Paramètres!$A$1:$I$89,3,0)*0.475*44/12</f>
        <v>1.9061289853848767E-4</v>
      </c>
      <c r="BS86" s="22">
        <f t="shared" si="63"/>
        <v>3.5082854299088577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1.1368683772161603E-13</v>
      </c>
      <c r="BZ86" s="13">
        <f>BY86*VLOOKUP('Données projet'!$B$12,Paramètres!$A$1:$I$89,3,0)*VLOOKUP('Données projet'!$B$12,Paramètres!$A$1:$I$89,5,0)</f>
        <v>5.4683368944097308E-14</v>
      </c>
      <c r="CA86" s="13">
        <f t="shared" si="93"/>
        <v>8.8129432816788268E-13</v>
      </c>
      <c r="CB86" s="20">
        <f t="shared" si="64"/>
        <v>1.6301611558033651E-12</v>
      </c>
      <c r="CC86" s="59">
        <f t="shared" si="65"/>
        <v>293.33333333333496</v>
      </c>
      <c r="CD86" s="59">
        <f ca="1">AVERAGE(OFFSET($CC$3,0,0,'Données projet'!$E$12+1,1))-AVERAGE(OFFSET($H$3,0,0,'Données projet'!$E$12+1,1))</f>
        <v>415.97633163853953</v>
      </c>
      <c r="CE86" s="59">
        <f t="shared" si="94"/>
        <v>356.23532720804423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0.9459788474496742</v>
      </c>
      <c r="CL86" s="21">
        <f>EXP(-LN(2)/25)*CL85+(1-EXP(-LN(2)/25))/(LN(2)/25)*Calculateur!CG86*Calculateur!CI86*VLOOKUP('Données projet'!$B$12,Paramètres!$A$1:$I$89,3,0)*0.475*44/12</f>
        <v>3.4597965636304466</v>
      </c>
      <c r="CM86" s="21">
        <f>EXP(-LN(2)/2)*CM85+(1-EXP(-LN(2)/2))/(LN(2)/2)*CG86*CJ86*VLOOKUP('Données projet'!$B$12,Paramètres!$A$1:$I$89,3,0)*0.475*44/12</f>
        <v>3.3376693813610312E-7</v>
      </c>
      <c r="CN86" s="22">
        <f t="shared" si="66"/>
        <v>4.4057757448470598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-4.5474735088646412E-13</v>
      </c>
      <c r="O87" s="13">
        <f>N87*VLOOKUP('Données projet'!$B$9,Paramètres!$A$1:$I$89,3,0)*VLOOKUP('Données projet'!$B$9,Paramètres!$A$1:$I$89,5,0)</f>
        <v>-2.5420376914553347E-13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492.3498626914548</v>
      </c>
      <c r="T87" s="59">
        <f t="shared" si="88"/>
        <v>635.90304180030307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1.8756913394132781</v>
      </c>
      <c r="AA87" s="21">
        <f>EXP(-LN(2)/25)*AA86+(1-EXP(-LN(2)/25))/(LN(2)/25)*Calculateur!V87*Calculateur!X87*VLOOKUP('Données projet'!$B$9,Paramètres!$A$1:$I$89,3,0)*0.475*44/12</f>
        <v>5.4133512928268219</v>
      </c>
      <c r="AB87" s="21">
        <f>EXP(-LN(2)/2)*AB86+(1-EXP(-LN(2)/2))/(LN(2)/2)*V87*Y87*VLOOKUP('Données projet'!$B$9,Paramètres!$A$1:$I$89,3,0)*0.475*44/12</f>
        <v>8.7169319776334664E-8</v>
      </c>
      <c r="AC87" s="22">
        <f t="shared" si="57"/>
        <v>7.2890427194094203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175.05987582828078</v>
      </c>
      <c r="AO87" s="59">
        <f t="shared" si="90"/>
        <v>268.54782308462387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1.8068570007134073</v>
      </c>
      <c r="AV87" s="21">
        <f>EXP(-LN(2)/25)*AV86+(1-EXP(-LN(2)/25))/(LN(2)/25)*Calculateur!AQ87*Calculateur!AS87*VLOOKUP('Données projet'!$B$10,Paramètres!$A$1:$I$89,3,0)*0.475*44/12</f>
        <v>4.0637194289582599</v>
      </c>
      <c r="AW87" s="21">
        <f>EXP(-LN(2)/2)*AW86+(1-EXP(-LN(2)/2))/(LN(2)/2)*AQ87*AT87*VLOOKUP('Données projet'!$B$10,Paramètres!$A$1:$I$89,3,0)*0.475*44/12</f>
        <v>7.7111590934684768E-8</v>
      </c>
      <c r="AX87" s="21">
        <f t="shared" si="60"/>
        <v>5.8705765067832578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</v>
      </c>
      <c r="BD87" s="12">
        <f>IF('Données projet'!$A$88&gt;35,BD86+BC87-BL86,IF(A87&lt;'Données projet'!$A$88,$BA$205^A87,IF(A87='Données projet'!$A$88,'Données projet'!$B$88,BD86+BC87-BL86)))</f>
        <v>552.40000000000043</v>
      </c>
      <c r="BE87" s="13">
        <f>BD87*VLOOKUP('Données projet'!$B$11,Paramètres!$A$1:$I$89,3,0)*VLOOKUP('Données projet'!$B$11,Paramètres!$A$1:$I$89,5,0)</f>
        <v>330.33520000000027</v>
      </c>
      <c r="BF87" s="13">
        <f t="shared" si="91"/>
        <v>77.499798577088214</v>
      </c>
      <c r="BG87" s="20">
        <f t="shared" si="61"/>
        <v>710.31262252176236</v>
      </c>
      <c r="BH87" s="59">
        <f t="shared" si="62"/>
        <v>1003.6459558550957</v>
      </c>
      <c r="BI87" s="59">
        <f ca="1">AVERAGE(OFFSET($BH$3,0,0,'Données projet'!$E$11+1,1))-AVERAGE(OFFSET($H$3,0,0,'Données projet'!$E$11+1,1))</f>
        <v>381.78368385345919</v>
      </c>
      <c r="BJ87" s="59">
        <f t="shared" si="92"/>
        <v>257.35575295655639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3.4121657797564833</v>
      </c>
      <c r="BR87" s="21">
        <f>EXP(-LN(2)/2)*BR86+(1-EXP(-LN(2)/2))/(LN(2)/2)*BL87*BO87*VLOOKUP('Données projet'!$B$11,Paramètres!$A$1:$I$89,3,0)*0.475*44/12</f>
        <v>1.3478367313818799E-4</v>
      </c>
      <c r="BS87" s="22">
        <f t="shared" si="63"/>
        <v>3.4123005634296213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1.1368683772161603E-13</v>
      </c>
      <c r="BZ87" s="13">
        <f>BY87*VLOOKUP('Données projet'!$B$12,Paramètres!$A$1:$I$89,3,0)*VLOOKUP('Données projet'!$B$12,Paramètres!$A$1:$I$89,5,0)</f>
        <v>5.4683368944097308E-14</v>
      </c>
      <c r="CA87" s="13">
        <f t="shared" si="93"/>
        <v>8.8129432816788268E-13</v>
      </c>
      <c r="CB87" s="20">
        <f t="shared" si="64"/>
        <v>1.6301611558033651E-12</v>
      </c>
      <c r="CC87" s="59">
        <f t="shared" si="65"/>
        <v>293.33333333333496</v>
      </c>
      <c r="CD87" s="59">
        <f ca="1">AVERAGE(OFFSET($CC$3,0,0,'Données projet'!$E$12+1,1))-AVERAGE(OFFSET($H$3,0,0,'Données projet'!$E$12+1,1))</f>
        <v>415.97633163853953</v>
      </c>
      <c r="CE87" s="59">
        <f t="shared" si="94"/>
        <v>356.23532720804423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0.92742877924130995</v>
      </c>
      <c r="CL87" s="21">
        <f>EXP(-LN(2)/25)*CL86+(1-EXP(-LN(2)/25))/(LN(2)/25)*Calculateur!CG87*Calculateur!CI87*VLOOKUP('Données projet'!$B$12,Paramètres!$A$1:$I$89,3,0)*0.475*44/12</f>
        <v>3.3651882446551782</v>
      </c>
      <c r="CM87" s="21">
        <f>EXP(-LN(2)/2)*CM86+(1-EXP(-LN(2)/2))/(LN(2)/2)*CG87*CJ87*VLOOKUP('Données projet'!$B$12,Paramètres!$A$1:$I$89,3,0)*0.475*44/12</f>
        <v>2.3600886529190944E-7</v>
      </c>
      <c r="CN87" s="22">
        <f t="shared" si="66"/>
        <v>4.2926172599053531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-4.5474735088646412E-13</v>
      </c>
      <c r="O88" s="13">
        <f>N88*VLOOKUP('Données projet'!$B$9,Paramètres!$A$1:$I$89,3,0)*VLOOKUP('Données projet'!$B$9,Paramètres!$A$1:$I$89,5,0)</f>
        <v>-2.5420376914553347E-13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492.3498626914548</v>
      </c>
      <c r="T88" s="59">
        <f t="shared" si="88"/>
        <v>635.90304180030307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1.8389101763061344</v>
      </c>
      <c r="AA88" s="21">
        <f>EXP(-LN(2)/25)*AA87+(1-EXP(-LN(2)/25))/(LN(2)/25)*Calculateur!V88*Calculateur!X88*VLOOKUP('Données projet'!$B$9,Paramètres!$A$1:$I$89,3,0)*0.475*44/12</f>
        <v>5.2653229170487004</v>
      </c>
      <c r="AB88" s="21">
        <f>EXP(-LN(2)/2)*AB87+(1-EXP(-LN(2)/2))/(LN(2)/2)*V88*Y88*VLOOKUP('Données projet'!$B$9,Paramètres!$A$1:$I$89,3,0)*0.475*44/12</f>
        <v>6.1638017125264865E-8</v>
      </c>
      <c r="AC88" s="22">
        <f t="shared" si="57"/>
        <v>7.1042331549928521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175.05987582828078</v>
      </c>
      <c r="AO88" s="59">
        <f t="shared" si="90"/>
        <v>268.54782308462387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1.771425637003367</v>
      </c>
      <c r="AV88" s="21">
        <f>EXP(-LN(2)/25)*AV87+(1-EXP(-LN(2)/25))/(LN(2)/25)*Calculateur!AQ88*Calculateur!AS88*VLOOKUP('Données projet'!$B$10,Paramètres!$A$1:$I$89,3,0)*0.475*44/12</f>
        <v>3.9525968074716791</v>
      </c>
      <c r="AW88" s="21">
        <f>EXP(-LN(2)/2)*AW87+(1-EXP(-LN(2)/2))/(LN(2)/2)*AQ88*AT88*VLOOKUP('Données projet'!$B$10,Paramètres!$A$1:$I$89,3,0)*0.475*44/12</f>
        <v>5.4526128857998704E-8</v>
      </c>
      <c r="AX88" s="21">
        <f t="shared" si="60"/>
        <v>5.7240224990011743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</v>
      </c>
      <c r="BD88" s="12">
        <f>IF('Données projet'!$A$88&gt;35,BD87+BC88-BL87,IF(A88&lt;'Données projet'!$A$88,$BA$205^A88,IF(A88='Données projet'!$A$88,'Données projet'!$B$88,BD87+BC88-BL87)))</f>
        <v>559.00000000000045</v>
      </c>
      <c r="BE88" s="13">
        <f>BD88*VLOOKUP('Données projet'!$B$11,Paramètres!$A$1:$I$89,3,0)*VLOOKUP('Données projet'!$B$11,Paramètres!$A$1:$I$89,5,0)</f>
        <v>334.28200000000027</v>
      </c>
      <c r="BF88" s="13">
        <f t="shared" si="91"/>
        <v>78.317407802820071</v>
      </c>
      <c r="BG88" s="20">
        <f t="shared" si="61"/>
        <v>718.6106352565788</v>
      </c>
      <c r="BH88" s="59">
        <f t="shared" si="62"/>
        <v>1011.9439685899122</v>
      </c>
      <c r="BI88" s="59">
        <f ca="1">AVERAGE(OFFSET($BH$3,0,0,'Données projet'!$E$11+1,1))-AVERAGE(OFFSET($H$3,0,0,'Données projet'!$E$11+1,1))</f>
        <v>381.78368385345919</v>
      </c>
      <c r="BJ88" s="59">
        <f t="shared" si="92"/>
        <v>257.35575295655639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3.3188599270710424</v>
      </c>
      <c r="BR88" s="21">
        <f>EXP(-LN(2)/2)*BR87+(1-EXP(-LN(2)/2))/(LN(2)/2)*BL88*BO88*VLOOKUP('Données projet'!$B$11,Paramètres!$A$1:$I$89,3,0)*0.475*44/12</f>
        <v>9.5306449269243836E-5</v>
      </c>
      <c r="BS88" s="22">
        <f t="shared" si="63"/>
        <v>3.3189552335203114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1.1368683772161603E-13</v>
      </c>
      <c r="BZ88" s="13">
        <f>BY88*VLOOKUP('Données projet'!$B$12,Paramètres!$A$1:$I$89,3,0)*VLOOKUP('Données projet'!$B$12,Paramètres!$A$1:$I$89,5,0)</f>
        <v>5.4683368944097308E-14</v>
      </c>
      <c r="CA88" s="13">
        <f t="shared" si="93"/>
        <v>8.8129432816788268E-13</v>
      </c>
      <c r="CB88" s="20">
        <f t="shared" si="64"/>
        <v>1.6301611558033651E-12</v>
      </c>
      <c r="CC88" s="59">
        <f t="shared" si="65"/>
        <v>293.33333333333496</v>
      </c>
      <c r="CD88" s="59">
        <f ca="1">AVERAGE(OFFSET($CC$3,0,0,'Données projet'!$E$12+1,1))-AVERAGE(OFFSET($H$3,0,0,'Données projet'!$E$12+1,1))</f>
        <v>415.97633163853953</v>
      </c>
      <c r="CE88" s="59">
        <f t="shared" si="94"/>
        <v>356.23532720804423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0.90924246655608731</v>
      </c>
      <c r="CL88" s="21">
        <f>EXP(-LN(2)/25)*CL87+(1-EXP(-LN(2)/25))/(LN(2)/25)*Calculateur!CG88*Calculateur!CI88*VLOOKUP('Données projet'!$B$12,Paramètres!$A$1:$I$89,3,0)*0.475*44/12</f>
        <v>3.2731669951375237</v>
      </c>
      <c r="CM88" s="21">
        <f>EXP(-LN(2)/2)*CM87+(1-EXP(-LN(2)/2))/(LN(2)/2)*CG88*CJ88*VLOOKUP('Données projet'!$B$12,Paramètres!$A$1:$I$89,3,0)*0.475*44/12</f>
        <v>1.6688346906805159E-7</v>
      </c>
      <c r="CN88" s="22">
        <f t="shared" si="66"/>
        <v>4.18240962857708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-4.5474735088646412E-13</v>
      </c>
      <c r="O89" s="13">
        <f>N89*VLOOKUP('Données projet'!$B$9,Paramètres!$A$1:$I$89,3,0)*VLOOKUP('Données projet'!$B$9,Paramètres!$A$1:$I$89,5,0)</f>
        <v>-2.5420376914553347E-13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492.3498626914548</v>
      </c>
      <c r="T89" s="59">
        <f t="shared" si="88"/>
        <v>635.90304180030307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1.8028502693732273</v>
      </c>
      <c r="AA89" s="21">
        <f>EXP(-LN(2)/25)*AA88+(1-EXP(-LN(2)/25))/(LN(2)/25)*Calculateur!V89*Calculateur!X89*VLOOKUP('Données projet'!$B$9,Paramètres!$A$1:$I$89,3,0)*0.475*44/12</f>
        <v>5.1213423849907054</v>
      </c>
      <c r="AB89" s="21">
        <f>EXP(-LN(2)/2)*AB88+(1-EXP(-LN(2)/2))/(LN(2)/2)*V89*Y89*VLOOKUP('Données projet'!$B$9,Paramètres!$A$1:$I$89,3,0)*0.475*44/12</f>
        <v>4.3584659888167332E-8</v>
      </c>
      <c r="AC89" s="22">
        <f t="shared" si="57"/>
        <v>6.9241926979485928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175.05987582828078</v>
      </c>
      <c r="AO89" s="59">
        <f t="shared" si="90"/>
        <v>268.54782308462387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1.7366890607246828</v>
      </c>
      <c r="AV89" s="21">
        <f>EXP(-LN(2)/25)*AV88+(1-EXP(-LN(2)/25))/(LN(2)/25)*Calculateur!AQ89*Calculateur!AS89*VLOOKUP('Données projet'!$B$10,Paramètres!$A$1:$I$89,3,0)*0.475*44/12</f>
        <v>3.8445128399133335</v>
      </c>
      <c r="AW89" s="21">
        <f>EXP(-LN(2)/2)*AW88+(1-EXP(-LN(2)/2))/(LN(2)/2)*AQ89*AT89*VLOOKUP('Données projet'!$B$10,Paramètres!$A$1:$I$89,3,0)*0.475*44/12</f>
        <v>3.8555795467342384E-8</v>
      </c>
      <c r="AX89" s="21">
        <f t="shared" si="60"/>
        <v>5.5812019391938117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</v>
      </c>
      <c r="BD89" s="12">
        <f>IF('Données projet'!$A$88&gt;35,BD88+BC89-BL88,IF(A89&lt;'Données projet'!$A$88,$BA$205^A89,IF(A89='Données projet'!$A$88,'Données projet'!$B$88,BD88+BC89-BL88)))</f>
        <v>565.60000000000048</v>
      </c>
      <c r="BE89" s="13">
        <f>BD89*VLOOKUP('Données projet'!$B$11,Paramètres!$A$1:$I$89,3,0)*VLOOKUP('Données projet'!$B$11,Paramètres!$A$1:$I$89,5,0)</f>
        <v>338.22880000000032</v>
      </c>
      <c r="BF89" s="13">
        <f t="shared" si="91"/>
        <v>79.133894123157802</v>
      </c>
      <c r="BG89" s="20">
        <f t="shared" si="61"/>
        <v>726.90669226450029</v>
      </c>
      <c r="BH89" s="59">
        <f t="shared" si="62"/>
        <v>1020.2400255978337</v>
      </c>
      <c r="BI89" s="59">
        <f ca="1">AVERAGE(OFFSET($BH$3,0,0,'Données projet'!$E$11+1,1))-AVERAGE(OFFSET($H$3,0,0,'Données projet'!$E$11+1,1))</f>
        <v>381.78368385345919</v>
      </c>
      <c r="BJ89" s="59">
        <f t="shared" si="92"/>
        <v>257.35575295655639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3.2281055278340265</v>
      </c>
      <c r="BR89" s="21">
        <f>EXP(-LN(2)/2)*BR88+(1-EXP(-LN(2)/2))/(LN(2)/2)*BL89*BO89*VLOOKUP('Données projet'!$B$11,Paramètres!$A$1:$I$89,3,0)*0.475*44/12</f>
        <v>6.7391836569093993E-5</v>
      </c>
      <c r="BS89" s="22">
        <f t="shared" si="63"/>
        <v>3.2281729196705955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1.1368683772161603E-13</v>
      </c>
      <c r="BZ89" s="13">
        <f>BY89*VLOOKUP('Données projet'!$B$12,Paramètres!$A$1:$I$89,3,0)*VLOOKUP('Données projet'!$B$12,Paramètres!$A$1:$I$89,5,0)</f>
        <v>5.4683368944097308E-14</v>
      </c>
      <c r="CA89" s="13">
        <f t="shared" si="93"/>
        <v>8.8129432816788268E-13</v>
      </c>
      <c r="CB89" s="20">
        <f t="shared" si="64"/>
        <v>1.6301611558033651E-12</v>
      </c>
      <c r="CC89" s="59">
        <f t="shared" si="65"/>
        <v>293.33333333333496</v>
      </c>
      <c r="CD89" s="59">
        <f ca="1">AVERAGE(OFFSET($CC$3,0,0,'Données projet'!$E$12+1,1))-AVERAGE(OFFSET($H$3,0,0,'Données projet'!$E$12+1,1))</f>
        <v>415.97633163853953</v>
      </c>
      <c r="CE89" s="59">
        <f t="shared" si="94"/>
        <v>356.23532720804423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0.89141277637006655</v>
      </c>
      <c r="CL89" s="21">
        <f>EXP(-LN(2)/25)*CL88+(1-EXP(-LN(2)/25))/(LN(2)/25)*Calculateur!CG89*Calculateur!CI89*VLOOKUP('Données projet'!$B$12,Paramètres!$A$1:$I$89,3,0)*0.475*44/12</f>
        <v>3.1836620715271167</v>
      </c>
      <c r="CM89" s="21">
        <f>EXP(-LN(2)/2)*CM88+(1-EXP(-LN(2)/2))/(LN(2)/2)*CG89*CJ89*VLOOKUP('Données projet'!$B$12,Paramètres!$A$1:$I$89,3,0)*0.475*44/12</f>
        <v>1.1800443264595473E-7</v>
      </c>
      <c r="CN89" s="22">
        <f t="shared" si="66"/>
        <v>4.0750749659016163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-4.5474735088646412E-13</v>
      </c>
      <c r="O90" s="13">
        <f>N90*VLOOKUP('Données projet'!$B$9,Paramètres!$A$1:$I$89,3,0)*VLOOKUP('Données projet'!$B$9,Paramètres!$A$1:$I$89,5,0)</f>
        <v>-2.5420376914553347E-13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492.3498626914548</v>
      </c>
      <c r="T90" s="59">
        <f t="shared" si="88"/>
        <v>635.90304180030307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1.7674974752209032</v>
      </c>
      <c r="AA90" s="21">
        <f>EXP(-LN(2)/25)*AA89+(1-EXP(-LN(2)/25))/(LN(2)/25)*Calculateur!V90*Calculateur!X90*VLOOKUP('Données projet'!$B$9,Paramètres!$A$1:$I$89,3,0)*0.475*44/12</f>
        <v>4.9812990081534432</v>
      </c>
      <c r="AB90" s="21">
        <f>EXP(-LN(2)/2)*AB89+(1-EXP(-LN(2)/2))/(LN(2)/2)*V90*Y90*VLOOKUP('Données projet'!$B$9,Paramètres!$A$1:$I$89,3,0)*0.475*44/12</f>
        <v>3.0819008562632432E-8</v>
      </c>
      <c r="AC90" s="22">
        <f t="shared" si="57"/>
        <v>6.748796514193355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175.05987582828078</v>
      </c>
      <c r="AO90" s="59">
        <f t="shared" si="90"/>
        <v>268.54782308462387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1.702633647519604</v>
      </c>
      <c r="AV90" s="21">
        <f>EXP(-LN(2)/25)*AV89+(1-EXP(-LN(2)/25))/(LN(2)/25)*Calculateur!AQ90*Calculateur!AS90*VLOOKUP('Données projet'!$B$10,Paramètres!$A$1:$I$89,3,0)*0.475*44/12</f>
        <v>3.7393844341317597</v>
      </c>
      <c r="AW90" s="21">
        <f>EXP(-LN(2)/2)*AW89+(1-EXP(-LN(2)/2))/(LN(2)/2)*AQ90*AT90*VLOOKUP('Données projet'!$B$10,Paramètres!$A$1:$I$89,3,0)*0.475*44/12</f>
        <v>2.7263064428999352E-8</v>
      </c>
      <c r="AX90" s="21">
        <f t="shared" si="60"/>
        <v>5.4420181089144286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</v>
      </c>
      <c r="BD90" s="12">
        <f>IF('Données projet'!$A$88&gt;35,BD89+BC90-BL89,IF(A90&lt;'Données projet'!$A$88,$BA$205^A90,IF(A90='Données projet'!$A$88,'Données projet'!$B$88,BD89+BC90-BL89)))</f>
        <v>572.2000000000005</v>
      </c>
      <c r="BE90" s="13">
        <f>BD90*VLOOKUP('Données projet'!$B$11,Paramètres!$A$1:$I$89,3,0)*VLOOKUP('Données projet'!$B$11,Paramètres!$A$1:$I$89,5,0)</f>
        <v>342.17560000000032</v>
      </c>
      <c r="BF90" s="13">
        <f t="shared" si="91"/>
        <v>79.949272157261831</v>
      </c>
      <c r="BG90" s="20">
        <f t="shared" si="61"/>
        <v>735.20081900723153</v>
      </c>
      <c r="BH90" s="59">
        <f t="shared" si="62"/>
        <v>1028.5341523405648</v>
      </c>
      <c r="BI90" s="59">
        <f ca="1">AVERAGE(OFFSET($BH$3,0,0,'Données projet'!$E$11+1,1))-AVERAGE(OFFSET($H$3,0,0,'Données projet'!$E$11+1,1))</f>
        <v>381.78368385345919</v>
      </c>
      <c r="BJ90" s="59">
        <f t="shared" si="92"/>
        <v>257.35575295655639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3.1398328124167132</v>
      </c>
      <c r="BR90" s="21">
        <f>EXP(-LN(2)/2)*BR89+(1-EXP(-LN(2)/2))/(LN(2)/2)*BL90*BO90*VLOOKUP('Données projet'!$B$11,Paramètres!$A$1:$I$89,3,0)*0.475*44/12</f>
        <v>4.7653224634621918E-5</v>
      </c>
      <c r="BS90" s="22">
        <f t="shared" si="63"/>
        <v>3.1398804656413479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1.1368683772161603E-13</v>
      </c>
      <c r="BZ90" s="13">
        <f>BY90*VLOOKUP('Données projet'!$B$12,Paramètres!$A$1:$I$89,3,0)*VLOOKUP('Données projet'!$B$12,Paramètres!$A$1:$I$89,5,0)</f>
        <v>5.4683368944097308E-14</v>
      </c>
      <c r="CA90" s="13">
        <f t="shared" si="93"/>
        <v>8.8129432816788268E-13</v>
      </c>
      <c r="CB90" s="20">
        <f t="shared" si="64"/>
        <v>1.6301611558033651E-12</v>
      </c>
      <c r="CC90" s="59">
        <f t="shared" si="65"/>
        <v>293.33333333333496</v>
      </c>
      <c r="CD90" s="59">
        <f ca="1">AVERAGE(OFFSET($CC$3,0,0,'Données projet'!$E$12+1,1))-AVERAGE(OFFSET($H$3,0,0,'Données projet'!$E$12+1,1))</f>
        <v>415.97633163853953</v>
      </c>
      <c r="CE90" s="59">
        <f t="shared" si="94"/>
        <v>356.23532720804423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0.87393271553355645</v>
      </c>
      <c r="CL90" s="21">
        <f>EXP(-LN(2)/25)*CL89+(1-EXP(-LN(2)/25))/(LN(2)/25)*Calculateur!CG90*Calculateur!CI90*VLOOKUP('Données projet'!$B$12,Paramètres!$A$1:$I$89,3,0)*0.475*44/12</f>
        <v>3.0966046647596959</v>
      </c>
      <c r="CM90" s="21">
        <f>EXP(-LN(2)/2)*CM89+(1-EXP(-LN(2)/2))/(LN(2)/2)*CG90*CJ90*VLOOKUP('Données projet'!$B$12,Paramètres!$A$1:$I$89,3,0)*0.475*44/12</f>
        <v>8.3441734534025807E-8</v>
      </c>
      <c r="CN90" s="22">
        <f t="shared" si="66"/>
        <v>3.9705374637349866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-4.5474735088646412E-13</v>
      </c>
      <c r="O91" s="13">
        <f>N91*VLOOKUP('Données projet'!$B$9,Paramètres!$A$1:$I$89,3,0)*VLOOKUP('Données projet'!$B$9,Paramètres!$A$1:$I$89,5,0)</f>
        <v>-2.5420376914553347E-13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492.3498626914548</v>
      </c>
      <c r="T91" s="59">
        <f t="shared" si="88"/>
        <v>635.90304180030307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1.7328379277988308</v>
      </c>
      <c r="AA91" s="21">
        <f>EXP(-LN(2)/25)*AA90+(1-EXP(-LN(2)/25))/(LN(2)/25)*Calculateur!V91*Calculateur!X91*VLOOKUP('Données projet'!$B$9,Paramètres!$A$1:$I$89,3,0)*0.475*44/12</f>
        <v>4.8450851248203577</v>
      </c>
      <c r="AB91" s="21">
        <f>EXP(-LN(2)/2)*AB90+(1-EXP(-LN(2)/2))/(LN(2)/2)*V91*Y91*VLOOKUP('Données projet'!$B$9,Paramètres!$A$1:$I$89,3,0)*0.475*44/12</f>
        <v>2.1792329944083666E-8</v>
      </c>
      <c r="AC91" s="22">
        <f t="shared" si="57"/>
        <v>6.577923074411518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175.05987582828078</v>
      </c>
      <c r="AO91" s="59">
        <f t="shared" si="90"/>
        <v>268.54782308462387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1.6692460401957259</v>
      </c>
      <c r="AV91" s="21">
        <f>EXP(-LN(2)/25)*AV90+(1-EXP(-LN(2)/25))/(LN(2)/25)*Calculateur!AQ91*Calculateur!AS91*VLOOKUP('Données projet'!$B$10,Paramètres!$A$1:$I$89,3,0)*0.475*44/12</f>
        <v>3.6371307701347457</v>
      </c>
      <c r="AW91" s="21">
        <f>EXP(-LN(2)/2)*AW90+(1-EXP(-LN(2)/2))/(LN(2)/2)*AQ91*AT91*VLOOKUP('Données projet'!$B$10,Paramètres!$A$1:$I$89,3,0)*0.475*44/12</f>
        <v>1.9277897733671192E-8</v>
      </c>
      <c r="AX91" s="21">
        <f t="shared" si="60"/>
        <v>5.3063768296083689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6.6</v>
      </c>
      <c r="BD91" s="12">
        <f>IF('Données projet'!$A$88&gt;35,BD90+BC91-BL90,IF(A91&lt;'Données projet'!$A$88,$BA$205^A91,IF(A91='Données projet'!$A$88,'Données projet'!$B$88,BD90+BC91-BL90)))</f>
        <v>578.80000000000052</v>
      </c>
      <c r="BE91" s="13">
        <f>BD91*VLOOKUP('Données projet'!$B$11,Paramètres!$A$1:$I$89,3,0)*VLOOKUP('Données projet'!$B$11,Paramètres!$A$1:$I$89,5,0)</f>
        <v>346.12240000000037</v>
      </c>
      <c r="BF91" s="13">
        <f t="shared" si="91"/>
        <v>80.763556167633467</v>
      </c>
      <c r="BG91" s="20">
        <f t="shared" si="61"/>
        <v>743.49304032529551</v>
      </c>
      <c r="BH91" s="59">
        <f t="shared" si="62"/>
        <v>1036.8263736586289</v>
      </c>
      <c r="BI91" s="59">
        <f ca="1">AVERAGE(OFFSET($BH$3,0,0,'Données projet'!$E$11+1,1))-AVERAGE(OFFSET($H$3,0,0,'Données projet'!$E$11+1,1))</f>
        <v>381.78368385345919</v>
      </c>
      <c r="BJ91" s="59">
        <f t="shared" si="92"/>
        <v>257.35575295655639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3.0539739190445467</v>
      </c>
      <c r="BR91" s="21">
        <f>EXP(-LN(2)/2)*BR90+(1-EXP(-LN(2)/2))/(LN(2)/2)*BL91*BO91*VLOOKUP('Données projet'!$B$11,Paramètres!$A$1:$I$89,3,0)*0.475*44/12</f>
        <v>3.3695918284546996E-5</v>
      </c>
      <c r="BS91" s="22">
        <f t="shared" si="63"/>
        <v>3.0540076149628312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1.1368683772161603E-13</v>
      </c>
      <c r="BZ91" s="13">
        <f>BY91*VLOOKUP('Données projet'!$B$12,Paramètres!$A$1:$I$89,3,0)*VLOOKUP('Données projet'!$B$12,Paramètres!$A$1:$I$89,5,0)</f>
        <v>5.4683368944097308E-14</v>
      </c>
      <c r="CA91" s="13">
        <f t="shared" si="93"/>
        <v>8.8129432816788268E-13</v>
      </c>
      <c r="CB91" s="20">
        <f t="shared" si="64"/>
        <v>1.6301611558033651E-12</v>
      </c>
      <c r="CC91" s="59">
        <f t="shared" si="65"/>
        <v>293.33333333333496</v>
      </c>
      <c r="CD91" s="59">
        <f ca="1">AVERAGE(OFFSET($CC$3,0,0,'Données projet'!$E$12+1,1))-AVERAGE(OFFSET($H$3,0,0,'Données projet'!$E$12+1,1))</f>
        <v>415.97633163853953</v>
      </c>
      <c r="CE91" s="59">
        <f t="shared" si="94"/>
        <v>356.23532720804423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0.85679542802826592</v>
      </c>
      <c r="CL91" s="21">
        <f>EXP(-LN(2)/25)*CL90+(1-EXP(-LN(2)/25))/(LN(2)/25)*Calculateur!CG91*Calculateur!CI91*VLOOKUP('Données projet'!$B$12,Paramètres!$A$1:$I$89,3,0)*0.475*44/12</f>
        <v>3.0119278473584798</v>
      </c>
      <c r="CM91" s="21">
        <f>EXP(-LN(2)/2)*CM90+(1-EXP(-LN(2)/2))/(LN(2)/2)*CG91*CJ91*VLOOKUP('Données projet'!$B$12,Paramètres!$A$1:$I$89,3,0)*0.475*44/12</f>
        <v>5.9002216322977379E-8</v>
      </c>
      <c r="CN91" s="22">
        <f t="shared" si="66"/>
        <v>3.868723334388962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-4.5474735088646412E-13</v>
      </c>
      <c r="O92" s="13">
        <f>N92*VLOOKUP('Données projet'!$B$9,Paramètres!$A$1:$I$89,3,0)*VLOOKUP('Données projet'!$B$9,Paramètres!$A$1:$I$89,5,0)</f>
        <v>-2.5420376914553347E-13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492.3498626914548</v>
      </c>
      <c r="T92" s="59">
        <f t="shared" si="88"/>
        <v>635.90304180030307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1.6988580329614689</v>
      </c>
      <c r="AA92" s="21">
        <f>EXP(-LN(2)/25)*AA91+(1-EXP(-LN(2)/25))/(LN(2)/25)*Calculateur!V92*Calculateur!X92*VLOOKUP('Données projet'!$B$9,Paramètres!$A$1:$I$89,3,0)*0.475*44/12</f>
        <v>4.712596017290192</v>
      </c>
      <c r="AB92" s="21">
        <f>EXP(-LN(2)/2)*AB91+(1-EXP(-LN(2)/2))/(LN(2)/2)*V92*Y92*VLOOKUP('Données projet'!$B$9,Paramètres!$A$1:$I$89,3,0)*0.475*44/12</f>
        <v>1.5409504281316216E-8</v>
      </c>
      <c r="AC92" s="22">
        <f t="shared" si="57"/>
        <v>6.4114540656611645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175.05987582828078</v>
      </c>
      <c r="AO92" s="59">
        <f t="shared" si="90"/>
        <v>268.54782308462387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1.6365131434870392</v>
      </c>
      <c r="AV92" s="21">
        <f>EXP(-LN(2)/25)*AV91+(1-EXP(-LN(2)/25))/(LN(2)/25)*Calculateur!AQ92*Calculateur!AS92*VLOOKUP('Données projet'!$B$10,Paramètres!$A$1:$I$89,3,0)*0.475*44/12</f>
        <v>3.5376732379570166</v>
      </c>
      <c r="AW92" s="21">
        <f>EXP(-LN(2)/2)*AW91+(1-EXP(-LN(2)/2))/(LN(2)/2)*AQ92*AT92*VLOOKUP('Données projet'!$B$10,Paramètres!$A$1:$I$89,3,0)*0.475*44/12</f>
        <v>1.3631532214499676E-8</v>
      </c>
      <c r="AX92" s="21">
        <f t="shared" si="60"/>
        <v>5.174186395075588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6.6</v>
      </c>
      <c r="BD92" s="12">
        <f>IF('Données projet'!$A$88&gt;35,BD91+BC92-BL91,IF(A92&lt;'Données projet'!$A$88,$BA$205^A92,IF(A92='Données projet'!$A$88,'Données projet'!$B$88,BD91+BC92-BL91)))</f>
        <v>585.40000000000055</v>
      </c>
      <c r="BE92" s="13">
        <f>BD92*VLOOKUP('Données projet'!$B$11,Paramètres!$A$1:$I$89,3,0)*VLOOKUP('Données projet'!$B$11,Paramètres!$A$1:$I$89,5,0)</f>
        <v>350.06920000000036</v>
      </c>
      <c r="BF92" s="13">
        <f t="shared" si="91"/>
        <v>81.576760072781823</v>
      </c>
      <c r="BG92" s="20">
        <f t="shared" si="61"/>
        <v>751.7833804600956</v>
      </c>
      <c r="BH92" s="59">
        <f t="shared" si="62"/>
        <v>1045.116713793429</v>
      </c>
      <c r="BI92" s="59">
        <f ca="1">AVERAGE(OFFSET($BH$3,0,0,'Données projet'!$E$11+1,1))-AVERAGE(OFFSET($H$3,0,0,'Données projet'!$E$11+1,1))</f>
        <v>381.78368385345919</v>
      </c>
      <c r="BJ92" s="59">
        <f t="shared" si="92"/>
        <v>257.35575295655639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2.9704628416267651</v>
      </c>
      <c r="BR92" s="21">
        <f>EXP(-LN(2)/2)*BR91+(1-EXP(-LN(2)/2))/(LN(2)/2)*BL92*BO92*VLOOKUP('Données projet'!$B$11,Paramètres!$A$1:$I$89,3,0)*0.475*44/12</f>
        <v>2.3826612317310959E-5</v>
      </c>
      <c r="BS92" s="22">
        <f t="shared" si="63"/>
        <v>2.9704866682390825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1.1368683772161603E-13</v>
      </c>
      <c r="BZ92" s="13">
        <f>BY92*VLOOKUP('Données projet'!$B$12,Paramètres!$A$1:$I$89,3,0)*VLOOKUP('Données projet'!$B$12,Paramètres!$A$1:$I$89,5,0)</f>
        <v>5.4683368944097308E-14</v>
      </c>
      <c r="CA92" s="13">
        <f t="shared" si="93"/>
        <v>8.8129432816788268E-13</v>
      </c>
      <c r="CB92" s="20">
        <f t="shared" si="64"/>
        <v>1.6301611558033651E-12</v>
      </c>
      <c r="CC92" s="59">
        <f t="shared" si="65"/>
        <v>293.33333333333496</v>
      </c>
      <c r="CD92" s="59">
        <f ca="1">AVERAGE(OFFSET($CC$3,0,0,'Données projet'!$E$12+1,1))-AVERAGE(OFFSET($H$3,0,0,'Données projet'!$E$12+1,1))</f>
        <v>415.97633163853953</v>
      </c>
      <c r="CE92" s="59">
        <f t="shared" si="94"/>
        <v>356.23532720804423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0.8399941922782409</v>
      </c>
      <c r="CL92" s="21">
        <f>EXP(-LN(2)/25)*CL91+(1-EXP(-LN(2)/25))/(LN(2)/25)*Calculateur!CG92*Calculateur!CI92*VLOOKUP('Données projet'!$B$12,Paramètres!$A$1:$I$89,3,0)*0.475*44/12</f>
        <v>2.9295665219820606</v>
      </c>
      <c r="CM92" s="21">
        <f>EXP(-LN(2)/2)*CM91+(1-EXP(-LN(2)/2))/(LN(2)/2)*CG92*CJ92*VLOOKUP('Données projet'!$B$12,Paramètres!$A$1:$I$89,3,0)*0.475*44/12</f>
        <v>4.172086726701291E-8</v>
      </c>
      <c r="CN92" s="22">
        <f t="shared" si="66"/>
        <v>3.7695607559811686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-4.5474735088646412E-13</v>
      </c>
      <c r="O93" s="13">
        <f>N93*VLOOKUP('Données projet'!$B$9,Paramètres!$A$1:$I$89,3,0)*VLOOKUP('Données projet'!$B$9,Paramètres!$A$1:$I$89,5,0)</f>
        <v>-2.5420376914553347E-13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492.3498626914548</v>
      </c>
      <c r="T93" s="59">
        <f t="shared" si="88"/>
        <v>635.90304180030307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1.6655444631361782</v>
      </c>
      <c r="AA93" s="21">
        <f>EXP(-LN(2)/25)*AA92+(1-EXP(-LN(2)/25))/(LN(2)/25)*Calculateur!V93*Calculateur!X93*VLOOKUP('Données projet'!$B$9,Paramètres!$A$1:$I$89,3,0)*0.475*44/12</f>
        <v>4.5837298313727377</v>
      </c>
      <c r="AB93" s="21">
        <f>EXP(-LN(2)/2)*AB92+(1-EXP(-LN(2)/2))/(LN(2)/2)*V93*Y93*VLOOKUP('Données projet'!$B$9,Paramètres!$A$1:$I$89,3,0)*0.475*44/12</f>
        <v>1.0896164972041833E-8</v>
      </c>
      <c r="AC93" s="22">
        <f t="shared" si="57"/>
        <v>6.2492743054050806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175.05987582828078</v>
      </c>
      <c r="AO93" s="59">
        <f t="shared" si="90"/>
        <v>268.54782308462387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1.6044221189177144</v>
      </c>
      <c r="AV93" s="21">
        <f>EXP(-LN(2)/25)*AV92+(1-EXP(-LN(2)/25))/(LN(2)/25)*Calculateur!AQ93*Calculateur!AS93*VLOOKUP('Données projet'!$B$10,Paramètres!$A$1:$I$89,3,0)*0.475*44/12</f>
        <v>3.440935377226932</v>
      </c>
      <c r="AW93" s="21">
        <f>EXP(-LN(2)/2)*AW92+(1-EXP(-LN(2)/2))/(LN(2)/2)*AQ93*AT93*VLOOKUP('Données projet'!$B$10,Paramètres!$A$1:$I$89,3,0)*0.475*44/12</f>
        <v>9.638948866835596E-9</v>
      </c>
      <c r="AX93" s="21">
        <f t="shared" si="60"/>
        <v>5.0453575057835955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592</v>
      </c>
      <c r="BB93" s="12">
        <f>VLOOKUP(A93,'Données projet'!$A$87:$I$107,9,0)</f>
        <v>6.6</v>
      </c>
      <c r="BC93" s="12">
        <f t="array" ref="BC93">INDEX(BB:BB,MIN(IF(ISNUMBER(BB93:BB289),ROW(BB93:BB289),"")))</f>
        <v>6.6</v>
      </c>
      <c r="BD93" s="12">
        <f>IF('Données projet'!$A$88&gt;35,BD92+BC93-BL92,IF(A93&lt;'Données projet'!$A$88,$BA$205^A93,IF(A93='Données projet'!$A$88,'Données projet'!$B$88,BD92+BC93-BL92)))</f>
        <v>592.00000000000057</v>
      </c>
      <c r="BE93" s="13">
        <f>BD93*VLOOKUP('Données projet'!$B$11,Paramètres!$A$1:$I$89,3,0)*VLOOKUP('Données projet'!$B$11,Paramètres!$A$1:$I$89,5,0)</f>
        <v>354.01600000000036</v>
      </c>
      <c r="BF93" s="13">
        <f t="shared" si="91"/>
        <v>82.388897459303138</v>
      </c>
      <c r="BG93" s="20">
        <f t="shared" si="61"/>
        <v>760.07186307495351</v>
      </c>
      <c r="BH93" s="59">
        <f t="shared" si="62"/>
        <v>1053.4051964082869</v>
      </c>
      <c r="BI93" s="59">
        <f ca="1">AVERAGE(OFFSET($BH$3,0,0,'Données projet'!$E$11+1,1))-AVERAGE(OFFSET($H$3,0,0,'Données projet'!$E$11+1,1))</f>
        <v>381.78368385345919</v>
      </c>
      <c r="BJ93" s="59">
        <f t="shared" si="92"/>
        <v>257.35575295655639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36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2.8892353790126295</v>
      </c>
      <c r="BR93" s="21">
        <f>EXP(-LN(2)/2)*BR92+(1-EXP(-LN(2)/2))/(LN(2)/2)*BL93*BO93*VLOOKUP('Données projet'!$B$11,Paramètres!$A$1:$I$89,3,0)*0.475*44/12</f>
        <v>1.6847959142273498E-5</v>
      </c>
      <c r="BS93" s="22">
        <f t="shared" si="63"/>
        <v>2.889252226971772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1.1368683772161603E-13</v>
      </c>
      <c r="BZ93" s="13">
        <f>BY93*VLOOKUP('Données projet'!$B$12,Paramètres!$A$1:$I$89,3,0)*VLOOKUP('Données projet'!$B$12,Paramètres!$A$1:$I$89,5,0)</f>
        <v>5.4683368944097308E-14</v>
      </c>
      <c r="CA93" s="13">
        <f t="shared" si="93"/>
        <v>8.8129432816788268E-13</v>
      </c>
      <c r="CB93" s="20">
        <f t="shared" si="64"/>
        <v>1.6301611558033651E-12</v>
      </c>
      <c r="CC93" s="59">
        <f t="shared" si="65"/>
        <v>293.33333333333496</v>
      </c>
      <c r="CD93" s="59">
        <f ca="1">AVERAGE(OFFSET($CC$3,0,0,'Données projet'!$E$12+1,1))-AVERAGE(OFFSET($H$3,0,0,'Données projet'!$E$12+1,1))</f>
        <v>415.97633163853953</v>
      </c>
      <c r="CE93" s="59">
        <f t="shared" si="94"/>
        <v>356.23532720804423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0.82352241851353192</v>
      </c>
      <c r="CL93" s="21">
        <f>EXP(-LN(2)/25)*CL92+(1-EXP(-LN(2)/25))/(LN(2)/25)*Calculateur!CG93*Calculateur!CI93*VLOOKUP('Données projet'!$B$12,Paramètres!$A$1:$I$89,3,0)*0.475*44/12</f>
        <v>2.8494573713792533</v>
      </c>
      <c r="CM93" s="21">
        <f>EXP(-LN(2)/2)*CM92+(1-EXP(-LN(2)/2))/(LN(2)/2)*CG93*CJ93*VLOOKUP('Données projet'!$B$12,Paramètres!$A$1:$I$89,3,0)*0.475*44/12</f>
        <v>2.9501108161488693E-8</v>
      </c>
      <c r="CN93" s="22">
        <f t="shared" si="66"/>
        <v>3.6729798193938934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-4.5474735088646412E-13</v>
      </c>
      <c r="O94" s="13">
        <f>N94*VLOOKUP('Données projet'!$B$9,Paramètres!$A$1:$I$89,3,0)*VLOOKUP('Données projet'!$B$9,Paramètres!$A$1:$I$89,5,0)</f>
        <v>-2.5420376914553347E-13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492.3498626914548</v>
      </c>
      <c r="T94" s="59">
        <f t="shared" si="88"/>
        <v>635.90304180030307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1.6328841520958903</v>
      </c>
      <c r="AA94" s="21">
        <f>EXP(-LN(2)/25)*AA93+(1-EXP(-LN(2)/25))/(LN(2)/25)*Calculateur!V94*Calculateur!X94*VLOOKUP('Données projet'!$B$9,Paramètres!$A$1:$I$89,3,0)*0.475*44/12</f>
        <v>4.4583874980859743</v>
      </c>
      <c r="AB94" s="21">
        <f>EXP(-LN(2)/2)*AB93+(1-EXP(-LN(2)/2))/(LN(2)/2)*V94*Y94*VLOOKUP('Données projet'!$B$9,Paramètres!$A$1:$I$89,3,0)*0.475*44/12</f>
        <v>7.7047521406581081E-9</v>
      </c>
      <c r="AC94" s="22">
        <f t="shared" si="57"/>
        <v>6.0912716578866171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175.05987582828078</v>
      </c>
      <c r="AO94" s="59">
        <f t="shared" si="90"/>
        <v>268.54782308462387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1.5729603797666016</v>
      </c>
      <c r="AV94" s="21">
        <f>EXP(-LN(2)/25)*AV93+(1-EXP(-LN(2)/25))/(LN(2)/25)*Calculateur!AQ94*Calculateur!AS94*VLOOKUP('Données projet'!$B$10,Paramètres!$A$1:$I$89,3,0)*0.475*44/12</f>
        <v>3.3468428183857344</v>
      </c>
      <c r="AW94" s="21">
        <f>EXP(-LN(2)/2)*AW93+(1-EXP(-LN(2)/2))/(LN(2)/2)*AQ94*AT94*VLOOKUP('Données projet'!$B$10,Paramètres!$A$1:$I$89,3,0)*0.475*44/12</f>
        <v>6.8157661072498381E-9</v>
      </c>
      <c r="AX94" s="21">
        <f t="shared" si="60"/>
        <v>4.919803204968102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6.5</v>
      </c>
      <c r="BD94" s="12">
        <f>IF('Données projet'!$A$88&gt;35,BD93+BC94-BL93,IF(A94&lt;'Données projet'!$A$88,$BA$205^A94,IF(A94='Données projet'!$A$88,'Données projet'!$B$88,BD93+BC94-BL93)))</f>
        <v>562.50000000000057</v>
      </c>
      <c r="BE94" s="13">
        <f>BD94*VLOOKUP('Données projet'!$B$11,Paramètres!$A$1:$I$89,3,0)*VLOOKUP('Données projet'!$B$11,Paramètres!$A$1:$I$89,5,0)</f>
        <v>336.3750000000004</v>
      </c>
      <c r="BF94" s="13">
        <f t="shared" si="91"/>
        <v>78.750531883095817</v>
      </c>
      <c r="BG94" s="20">
        <f t="shared" si="61"/>
        <v>723.01030136305917</v>
      </c>
      <c r="BH94" s="59">
        <f t="shared" si="62"/>
        <v>1016.3436346963924</v>
      </c>
      <c r="BI94" s="59">
        <f ca="1">AVERAGE(OFFSET($BH$3,0,0,'Données projet'!$E$11+1,1))-AVERAGE(OFFSET($H$3,0,0,'Données projet'!$E$11+1,1))</f>
        <v>381.78368385345919</v>
      </c>
      <c r="BJ94" s="59">
        <f t="shared" si="92"/>
        <v>257.35575295655639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2.8102290856352439</v>
      </c>
      <c r="BR94" s="21">
        <f>EXP(-LN(2)/2)*BR93+(1-EXP(-LN(2)/2))/(LN(2)/2)*BL94*BO94*VLOOKUP('Données projet'!$B$11,Paramètres!$A$1:$I$89,3,0)*0.475*44/12</f>
        <v>1.1913306158655479E-5</v>
      </c>
      <c r="BS94" s="22">
        <f t="shared" si="63"/>
        <v>2.8102409989414023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1.1368683772161603E-13</v>
      </c>
      <c r="BZ94" s="13">
        <f>BY94*VLOOKUP('Données projet'!$B$12,Paramètres!$A$1:$I$89,3,0)*VLOOKUP('Données projet'!$B$12,Paramètres!$A$1:$I$89,5,0)</f>
        <v>5.4683368944097308E-14</v>
      </c>
      <c r="CA94" s="13">
        <f t="shared" si="93"/>
        <v>8.8129432816788268E-13</v>
      </c>
      <c r="CB94" s="20">
        <f t="shared" si="64"/>
        <v>1.6301611558033651E-12</v>
      </c>
      <c r="CC94" s="59">
        <f t="shared" si="65"/>
        <v>293.33333333333496</v>
      </c>
      <c r="CD94" s="59">
        <f ca="1">AVERAGE(OFFSET($CC$3,0,0,'Données projet'!$E$12+1,1))-AVERAGE(OFFSET($H$3,0,0,'Données projet'!$E$12+1,1))</f>
        <v>415.97633163853953</v>
      </c>
      <c r="CE94" s="59">
        <f t="shared" si="94"/>
        <v>356.23532720804423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0.80737364618555896</v>
      </c>
      <c r="CL94" s="21">
        <f>EXP(-LN(2)/25)*CL93+(1-EXP(-LN(2)/25))/(LN(2)/25)*Calculateur!CG94*Calculateur!CI94*VLOOKUP('Données projet'!$B$12,Paramètres!$A$1:$I$89,3,0)*0.475*44/12</f>
        <v>2.7715388097124372</v>
      </c>
      <c r="CM94" s="21">
        <f>EXP(-LN(2)/2)*CM93+(1-EXP(-LN(2)/2))/(LN(2)/2)*CG94*CJ94*VLOOKUP('Données projet'!$B$12,Paramètres!$A$1:$I$89,3,0)*0.475*44/12</f>
        <v>2.0860433633506458E-8</v>
      </c>
      <c r="CN94" s="22">
        <f t="shared" si="66"/>
        <v>3.5789124767584299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-4.5474735088646412E-13</v>
      </c>
      <c r="O95" s="13">
        <f>N95*VLOOKUP('Données projet'!$B$9,Paramètres!$A$1:$I$89,3,0)*VLOOKUP('Données projet'!$B$9,Paramètres!$A$1:$I$89,5,0)</f>
        <v>-2.5420376914553347E-13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492.3498626914548</v>
      </c>
      <c r="T95" s="59">
        <f t="shared" si="88"/>
        <v>635.90304180030307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1.6008642898342798</v>
      </c>
      <c r="AA95" s="21">
        <f>EXP(-LN(2)/25)*AA94+(1-EXP(-LN(2)/25))/(LN(2)/25)*Calculateur!V95*Calculateur!X95*VLOOKUP('Données projet'!$B$9,Paramètres!$A$1:$I$89,3,0)*0.475*44/12</f>
        <v>4.3364726574944044</v>
      </c>
      <c r="AB95" s="21">
        <f>EXP(-LN(2)/2)*AB94+(1-EXP(-LN(2)/2))/(LN(2)/2)*V95*Y95*VLOOKUP('Données projet'!$B$9,Paramètres!$A$1:$I$89,3,0)*0.475*44/12</f>
        <v>5.4480824860209165E-9</v>
      </c>
      <c r="AC95" s="22">
        <f t="shared" si="57"/>
        <v>5.937336952776767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175.05987582828078</v>
      </c>
      <c r="AO95" s="59">
        <f t="shared" si="90"/>
        <v>268.54782308462387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1.5421155861304763</v>
      </c>
      <c r="AV95" s="21">
        <f>EXP(-LN(2)/25)*AV94+(1-EXP(-LN(2)/25))/(LN(2)/25)*Calculateur!AQ95*Calculateur!AS95*VLOOKUP('Données projet'!$B$10,Paramètres!$A$1:$I$89,3,0)*0.475*44/12</f>
        <v>3.2553232255141618</v>
      </c>
      <c r="AW95" s="21">
        <f>EXP(-LN(2)/2)*AW94+(1-EXP(-LN(2)/2))/(LN(2)/2)*AQ95*AT95*VLOOKUP('Données projet'!$B$10,Paramètres!$A$1:$I$89,3,0)*0.475*44/12</f>
        <v>4.819474433417798E-9</v>
      </c>
      <c r="AX95" s="21">
        <f t="shared" si="60"/>
        <v>4.7974388164641129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6.5</v>
      </c>
      <c r="BD95" s="12">
        <f>IF('Données projet'!$A$88&gt;35,BD94+BC95-BL94,IF(A95&lt;'Données projet'!$A$88,$BA$205^A95,IF(A95='Données projet'!$A$88,'Données projet'!$B$88,BD94+BC95-BL94)))</f>
        <v>569.00000000000057</v>
      </c>
      <c r="BE95" s="13">
        <f>BD95*VLOOKUP('Données projet'!$B$11,Paramètres!$A$1:$I$89,3,0)*VLOOKUP('Données projet'!$B$11,Paramètres!$A$1:$I$89,5,0)</f>
        <v>340.2620000000004</v>
      </c>
      <c r="BF95" s="13">
        <f t="shared" si="91"/>
        <v>79.554074853631121</v>
      </c>
      <c r="BG95" s="20">
        <f t="shared" si="61"/>
        <v>731.17966370340821</v>
      </c>
      <c r="BH95" s="59">
        <f t="shared" si="62"/>
        <v>1024.5129970367416</v>
      </c>
      <c r="BI95" s="59">
        <f ca="1">AVERAGE(OFFSET($BH$3,0,0,'Données projet'!$E$11+1,1))-AVERAGE(OFFSET($H$3,0,0,'Données projet'!$E$11+1,1))</f>
        <v>381.78368385345919</v>
      </c>
      <c r="BJ95" s="59">
        <f t="shared" si="92"/>
        <v>257.35575295655639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2.7333832235050233</v>
      </c>
      <c r="BR95" s="21">
        <f>EXP(-LN(2)/2)*BR94+(1-EXP(-LN(2)/2))/(LN(2)/2)*BL95*BO95*VLOOKUP('Données projet'!$B$11,Paramètres!$A$1:$I$89,3,0)*0.475*44/12</f>
        <v>8.4239795711367491E-6</v>
      </c>
      <c r="BS95" s="22">
        <f t="shared" si="63"/>
        <v>2.7333916474845945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1.1368683772161603E-13</v>
      </c>
      <c r="BZ95" s="13">
        <f>BY95*VLOOKUP('Données projet'!$B$12,Paramètres!$A$1:$I$89,3,0)*VLOOKUP('Données projet'!$B$12,Paramètres!$A$1:$I$89,5,0)</f>
        <v>5.4683368944097308E-14</v>
      </c>
      <c r="CA95" s="13">
        <f t="shared" si="93"/>
        <v>8.8129432816788268E-13</v>
      </c>
      <c r="CB95" s="20">
        <f t="shared" si="64"/>
        <v>1.6301611558033651E-12</v>
      </c>
      <c r="CC95" s="59">
        <f t="shared" si="65"/>
        <v>293.33333333333496</v>
      </c>
      <c r="CD95" s="59">
        <f ca="1">AVERAGE(OFFSET($CC$3,0,0,'Données projet'!$E$12+1,1))-AVERAGE(OFFSET($H$3,0,0,'Données projet'!$E$12+1,1))</f>
        <v>415.97633163853953</v>
      </c>
      <c r="CE95" s="59">
        <f t="shared" si="94"/>
        <v>356.23532720804423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0.79154154143315902</v>
      </c>
      <c r="CL95" s="21">
        <f>EXP(-LN(2)/25)*CL94+(1-EXP(-LN(2)/25))/(LN(2)/25)*Calculateur!CG95*Calculateur!CI95*VLOOKUP('Données projet'!$B$12,Paramètres!$A$1:$I$89,3,0)*0.475*44/12</f>
        <v>2.6957509352119589</v>
      </c>
      <c r="CM95" s="21">
        <f>EXP(-LN(2)/2)*CM94+(1-EXP(-LN(2)/2))/(LN(2)/2)*CG95*CJ95*VLOOKUP('Données projet'!$B$12,Paramètres!$A$1:$I$89,3,0)*0.475*44/12</f>
        <v>1.4750554080744348E-8</v>
      </c>
      <c r="CN95" s="22">
        <f t="shared" si="66"/>
        <v>3.4872924913956722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-4.5474735088646412E-13</v>
      </c>
      <c r="O96" s="13">
        <f>N96*VLOOKUP('Données projet'!$B$9,Paramètres!$A$1:$I$89,3,0)*VLOOKUP('Données projet'!$B$9,Paramètres!$A$1:$I$89,5,0)</f>
        <v>-2.5420376914553347E-13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492.3498626914548</v>
      </c>
      <c r="T96" s="59">
        <f t="shared" si="88"/>
        <v>635.90304180030307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1.5694723175414318</v>
      </c>
      <c r="AA96" s="21">
        <f>EXP(-LN(2)/25)*AA95+(1-EXP(-LN(2)/25))/(LN(2)/25)*Calculateur!V96*Calculateur!X96*VLOOKUP('Données projet'!$B$9,Paramètres!$A$1:$I$89,3,0)*0.475*44/12</f>
        <v>4.217891584630034</v>
      </c>
      <c r="AB96" s="21">
        <f>EXP(-LN(2)/2)*AB95+(1-EXP(-LN(2)/2))/(LN(2)/2)*V96*Y96*VLOOKUP('Données projet'!$B$9,Paramètres!$A$1:$I$89,3,0)*0.475*44/12</f>
        <v>3.8523760703290541E-9</v>
      </c>
      <c r="AC96" s="22">
        <f t="shared" si="57"/>
        <v>5.7873639060238418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175.05987582828078</v>
      </c>
      <c r="AO96" s="59">
        <f t="shared" si="90"/>
        <v>268.54782308462387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1.5118756400840889</v>
      </c>
      <c r="AV96" s="21">
        <f>EXP(-LN(2)/25)*AV95+(1-EXP(-LN(2)/25))/(LN(2)/25)*Calculateur!AQ96*Calculateur!AS96*VLOOKUP('Données projet'!$B$10,Paramètres!$A$1:$I$89,3,0)*0.475*44/12</f>
        <v>3.1663062407224687</v>
      </c>
      <c r="AW96" s="21">
        <f>EXP(-LN(2)/2)*AW95+(1-EXP(-LN(2)/2))/(LN(2)/2)*AQ96*AT96*VLOOKUP('Données projet'!$B$10,Paramètres!$A$1:$I$89,3,0)*0.475*44/12</f>
        <v>3.407883053624919E-9</v>
      </c>
      <c r="AX96" s="21">
        <f t="shared" si="60"/>
        <v>4.6781818842144407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6.5</v>
      </c>
      <c r="BD96" s="12">
        <f>IF('Données projet'!$A$88&gt;35,BD95+BC96-BL95,IF(A96&lt;'Données projet'!$A$88,$BA$205^A96,IF(A96='Données projet'!$A$88,'Données projet'!$B$88,BD95+BC96-BL95)))</f>
        <v>575.50000000000057</v>
      </c>
      <c r="BE96" s="13">
        <f>BD96*VLOOKUP('Données projet'!$B$11,Paramètres!$A$1:$I$89,3,0)*VLOOKUP('Données projet'!$B$11,Paramètres!$A$1:$I$89,5,0)</f>
        <v>344.14900000000034</v>
      </c>
      <c r="BF96" s="13">
        <f t="shared" si="91"/>
        <v>80.356550037589372</v>
      </c>
      <c r="BG96" s="20">
        <f t="shared" si="61"/>
        <v>739.34716631546871</v>
      </c>
      <c r="BH96" s="59">
        <f t="shared" si="62"/>
        <v>1032.680499648802</v>
      </c>
      <c r="BI96" s="59">
        <f ca="1">AVERAGE(OFFSET($BH$3,0,0,'Données projet'!$E$11+1,1))-AVERAGE(OFFSET($H$3,0,0,'Données projet'!$E$11+1,1))</f>
        <v>381.78368385345919</v>
      </c>
      <c r="BJ96" s="59">
        <f t="shared" si="92"/>
        <v>257.35575295655639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2.6586387155159019</v>
      </c>
      <c r="BR96" s="21">
        <f>EXP(-LN(2)/2)*BR95+(1-EXP(-LN(2)/2))/(LN(2)/2)*BL96*BO96*VLOOKUP('Données projet'!$B$11,Paramètres!$A$1:$I$89,3,0)*0.475*44/12</f>
        <v>5.9566530793277397E-6</v>
      </c>
      <c r="BS96" s="22">
        <f t="shared" si="63"/>
        <v>2.6586446721689811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1.1368683772161603E-13</v>
      </c>
      <c r="BZ96" s="13">
        <f>BY96*VLOOKUP('Données projet'!$B$12,Paramètres!$A$1:$I$89,3,0)*VLOOKUP('Données projet'!$B$12,Paramètres!$A$1:$I$89,5,0)</f>
        <v>5.4683368944097308E-14</v>
      </c>
      <c r="CA96" s="13">
        <f t="shared" si="93"/>
        <v>8.8129432816788268E-13</v>
      </c>
      <c r="CB96" s="20">
        <f t="shared" si="64"/>
        <v>1.6301611558033651E-12</v>
      </c>
      <c r="CC96" s="59">
        <f t="shared" si="65"/>
        <v>293.33333333333496</v>
      </c>
      <c r="CD96" s="59">
        <f ca="1">AVERAGE(OFFSET($CC$3,0,0,'Données projet'!$E$12+1,1))-AVERAGE(OFFSET($H$3,0,0,'Données projet'!$E$12+1,1))</f>
        <v>415.97633163853953</v>
      </c>
      <c r="CE96" s="59">
        <f t="shared" si="94"/>
        <v>356.23532720804423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0.77601989459832321</v>
      </c>
      <c r="CL96" s="21">
        <f>EXP(-LN(2)/25)*CL95+(1-EXP(-LN(2)/25))/(LN(2)/25)*Calculateur!CG96*Calculateur!CI96*VLOOKUP('Données projet'!$B$12,Paramètres!$A$1:$I$89,3,0)*0.475*44/12</f>
        <v>2.6220354841252074</v>
      </c>
      <c r="CM96" s="21">
        <f>EXP(-LN(2)/2)*CM95+(1-EXP(-LN(2)/2))/(LN(2)/2)*CG96*CJ96*VLOOKUP('Données projet'!$B$12,Paramètres!$A$1:$I$89,3,0)*0.475*44/12</f>
        <v>1.0430216816753231E-8</v>
      </c>
      <c r="CN96" s="22">
        <f t="shared" si="66"/>
        <v>3.3980553891537473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-4.5474735088646412E-13</v>
      </c>
      <c r="O97" s="13">
        <f>N97*VLOOKUP('Données projet'!$B$9,Paramètres!$A$1:$I$89,3,0)*VLOOKUP('Données projet'!$B$9,Paramètres!$A$1:$I$89,5,0)</f>
        <v>-2.5420376914553347E-13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492.3498626914548</v>
      </c>
      <c r="T97" s="59">
        <f t="shared" si="88"/>
        <v>635.90304180030307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1.5386959226780341</v>
      </c>
      <c r="AA97" s="21">
        <f>EXP(-LN(2)/25)*AA96+(1-EXP(-LN(2)/25))/(LN(2)/25)*Calculateur!V97*Calculateur!X97*VLOOKUP('Données projet'!$B$9,Paramètres!$A$1:$I$89,3,0)*0.475*44/12</f>
        <v>4.1025531174390473</v>
      </c>
      <c r="AB97" s="21">
        <f>EXP(-LN(2)/2)*AB96+(1-EXP(-LN(2)/2))/(LN(2)/2)*V97*Y97*VLOOKUP('Données projet'!$B$9,Paramètres!$A$1:$I$89,3,0)*0.475*44/12</f>
        <v>2.7240412430104583E-9</v>
      </c>
      <c r="AC97" s="22">
        <f t="shared" si="57"/>
        <v>5.6412490428411228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175.05987582828078</v>
      </c>
      <c r="AO97" s="59">
        <f t="shared" si="90"/>
        <v>268.54782308462387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1.4822286809351253</v>
      </c>
      <c r="AV97" s="21">
        <f>EXP(-LN(2)/25)*AV96+(1-EXP(-LN(2)/25))/(LN(2)/25)*Calculateur!AQ97*Calculateur!AS97*VLOOKUP('Données projet'!$B$10,Paramètres!$A$1:$I$89,3,0)*0.475*44/12</f>
        <v>3.0797234300611045</v>
      </c>
      <c r="AW97" s="21">
        <f>EXP(-LN(2)/2)*AW96+(1-EXP(-LN(2)/2))/(LN(2)/2)*AQ97*AT97*VLOOKUP('Données projet'!$B$10,Paramètres!$A$1:$I$89,3,0)*0.475*44/12</f>
        <v>2.409737216708899E-9</v>
      </c>
      <c r="AX97" s="21">
        <f t="shared" si="60"/>
        <v>4.5619521134059671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6.5</v>
      </c>
      <c r="BD97" s="12">
        <f>IF('Données projet'!$A$88&gt;35,BD96+BC97-BL96,IF(A97&lt;'Données projet'!$A$88,$BA$205^A97,IF(A97='Données projet'!$A$88,'Données projet'!$B$88,BD96+BC97-BL96)))</f>
        <v>582.00000000000057</v>
      </c>
      <c r="BE97" s="13">
        <f>BD97*VLOOKUP('Données projet'!$B$11,Paramètres!$A$1:$I$89,3,0)*VLOOKUP('Données projet'!$B$11,Paramètres!$A$1:$I$89,5,0)</f>
        <v>348.03600000000034</v>
      </c>
      <c r="BF97" s="13">
        <f t="shared" si="91"/>
        <v>81.157970890643924</v>
      </c>
      <c r="BG97" s="20">
        <f t="shared" si="61"/>
        <v>747.51283263453877</v>
      </c>
      <c r="BH97" s="59">
        <f t="shared" si="62"/>
        <v>1040.8461659678721</v>
      </c>
      <c r="BI97" s="59">
        <f ca="1">AVERAGE(OFFSET($BH$3,0,0,'Données projet'!$E$11+1,1))-AVERAGE(OFFSET($H$3,0,0,'Données projet'!$E$11+1,1))</f>
        <v>381.78368385345919</v>
      </c>
      <c r="BJ97" s="59">
        <f t="shared" si="92"/>
        <v>257.35575295655639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2.5859381000283861</v>
      </c>
      <c r="BR97" s="21">
        <f>EXP(-LN(2)/2)*BR96+(1-EXP(-LN(2)/2))/(LN(2)/2)*BL97*BO97*VLOOKUP('Données projet'!$B$11,Paramètres!$A$1:$I$89,3,0)*0.475*44/12</f>
        <v>4.2119897855683745E-6</v>
      </c>
      <c r="BS97" s="22">
        <f t="shared" si="63"/>
        <v>2.5859423120181715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1.1368683772161603E-13</v>
      </c>
      <c r="BZ97" s="13">
        <f>BY97*VLOOKUP('Données projet'!$B$12,Paramètres!$A$1:$I$89,3,0)*VLOOKUP('Données projet'!$B$12,Paramètres!$A$1:$I$89,5,0)</f>
        <v>5.4683368944097308E-14</v>
      </c>
      <c r="CA97" s="13">
        <f t="shared" si="93"/>
        <v>8.8129432816788268E-13</v>
      </c>
      <c r="CB97" s="20">
        <f t="shared" si="64"/>
        <v>1.6301611558033651E-12</v>
      </c>
      <c r="CC97" s="59">
        <f t="shared" si="65"/>
        <v>293.33333333333496</v>
      </c>
      <c r="CD97" s="59">
        <f ca="1">AVERAGE(OFFSET($CC$3,0,0,'Données projet'!$E$12+1,1))-AVERAGE(OFFSET($H$3,0,0,'Données projet'!$E$12+1,1))</f>
        <v>415.97633163853953</v>
      </c>
      <c r="CE97" s="59">
        <f t="shared" si="94"/>
        <v>356.23532720804423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0.76080261779064884</v>
      </c>
      <c r="CL97" s="21">
        <f>EXP(-LN(2)/25)*CL96+(1-EXP(-LN(2)/25))/(LN(2)/25)*Calculateur!CG97*Calculateur!CI97*VLOOKUP('Données projet'!$B$12,Paramètres!$A$1:$I$89,3,0)*0.475*44/12</f>
        <v>2.55033578592495</v>
      </c>
      <c r="CM97" s="21">
        <f>EXP(-LN(2)/2)*CM96+(1-EXP(-LN(2)/2))/(LN(2)/2)*CG97*CJ97*VLOOKUP('Données projet'!$B$12,Paramètres!$A$1:$I$89,3,0)*0.475*44/12</f>
        <v>7.3752770403721757E-9</v>
      </c>
      <c r="CN97" s="22">
        <f t="shared" si="66"/>
        <v>3.3111384110908757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-4.5474735088646412E-13</v>
      </c>
      <c r="O98" s="13">
        <f>N98*VLOOKUP('Données projet'!$B$9,Paramètres!$A$1:$I$89,3,0)*VLOOKUP('Données projet'!$B$9,Paramètres!$A$1:$I$89,5,0)</f>
        <v>-2.5420376914553347E-13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492.3498626914548</v>
      </c>
      <c r="T98" s="59">
        <f t="shared" si="88"/>
        <v>635.90304180030307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1.5085230341461604</v>
      </c>
      <c r="AA98" s="21">
        <f>EXP(-LN(2)/25)*AA97+(1-EXP(-LN(2)/25))/(LN(2)/25)*Calculateur!V98*Calculateur!X98*VLOOKUP('Données projet'!$B$9,Paramètres!$A$1:$I$89,3,0)*0.475*44/12</f>
        <v>3.9903685866987848</v>
      </c>
      <c r="AB98" s="21">
        <f>EXP(-LN(2)/2)*AB97+(1-EXP(-LN(2)/2))/(LN(2)/2)*V98*Y98*VLOOKUP('Données projet'!$B$9,Paramètres!$A$1:$I$89,3,0)*0.475*44/12</f>
        <v>1.926188035164527E-9</v>
      </c>
      <c r="AC98" s="22">
        <f t="shared" si="57"/>
        <v>5.4988916227711337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175.05987582828078</v>
      </c>
      <c r="AO98" s="59">
        <f t="shared" si="90"/>
        <v>268.54782308462387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1.4531630805722133</v>
      </c>
      <c r="AV98" s="21">
        <f>EXP(-LN(2)/25)*AV97+(1-EXP(-LN(2)/25))/(LN(2)/25)*Calculateur!AQ98*Calculateur!AS98*VLOOKUP('Données projet'!$B$10,Paramètres!$A$1:$I$89,3,0)*0.475*44/12</f>
        <v>2.9955082309104673</v>
      </c>
      <c r="AW98" s="21">
        <f>EXP(-LN(2)/2)*AW97+(1-EXP(-LN(2)/2))/(LN(2)/2)*AQ98*AT98*VLOOKUP('Données projet'!$B$10,Paramètres!$A$1:$I$89,3,0)*0.475*44/12</f>
        <v>1.7039415268124595E-9</v>
      </c>
      <c r="AX98" s="21">
        <f t="shared" si="60"/>
        <v>4.4486713131866225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6.5</v>
      </c>
      <c r="BD98" s="12">
        <f>IF('Données projet'!$A$88&gt;35,BD97+BC98-BL97,IF(A98&lt;'Données projet'!$A$88,$BA$205^A98,IF(A98='Données projet'!$A$88,'Données projet'!$B$88,BD97+BC98-BL97)))</f>
        <v>588.50000000000057</v>
      </c>
      <c r="BE98" s="13">
        <f>BD98*VLOOKUP('Données projet'!$B$11,Paramètres!$A$1:$I$89,3,0)*VLOOKUP('Données projet'!$B$11,Paramètres!$A$1:$I$89,5,0)</f>
        <v>351.92300000000034</v>
      </c>
      <c r="BF98" s="13">
        <f t="shared" si="91"/>
        <v>81.958350550606028</v>
      </c>
      <c r="BG98" s="20">
        <f t="shared" si="61"/>
        <v>755.67668554230602</v>
      </c>
      <c r="BH98" s="59">
        <f t="shared" si="62"/>
        <v>1049.0100188756394</v>
      </c>
      <c r="BI98" s="59">
        <f ca="1">AVERAGE(OFFSET($BH$3,0,0,'Données projet'!$E$11+1,1))-AVERAGE(OFFSET($H$3,0,0,'Données projet'!$E$11+1,1))</f>
        <v>381.78368385345919</v>
      </c>
      <c r="BJ98" s="59">
        <f t="shared" si="92"/>
        <v>257.35575295655639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2.5152254866945354</v>
      </c>
      <c r="BR98" s="21">
        <f>EXP(-LN(2)/2)*BR97+(1-EXP(-LN(2)/2))/(LN(2)/2)*BL98*BO98*VLOOKUP('Données projet'!$B$11,Paramètres!$A$1:$I$89,3,0)*0.475*44/12</f>
        <v>2.9783265396638699E-6</v>
      </c>
      <c r="BS98" s="22">
        <f t="shared" si="63"/>
        <v>2.515228465021075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1.1368683772161603E-13</v>
      </c>
      <c r="BZ98" s="13">
        <f>BY98*VLOOKUP('Données projet'!$B$12,Paramètres!$A$1:$I$89,3,0)*VLOOKUP('Données projet'!$B$12,Paramètres!$A$1:$I$89,5,0)</f>
        <v>5.4683368944097308E-14</v>
      </c>
      <c r="CA98" s="13">
        <f t="shared" si="93"/>
        <v>8.8129432816788268E-13</v>
      </c>
      <c r="CB98" s="20">
        <f t="shared" si="64"/>
        <v>1.6301611558033651E-12</v>
      </c>
      <c r="CC98" s="59">
        <f t="shared" si="65"/>
        <v>293.33333333333496</v>
      </c>
      <c r="CD98" s="59">
        <f ca="1">AVERAGE(OFFSET($CC$3,0,0,'Données projet'!$E$12+1,1))-AVERAGE(OFFSET($H$3,0,0,'Données projet'!$E$12+1,1))</f>
        <v>415.97633163853953</v>
      </c>
      <c r="CE98" s="59">
        <f t="shared" si="94"/>
        <v>356.23532720804423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0.74588374249955058</v>
      </c>
      <c r="CL98" s="21">
        <f>EXP(-LN(2)/25)*CL97+(1-EXP(-LN(2)/25))/(LN(2)/25)*Calculateur!CG98*Calculateur!CI98*VLOOKUP('Données projet'!$B$12,Paramètres!$A$1:$I$89,3,0)*0.475*44/12</f>
        <v>2.4805967197425023</v>
      </c>
      <c r="CM98" s="21">
        <f>EXP(-LN(2)/2)*CM97+(1-EXP(-LN(2)/2))/(LN(2)/2)*CG98*CJ98*VLOOKUP('Données projet'!$B$12,Paramètres!$A$1:$I$89,3,0)*0.475*44/12</f>
        <v>5.2151084083766162E-9</v>
      </c>
      <c r="CN98" s="22">
        <f t="shared" si="66"/>
        <v>3.2264804674571614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-4.5474735088646412E-13</v>
      </c>
      <c r="O99" s="13">
        <f>N99*VLOOKUP('Données projet'!$B$9,Paramètres!$A$1:$I$89,3,0)*VLOOKUP('Données projet'!$B$9,Paramètres!$A$1:$I$89,5,0)</f>
        <v>-2.5420376914553347E-13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492.3498626914548</v>
      </c>
      <c r="T99" s="59">
        <f t="shared" si="88"/>
        <v>635.90304180030307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1.478941817554752</v>
      </c>
      <c r="AA99" s="21">
        <f>EXP(-LN(2)/25)*AA98+(1-EXP(-LN(2)/25))/(LN(2)/25)*Calculateur!V99*Calculateur!X99*VLOOKUP('Données projet'!$B$9,Paramètres!$A$1:$I$89,3,0)*0.475*44/12</f>
        <v>3.8812517478511426</v>
      </c>
      <c r="AB99" s="21">
        <f>EXP(-LN(2)/2)*AB98+(1-EXP(-LN(2)/2))/(LN(2)/2)*V99*Y99*VLOOKUP('Données projet'!$B$9,Paramètres!$A$1:$I$89,3,0)*0.475*44/12</f>
        <v>1.3620206215052291E-9</v>
      </c>
      <c r="AC99" s="22">
        <f t="shared" si="57"/>
        <v>5.360193566767915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175.05987582828078</v>
      </c>
      <c r="AO99" s="59">
        <f t="shared" si="90"/>
        <v>268.54782308462387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1.4246674389041525</v>
      </c>
      <c r="AV99" s="21">
        <f>EXP(-LN(2)/25)*AV98+(1-EXP(-LN(2)/25))/(LN(2)/25)*Calculateur!AQ99*Calculateur!AS99*VLOOKUP('Données projet'!$B$10,Paramètres!$A$1:$I$89,3,0)*0.475*44/12</f>
        <v>2.9135959008092889</v>
      </c>
      <c r="AW99" s="21">
        <f>EXP(-LN(2)/2)*AW98+(1-EXP(-LN(2)/2))/(LN(2)/2)*AQ99*AT99*VLOOKUP('Données projet'!$B$10,Paramètres!$A$1:$I$89,3,0)*0.475*44/12</f>
        <v>1.2048686083544495E-9</v>
      </c>
      <c r="AX99" s="21">
        <f t="shared" si="60"/>
        <v>4.3382633409183091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6.5</v>
      </c>
      <c r="BD99" s="12">
        <f>IF('Données projet'!$A$88&gt;35,BD98+BC99-BL98,IF(A99&lt;'Données projet'!$A$88,$BA$205^A99,IF(A99='Données projet'!$A$88,'Données projet'!$B$88,BD98+BC99-BL98)))</f>
        <v>595.00000000000057</v>
      </c>
      <c r="BE99" s="13">
        <f>BD99*VLOOKUP('Données projet'!$B$11,Paramètres!$A$1:$I$89,3,0)*VLOOKUP('Données projet'!$B$11,Paramètres!$A$1:$I$89,5,0)</f>
        <v>355.81000000000034</v>
      </c>
      <c r="BF99" s="13">
        <f t="shared" si="91"/>
        <v>82.757701848360327</v>
      </c>
      <c r="BG99" s="20">
        <f t="shared" si="61"/>
        <v>763.83874738589475</v>
      </c>
      <c r="BH99" s="59">
        <f t="shared" si="62"/>
        <v>1057.172080719228</v>
      </c>
      <c r="BI99" s="59">
        <f ca="1">AVERAGE(OFFSET($BH$3,0,0,'Données projet'!$E$11+1,1))-AVERAGE(OFFSET($H$3,0,0,'Données projet'!$E$11+1,1))</f>
        <v>381.78368385345919</v>
      </c>
      <c r="BJ99" s="59">
        <f t="shared" si="92"/>
        <v>257.35575295655639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2.4464465134909137</v>
      </c>
      <c r="BR99" s="21">
        <f>EXP(-LN(2)/2)*BR98+(1-EXP(-LN(2)/2))/(LN(2)/2)*BL99*BO99*VLOOKUP('Données projet'!$B$11,Paramètres!$A$1:$I$89,3,0)*0.475*44/12</f>
        <v>2.1059948927841873E-6</v>
      </c>
      <c r="BS99" s="22">
        <f t="shared" si="63"/>
        <v>2.4464486194858064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1.1368683772161603E-13</v>
      </c>
      <c r="BZ99" s="13">
        <f>BY99*VLOOKUP('Données projet'!$B$12,Paramètres!$A$1:$I$89,3,0)*VLOOKUP('Données projet'!$B$12,Paramètres!$A$1:$I$89,5,0)</f>
        <v>5.4683368944097308E-14</v>
      </c>
      <c r="CA99" s="13">
        <f t="shared" si="93"/>
        <v>8.8129432816788268E-13</v>
      </c>
      <c r="CB99" s="20">
        <f t="shared" si="64"/>
        <v>1.6301611558033651E-12</v>
      </c>
      <c r="CC99" s="59">
        <f t="shared" si="65"/>
        <v>293.33333333333496</v>
      </c>
      <c r="CD99" s="59">
        <f ca="1">AVERAGE(OFFSET($CC$3,0,0,'Données projet'!$E$12+1,1))-AVERAGE(OFFSET($H$3,0,0,'Données projet'!$E$12+1,1))</f>
        <v>415.97633163853953</v>
      </c>
      <c r="CE99" s="59">
        <f t="shared" si="94"/>
        <v>356.23532720804423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0.73125741725329529</v>
      </c>
      <c r="CL99" s="21">
        <f>EXP(-LN(2)/25)*CL98+(1-EXP(-LN(2)/25))/(LN(2)/25)*Calculateur!CG99*Calculateur!CI99*VLOOKUP('Données projet'!$B$12,Paramètres!$A$1:$I$89,3,0)*0.475*44/12</f>
        <v>2.4127646719922318</v>
      </c>
      <c r="CM99" s="21">
        <f>EXP(-LN(2)/2)*CM98+(1-EXP(-LN(2)/2))/(LN(2)/2)*CG99*CJ99*VLOOKUP('Données projet'!$B$12,Paramètres!$A$1:$I$89,3,0)*0.475*44/12</f>
        <v>3.6876385201860883E-9</v>
      </c>
      <c r="CN99" s="22">
        <f t="shared" si="66"/>
        <v>3.1440220929331657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-4.5474735088646412E-13</v>
      </c>
      <c r="O100" s="13">
        <f>N100*VLOOKUP('Données projet'!$B$9,Paramètres!$A$1:$I$89,3,0)*VLOOKUP('Données projet'!$B$9,Paramètres!$A$1:$I$89,5,0)</f>
        <v>-2.5420376914553347E-13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492.3498626914548</v>
      </c>
      <c r="T100" s="59">
        <f t="shared" si="88"/>
        <v>635.90304180030307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1.4499406705779405</v>
      </c>
      <c r="AA100" s="21">
        <f>EXP(-LN(2)/25)*AA99+(1-EXP(-LN(2)/25))/(LN(2)/25)*Calculateur!V100*Calculateur!X100*VLOOKUP('Données projet'!$B$9,Paramètres!$A$1:$I$89,3,0)*0.475*44/12</f>
        <v>3.7751187146999943</v>
      </c>
      <c r="AB100" s="21">
        <f>EXP(-LN(2)/2)*AB99+(1-EXP(-LN(2)/2))/(LN(2)/2)*V100*Y100*VLOOKUP('Données projet'!$B$9,Paramètres!$A$1:$I$89,3,0)*0.475*44/12</f>
        <v>9.6309401758226351E-10</v>
      </c>
      <c r="AC100" s="22">
        <f t="shared" si="57"/>
        <v>5.2250593862410284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175.05987582828078</v>
      </c>
      <c r="AO100" s="59">
        <f t="shared" si="90"/>
        <v>268.54782308462387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1.3967305793885769</v>
      </c>
      <c r="AV100" s="21">
        <f>EXP(-LN(2)/25)*AV99+(1-EXP(-LN(2)/25))/(LN(2)/25)*Calculateur!AQ100*Calculateur!AS100*VLOOKUP('Données projet'!$B$10,Paramètres!$A$1:$I$89,3,0)*0.475*44/12</f>
        <v>2.8339234676823097</v>
      </c>
      <c r="AW100" s="21">
        <f>EXP(-LN(2)/2)*AW99+(1-EXP(-LN(2)/2))/(LN(2)/2)*AQ100*AT100*VLOOKUP('Données projet'!$B$10,Paramètres!$A$1:$I$89,3,0)*0.475*44/12</f>
        <v>8.5197076340622976E-10</v>
      </c>
      <c r="AX100" s="21">
        <f t="shared" si="60"/>
        <v>4.230654047922858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6.5</v>
      </c>
      <c r="BD100" s="12">
        <f>IF('Données projet'!$A$88&gt;35,BD99+BC100-BL99,IF(A100&lt;'Données projet'!$A$88,$BA$205^A100,IF(A100='Données projet'!$A$88,'Données projet'!$B$88,BD99+BC100-BL99)))</f>
        <v>601.50000000000057</v>
      </c>
      <c r="BE100" s="13">
        <f>BD100*VLOOKUP('Données projet'!$B$11,Paramètres!$A$1:$I$89,3,0)*VLOOKUP('Données projet'!$B$11,Paramètres!$A$1:$I$89,5,0)</f>
        <v>359.6970000000004</v>
      </c>
      <c r="BF100" s="13">
        <f t="shared" si="91"/>
        <v>83.5560373183081</v>
      </c>
      <c r="BG100" s="20">
        <f t="shared" si="61"/>
        <v>771.99903999605385</v>
      </c>
      <c r="BH100" s="59">
        <f t="shared" si="62"/>
        <v>1065.3323733293871</v>
      </c>
      <c r="BI100" s="59">
        <f ca="1">AVERAGE(OFFSET($BH$3,0,0,'Données projet'!$E$11+1,1))-AVERAGE(OFFSET($H$3,0,0,'Données projet'!$E$11+1,1))</f>
        <v>381.78368385345919</v>
      </c>
      <c r="BJ100" s="59">
        <f t="shared" si="92"/>
        <v>257.35575295655639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2.3795483049264741</v>
      </c>
      <c r="BR100" s="21">
        <f>EXP(-LN(2)/2)*BR99+(1-EXP(-LN(2)/2))/(LN(2)/2)*BL100*BO100*VLOOKUP('Données projet'!$B$11,Paramètres!$A$1:$I$89,3,0)*0.475*44/12</f>
        <v>1.4891632698319349E-6</v>
      </c>
      <c r="BS100" s="22">
        <f t="shared" si="63"/>
        <v>2.3795497940897441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1.1368683772161603E-13</v>
      </c>
      <c r="BZ100" s="13">
        <f>BY100*VLOOKUP('Données projet'!$B$12,Paramètres!$A$1:$I$89,3,0)*VLOOKUP('Données projet'!$B$12,Paramètres!$A$1:$I$89,5,0)</f>
        <v>5.4683368944097308E-14</v>
      </c>
      <c r="CA100" s="13">
        <f t="shared" si="93"/>
        <v>8.8129432816788268E-13</v>
      </c>
      <c r="CB100" s="20">
        <f t="shared" si="64"/>
        <v>1.6301611558033651E-12</v>
      </c>
      <c r="CC100" s="59">
        <f t="shared" si="65"/>
        <v>293.33333333333496</v>
      </c>
      <c r="CD100" s="59">
        <f ca="1">AVERAGE(OFFSET($CC$3,0,0,'Données projet'!$E$12+1,1))-AVERAGE(OFFSET($H$3,0,0,'Données projet'!$E$12+1,1))</f>
        <v>415.97633163853953</v>
      </c>
      <c r="CE100" s="59">
        <f t="shared" si="94"/>
        <v>356.23532720804423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0.71691790532394162</v>
      </c>
      <c r="CL100" s="21">
        <f>EXP(-LN(2)/25)*CL99+(1-EXP(-LN(2)/25))/(LN(2)/25)*Calculateur!CG100*Calculateur!CI100*VLOOKUP('Données projet'!$B$12,Paramètres!$A$1:$I$89,3,0)*0.475*44/12</f>
        <v>2.3467874951548247</v>
      </c>
      <c r="CM100" s="21">
        <f>EXP(-LN(2)/2)*CM99+(1-EXP(-LN(2)/2))/(LN(2)/2)*CG100*CJ100*VLOOKUP('Données projet'!$B$12,Paramètres!$A$1:$I$89,3,0)*0.475*44/12</f>
        <v>2.6075542041883085E-9</v>
      </c>
      <c r="CN100" s="22">
        <f t="shared" si="66"/>
        <v>3.0637054030863204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-4.5474735088646412E-13</v>
      </c>
      <c r="O101" s="13">
        <f>N101*VLOOKUP('Données projet'!$B$9,Paramètres!$A$1:$I$89,3,0)*VLOOKUP('Données projet'!$B$9,Paramètres!$A$1:$I$89,5,0)</f>
        <v>-2.5420376914553347E-13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492.3498626914548</v>
      </c>
      <c r="T101" s="59">
        <f t="shared" si="88"/>
        <v>635.90304180030307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1.4215082184043912</v>
      </c>
      <c r="AA101" s="21">
        <f>EXP(-LN(2)/25)*AA100+(1-EXP(-LN(2)/25))/(LN(2)/25)*Calculateur!V101*Calculateur!X101*VLOOKUP('Données projet'!$B$9,Paramètres!$A$1:$I$89,3,0)*0.475*44/12</f>
        <v>3.671887894921658</v>
      </c>
      <c r="AB101" s="21">
        <f>EXP(-LN(2)/2)*AB100+(1-EXP(-LN(2)/2))/(LN(2)/2)*V101*Y101*VLOOKUP('Données projet'!$B$9,Paramètres!$A$1:$I$89,3,0)*0.475*44/12</f>
        <v>6.8101031075261457E-10</v>
      </c>
      <c r="AC101" s="22">
        <f t="shared" si="57"/>
        <v>5.0933961140070592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175.05987582828078</v>
      </c>
      <c r="AO101" s="59">
        <f t="shared" si="90"/>
        <v>268.54782308462387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1.3693415446483002</v>
      </c>
      <c r="AV101" s="21">
        <f>EXP(-LN(2)/25)*AV100+(1-EXP(-LN(2)/25))/(LN(2)/25)*Calculateur!AQ101*Calculateur!AS101*VLOOKUP('Données projet'!$B$10,Paramètres!$A$1:$I$89,3,0)*0.475*44/12</f>
        <v>2.7564296814289788</v>
      </c>
      <c r="AW101" s="21">
        <f>EXP(-LN(2)/2)*AW100+(1-EXP(-LN(2)/2))/(LN(2)/2)*AQ101*AT101*VLOOKUP('Données projet'!$B$10,Paramètres!$A$1:$I$89,3,0)*0.475*44/12</f>
        <v>6.0243430417722475E-10</v>
      </c>
      <c r="AX101" s="21">
        <f t="shared" si="60"/>
        <v>4.1257712266797135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6.5</v>
      </c>
      <c r="BD101" s="12">
        <f>IF('Données projet'!$A$88&gt;35,BD100+BC101-BL100,IF(A101&lt;'Données projet'!$A$88,$BA$205^A101,IF(A101='Données projet'!$A$88,'Données projet'!$B$88,BD100+BC101-BL100)))</f>
        <v>608.00000000000057</v>
      </c>
      <c r="BE101" s="13">
        <f>BD101*VLOOKUP('Données projet'!$B$11,Paramètres!$A$1:$I$89,3,0)*VLOOKUP('Données projet'!$B$11,Paramètres!$A$1:$I$89,5,0)</f>
        <v>363.5840000000004</v>
      </c>
      <c r="BF101" s="13">
        <f t="shared" si="91"/>
        <v>84.353369208346365</v>
      </c>
      <c r="BG101" s="20">
        <f t="shared" si="61"/>
        <v>780.15758470453727</v>
      </c>
      <c r="BH101" s="59">
        <f t="shared" si="62"/>
        <v>1073.4909180378706</v>
      </c>
      <c r="BI101" s="59">
        <f ca="1">AVERAGE(OFFSET($BH$3,0,0,'Données projet'!$E$11+1,1))-AVERAGE(OFFSET($H$3,0,0,'Données projet'!$E$11+1,1))</f>
        <v>381.78368385345919</v>
      </c>
      <c r="BJ101" s="59">
        <f t="shared" si="92"/>
        <v>257.35575295655639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2.3144794313932526</v>
      </c>
      <c r="BR101" s="21">
        <f>EXP(-LN(2)/2)*BR100+(1-EXP(-LN(2)/2))/(LN(2)/2)*BL101*BO101*VLOOKUP('Données projet'!$B$11,Paramètres!$A$1:$I$89,3,0)*0.475*44/12</f>
        <v>1.0529974463920936E-6</v>
      </c>
      <c r="BS101" s="22">
        <f t="shared" si="63"/>
        <v>2.3144804843906992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1.1368683772161603E-13</v>
      </c>
      <c r="BZ101" s="13">
        <f>BY101*VLOOKUP('Données projet'!$B$12,Paramètres!$A$1:$I$89,3,0)*VLOOKUP('Données projet'!$B$12,Paramètres!$A$1:$I$89,5,0)</f>
        <v>5.4683368944097308E-14</v>
      </c>
      <c r="CA101" s="13">
        <f t="shared" si="93"/>
        <v>8.8129432816788268E-13</v>
      </c>
      <c r="CB101" s="20">
        <f t="shared" si="64"/>
        <v>1.6301611558033651E-12</v>
      </c>
      <c r="CC101" s="59">
        <f t="shared" si="65"/>
        <v>293.33333333333496</v>
      </c>
      <c r="CD101" s="59">
        <f ca="1">AVERAGE(OFFSET($CC$3,0,0,'Données projet'!$E$12+1,1))-AVERAGE(OFFSET($H$3,0,0,'Données projet'!$E$12+1,1))</f>
        <v>415.97633163853953</v>
      </c>
      <c r="CE101" s="59">
        <f t="shared" si="94"/>
        <v>356.23532720804423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0.70285958247728386</v>
      </c>
      <c r="CL101" s="21">
        <f>EXP(-LN(2)/25)*CL100+(1-EXP(-LN(2)/25))/(LN(2)/25)*Calculateur!CG101*Calculateur!CI101*VLOOKUP('Données projet'!$B$12,Paramètres!$A$1:$I$89,3,0)*0.475*44/12</f>
        <v>2.2826144676876252</v>
      </c>
      <c r="CM101" s="21">
        <f>EXP(-LN(2)/2)*CM100+(1-EXP(-LN(2)/2))/(LN(2)/2)*CG101*CJ101*VLOOKUP('Données projet'!$B$12,Paramètres!$A$1:$I$89,3,0)*0.475*44/12</f>
        <v>1.8438192600930445E-9</v>
      </c>
      <c r="CN101" s="22">
        <f t="shared" si="66"/>
        <v>2.9854740520087284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-4.5474735088646412E-13</v>
      </c>
      <c r="O102" s="13">
        <f>N102*VLOOKUP('Données projet'!$B$9,Paramètres!$A$1:$I$89,3,0)*VLOOKUP('Données projet'!$B$9,Paramètres!$A$1:$I$89,5,0)</f>
        <v>-2.5420376914553347E-13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492.3498626914548</v>
      </c>
      <c r="T102" s="59">
        <f t="shared" si="88"/>
        <v>635.90304180030307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1.3936333092758819</v>
      </c>
      <c r="AA102" s="21">
        <f>EXP(-LN(2)/25)*AA101+(1-EXP(-LN(2)/25))/(LN(2)/25)*Calculateur!V102*Calculateur!X102*VLOOKUP('Données projet'!$B$9,Paramètres!$A$1:$I$89,3,0)*0.475*44/12</f>
        <v>3.5714799273388329</v>
      </c>
      <c r="AB102" s="21">
        <f>EXP(-LN(2)/2)*AB101+(1-EXP(-LN(2)/2))/(LN(2)/2)*V102*Y102*VLOOKUP('Données projet'!$B$9,Paramètres!$A$1:$I$89,3,0)*0.475*44/12</f>
        <v>4.8154700879113176E-10</v>
      </c>
      <c r="AC102" s="22">
        <f t="shared" si="57"/>
        <v>4.9651132370962623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175.05987582828078</v>
      </c>
      <c r="AO102" s="59">
        <f t="shared" si="90"/>
        <v>268.54782308462387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1.3424895921736184</v>
      </c>
      <c r="AV102" s="21">
        <f>EXP(-LN(2)/25)*AV101+(1-EXP(-LN(2)/25))/(LN(2)/25)*Calculateur!AQ102*Calculateur!AS102*VLOOKUP('Données projet'!$B$10,Paramètres!$A$1:$I$89,3,0)*0.475*44/12</f>
        <v>2.6810549668359664</v>
      </c>
      <c r="AW102" s="21">
        <f>EXP(-LN(2)/2)*AW101+(1-EXP(-LN(2)/2))/(LN(2)/2)*AQ102*AT102*VLOOKUP('Données projet'!$B$10,Paramètres!$A$1:$I$89,3,0)*0.475*44/12</f>
        <v>4.2598538170311488E-10</v>
      </c>
      <c r="AX102" s="21">
        <f t="shared" si="60"/>
        <v>4.0235445594355701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6.5</v>
      </c>
      <c r="BD102" s="12">
        <f>IF('Données projet'!$A$88&gt;35,BD101+BC102-BL101,IF(A102&lt;'Données projet'!$A$88,$BA$205^A102,IF(A102='Données projet'!$A$88,'Données projet'!$B$88,BD101+BC102-BL101)))</f>
        <v>614.50000000000057</v>
      </c>
      <c r="BE102" s="13">
        <f>BD102*VLOOKUP('Données projet'!$B$11,Paramètres!$A$1:$I$89,3,0)*VLOOKUP('Données projet'!$B$11,Paramètres!$A$1:$I$89,5,0)</f>
        <v>367.4710000000004</v>
      </c>
      <c r="BF102" s="13">
        <f t="shared" si="91"/>
        <v>85.149709489407996</v>
      </c>
      <c r="BG102" s="20">
        <f t="shared" si="61"/>
        <v>788.31440236071967</v>
      </c>
      <c r="BH102" s="59">
        <f t="shared" si="62"/>
        <v>1081.6477356940529</v>
      </c>
      <c r="BI102" s="59">
        <f ca="1">AVERAGE(OFFSET($BH$3,0,0,'Données projet'!$E$11+1,1))-AVERAGE(OFFSET($H$3,0,0,'Données projet'!$E$11+1,1))</f>
        <v>381.78368385345919</v>
      </c>
      <c r="BJ102" s="59">
        <f t="shared" si="92"/>
        <v>257.35575295655639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2.2511898696286208</v>
      </c>
      <c r="BR102" s="21">
        <f>EXP(-LN(2)/2)*BR101+(1-EXP(-LN(2)/2))/(LN(2)/2)*BL102*BO102*VLOOKUP('Données projet'!$B$11,Paramètres!$A$1:$I$89,3,0)*0.475*44/12</f>
        <v>7.4458163491596747E-7</v>
      </c>
      <c r="BS102" s="22">
        <f t="shared" si="63"/>
        <v>2.2511906142102558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1.1368683772161603E-13</v>
      </c>
      <c r="BZ102" s="13">
        <f>BY102*VLOOKUP('Données projet'!$B$12,Paramètres!$A$1:$I$89,3,0)*VLOOKUP('Données projet'!$B$12,Paramètres!$A$1:$I$89,5,0)</f>
        <v>5.4683368944097308E-14</v>
      </c>
      <c r="CA102" s="13">
        <f t="shared" si="93"/>
        <v>8.8129432816788268E-13</v>
      </c>
      <c r="CB102" s="20">
        <f t="shared" si="64"/>
        <v>1.6301611558033651E-12</v>
      </c>
      <c r="CC102" s="59">
        <f t="shared" si="65"/>
        <v>293.33333333333496</v>
      </c>
      <c r="CD102" s="59">
        <f ca="1">AVERAGE(OFFSET($CC$3,0,0,'Données projet'!$E$12+1,1))-AVERAGE(OFFSET($H$3,0,0,'Données projet'!$E$12+1,1))</f>
        <v>415.97633163853953</v>
      </c>
      <c r="CE102" s="59">
        <f t="shared" si="94"/>
        <v>356.23532720804423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0.68907693476691878</v>
      </c>
      <c r="CL102" s="21">
        <f>EXP(-LN(2)/25)*CL101+(1-EXP(-LN(2)/25))/(LN(2)/25)*Calculateur!CG102*Calculateur!CI102*VLOOKUP('Données projet'!$B$12,Paramètres!$A$1:$I$89,3,0)*0.475*44/12</f>
        <v>2.2201962550312291</v>
      </c>
      <c r="CM102" s="21">
        <f>EXP(-LN(2)/2)*CM101+(1-EXP(-LN(2)/2))/(LN(2)/2)*CG102*CJ102*VLOOKUP('Données projet'!$B$12,Paramètres!$A$1:$I$89,3,0)*0.475*44/12</f>
        <v>1.3037771020941545E-9</v>
      </c>
      <c r="CN102" s="22">
        <f t="shared" si="66"/>
        <v>2.9092731911019247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-4.5474735088646412E-13</v>
      </c>
      <c r="O103" s="13">
        <f>N103*VLOOKUP('Données projet'!$B$9,Paramètres!$A$1:$I$89,3,0)*VLOOKUP('Données projet'!$B$9,Paramètres!$A$1:$I$89,5,0)</f>
        <v>-2.5420376914553347E-13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492.3498626914548</v>
      </c>
      <c r="T103" s="59">
        <f t="shared" si="88"/>
        <v>635.90304180030307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1.3663050101133669</v>
      </c>
      <c r="AA103" s="21">
        <f>EXP(-LN(2)/25)*AA102+(1-EXP(-LN(2)/25))/(LN(2)/25)*Calculateur!V103*Calculateur!X103*VLOOKUP('Données projet'!$B$9,Paramètres!$A$1:$I$89,3,0)*0.475*44/12</f>
        <v>3.4738176209097857</v>
      </c>
      <c r="AB103" s="21">
        <f>EXP(-LN(2)/2)*AB102+(1-EXP(-LN(2)/2))/(LN(2)/2)*V103*Y103*VLOOKUP('Données projet'!$B$9,Paramètres!$A$1:$I$89,3,0)*0.475*44/12</f>
        <v>3.4050515537630728E-10</v>
      </c>
      <c r="AC103" s="22">
        <f t="shared" si="57"/>
        <v>4.8401226313636583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175.05987582828078</v>
      </c>
      <c r="AO103" s="59">
        <f t="shared" si="90"/>
        <v>268.54782308462387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1.3161641901088914</v>
      </c>
      <c r="AV103" s="21">
        <f>EXP(-LN(2)/25)*AV102+(1-EXP(-LN(2)/25))/(LN(2)/25)*Calculateur!AQ103*Calculateur!AS103*VLOOKUP('Données projet'!$B$10,Paramètres!$A$1:$I$89,3,0)*0.475*44/12</f>
        <v>2.607741377777284</v>
      </c>
      <c r="AW103" s="21">
        <f>EXP(-LN(2)/2)*AW102+(1-EXP(-LN(2)/2))/(LN(2)/2)*AQ103*AT103*VLOOKUP('Données projet'!$B$10,Paramètres!$A$1:$I$89,3,0)*0.475*44/12</f>
        <v>3.0121715208861237E-10</v>
      </c>
      <c r="AX103" s="21">
        <f t="shared" si="60"/>
        <v>3.9239055681873927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621</v>
      </c>
      <c r="BB103" s="12">
        <f>VLOOKUP(A103,'Données projet'!$A$87:$I$107,9,0)</f>
        <v>6.5</v>
      </c>
      <c r="BC103" s="12">
        <f t="array" ref="BC103">INDEX(BB:BB,MIN(IF(ISNUMBER(BB103:BB299),ROW(BB103:BB299),"")))</f>
        <v>6.5</v>
      </c>
      <c r="BD103" s="12">
        <f>IF('Données projet'!$A$88&gt;35,BD102+BC103-BL102,IF(A103&lt;'Données projet'!$A$88,$BA$205^A103,IF(A103='Données projet'!$A$88,'Données projet'!$B$88,BD102+BC103-BL102)))</f>
        <v>621.00000000000057</v>
      </c>
      <c r="BE103" s="13">
        <f>BD103*VLOOKUP('Données projet'!$B$11,Paramètres!$A$1:$I$89,3,0)*VLOOKUP('Données projet'!$B$11,Paramètres!$A$1:$I$89,5,0)</f>
        <v>371.35800000000035</v>
      </c>
      <c r="BF103" s="13">
        <f t="shared" si="91"/>
        <v>85.945069864586898</v>
      </c>
      <c r="BG103" s="20">
        <f t="shared" si="61"/>
        <v>796.4695133474894</v>
      </c>
      <c r="BH103" s="59">
        <f t="shared" si="62"/>
        <v>1089.8028466808228</v>
      </c>
      <c r="BI103" s="59">
        <f ca="1">AVERAGE(OFFSET($BH$3,0,0,'Données projet'!$E$11+1,1))-AVERAGE(OFFSET($H$3,0,0,'Données projet'!$E$11+1,1))</f>
        <v>381.78368385345919</v>
      </c>
      <c r="BJ103" s="59">
        <f t="shared" si="92"/>
        <v>257.35575295655639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621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2.1896309642586962</v>
      </c>
      <c r="BR103" s="21">
        <f>EXP(-LN(2)/2)*BR102+(1-EXP(-LN(2)/2))/(LN(2)/2)*BL103*BO103*VLOOKUP('Données projet'!$B$11,Paramètres!$A$1:$I$89,3,0)*0.475*44/12</f>
        <v>5.2649872319604682E-7</v>
      </c>
      <c r="BS103" s="22">
        <f t="shared" si="63"/>
        <v>2.1896314907574195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1.1368683772161603E-13</v>
      </c>
      <c r="BZ103" s="13">
        <f>BY103*VLOOKUP('Données projet'!$B$12,Paramètres!$A$1:$I$89,3,0)*VLOOKUP('Données projet'!$B$12,Paramètres!$A$1:$I$89,5,0)</f>
        <v>5.4683368944097308E-14</v>
      </c>
      <c r="CA103" s="13">
        <f t="shared" si="93"/>
        <v>8.8129432816788268E-13</v>
      </c>
      <c r="CB103" s="20">
        <f t="shared" si="64"/>
        <v>1.6301611558033651E-12</v>
      </c>
      <c r="CC103" s="59">
        <f t="shared" si="65"/>
        <v>293.33333333333496</v>
      </c>
      <c r="CD103" s="59">
        <f ca="1">AVERAGE(OFFSET($CC$3,0,0,'Données projet'!$E$12+1,1))-AVERAGE(OFFSET($H$3,0,0,'Données projet'!$E$12+1,1))</f>
        <v>415.97633163853953</v>
      </c>
      <c r="CE103" s="59">
        <f t="shared" si="94"/>
        <v>356.23532720804423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0.67556455637156898</v>
      </c>
      <c r="CL103" s="21">
        <f>EXP(-LN(2)/25)*CL102+(1-EXP(-LN(2)/25))/(LN(2)/25)*Calculateur!CG103*Calculateur!CI103*VLOOKUP('Données projet'!$B$12,Paramètres!$A$1:$I$89,3,0)*0.475*44/12</f>
        <v>2.1594848716823534</v>
      </c>
      <c r="CM103" s="21">
        <f>EXP(-LN(2)/2)*CM102+(1-EXP(-LN(2)/2))/(LN(2)/2)*CG103*CJ103*VLOOKUP('Données projet'!$B$12,Paramètres!$A$1:$I$89,3,0)*0.475*44/12</f>
        <v>9.2190963004652237E-10</v>
      </c>
      <c r="CN103" s="22">
        <f t="shared" si="66"/>
        <v>2.8350494289758319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-4.5474735088646412E-13</v>
      </c>
      <c r="O104" s="13">
        <f>N104*VLOOKUP('Données projet'!$B$9,Paramètres!$A$1:$I$89,3,0)*VLOOKUP('Données projet'!$B$9,Paramètres!$A$1:$I$89,5,0)</f>
        <v>-2.5420376914553347E-13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492.3498626914548</v>
      </c>
      <c r="T104" s="59">
        <f t="shared" si="88"/>
        <v>635.90304180030307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1.3395126022288122</v>
      </c>
      <c r="AA104" s="21">
        <f>EXP(-LN(2)/25)*AA103+(1-EXP(-LN(2)/25))/(LN(2)/25)*Calculateur!V104*Calculateur!X104*VLOOKUP('Données projet'!$B$9,Paramètres!$A$1:$I$89,3,0)*0.475*44/12</f>
        <v>3.3788258953858783</v>
      </c>
      <c r="AB104" s="21">
        <f>EXP(-LN(2)/2)*AB103+(1-EXP(-LN(2)/2))/(LN(2)/2)*V104*Y104*VLOOKUP('Données projet'!$B$9,Paramètres!$A$1:$I$89,3,0)*0.475*44/12</f>
        <v>2.4077350439556588E-10</v>
      </c>
      <c r="AC104" s="22">
        <f t="shared" si="57"/>
        <v>4.7183384978554637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175.05987582828078</v>
      </c>
      <c r="AO104" s="59">
        <f t="shared" si="90"/>
        <v>268.54782308462387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1.2903550131217441</v>
      </c>
      <c r="AV104" s="21">
        <f>EXP(-LN(2)/25)*AV103+(1-EXP(-LN(2)/25))/(LN(2)/25)*Calculateur!AQ104*Calculateur!AS104*VLOOKUP('Données projet'!$B$10,Paramètres!$A$1:$I$89,3,0)*0.475*44/12</f>
        <v>2.5364325526668052</v>
      </c>
      <c r="AW104" s="21">
        <f>EXP(-LN(2)/2)*AW103+(1-EXP(-LN(2)/2))/(LN(2)/2)*AQ104*AT104*VLOOKUP('Données projet'!$B$10,Paramètres!$A$1:$I$89,3,0)*0.475*44/12</f>
        <v>2.1299269085155744E-10</v>
      </c>
      <c r="AX104" s="21">
        <f t="shared" si="60"/>
        <v>3.826787566001542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5.6843418860808015E-13</v>
      </c>
      <c r="BE104" s="13">
        <f>BD104*VLOOKUP('Données projet'!$B$11,Paramètres!$A$1:$I$89,3,0)*VLOOKUP('Données projet'!$B$11,Paramètres!$A$1:$I$89,5,0)</f>
        <v>3.39923644787632E-13</v>
      </c>
      <c r="BF104" s="13">
        <f t="shared" si="91"/>
        <v>4.4287447204943725E-12</v>
      </c>
      <c r="BG104" s="20">
        <f t="shared" si="61"/>
        <v>8.3054307361994904E-12</v>
      </c>
      <c r="BH104" s="59">
        <f t="shared" si="62"/>
        <v>293.33333333334161</v>
      </c>
      <c r="BI104" s="59">
        <f ca="1">AVERAGE(OFFSET($BH$3,0,0,'Données projet'!$E$11+1,1))-AVERAGE(OFFSET($H$3,0,0,'Données projet'!$E$11+1,1))</f>
        <v>381.78368385345919</v>
      </c>
      <c r="BJ104" s="59">
        <f t="shared" si="92"/>
        <v>257.35575295655639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2.1297553903933544</v>
      </c>
      <c r="BR104" s="21">
        <f>EXP(-LN(2)/2)*BR103+(1-EXP(-LN(2)/2))/(LN(2)/2)*BL104*BO104*VLOOKUP('Données projet'!$B$11,Paramètres!$A$1:$I$89,3,0)*0.475*44/12</f>
        <v>3.7229081745798373E-7</v>
      </c>
      <c r="BS104" s="22">
        <f t="shared" si="63"/>
        <v>2.1297557626841717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1.1368683772161603E-13</v>
      </c>
      <c r="BZ104" s="13">
        <f>BY104*VLOOKUP('Données projet'!$B$12,Paramètres!$A$1:$I$89,3,0)*VLOOKUP('Données projet'!$B$12,Paramètres!$A$1:$I$89,5,0)</f>
        <v>5.4683368944097308E-14</v>
      </c>
      <c r="CA104" s="13">
        <f t="shared" si="93"/>
        <v>8.8129432816788268E-13</v>
      </c>
      <c r="CB104" s="20">
        <f t="shared" si="64"/>
        <v>1.6301611558033651E-12</v>
      </c>
      <c r="CC104" s="59">
        <f t="shared" si="65"/>
        <v>293.33333333333496</v>
      </c>
      <c r="CD104" s="59">
        <f ca="1">AVERAGE(OFFSET($CC$3,0,0,'Données projet'!$E$12+1,1))-AVERAGE(OFFSET($H$3,0,0,'Données projet'!$E$12+1,1))</f>
        <v>415.97633163853953</v>
      </c>
      <c r="CE104" s="59">
        <f t="shared" si="94"/>
        <v>356.23532720804423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0.66231714747481496</v>
      </c>
      <c r="CL104" s="21">
        <f>EXP(-LN(2)/25)*CL103+(1-EXP(-LN(2)/25))/(LN(2)/25)*Calculateur!CG104*Calculateur!CI104*VLOOKUP('Données projet'!$B$12,Paramètres!$A$1:$I$89,3,0)*0.475*44/12</f>
        <v>2.1004336443038256</v>
      </c>
      <c r="CM104" s="21">
        <f>EXP(-LN(2)/2)*CM103+(1-EXP(-LN(2)/2))/(LN(2)/2)*CG104*CJ104*VLOOKUP('Données projet'!$B$12,Paramètres!$A$1:$I$89,3,0)*0.475*44/12</f>
        <v>6.5188855104707734E-10</v>
      </c>
      <c r="CN104" s="22">
        <f t="shared" si="66"/>
        <v>2.7627507924305292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-4.5474735088646412E-13</v>
      </c>
      <c r="O105" s="13">
        <f>N105*VLOOKUP('Données projet'!$B$9,Paramètres!$A$1:$I$89,3,0)*VLOOKUP('Données projet'!$B$9,Paramètres!$A$1:$I$89,5,0)</f>
        <v>-2.5420376914553347E-13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492.3498626914548</v>
      </c>
      <c r="T105" s="59">
        <f t="shared" si="88"/>
        <v>635.90304180030307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1.3132455771211182</v>
      </c>
      <c r="AA105" s="21">
        <f>EXP(-LN(2)/25)*AA104+(1-EXP(-LN(2)/25))/(LN(2)/25)*Calculateur!V105*Calculateur!X105*VLOOKUP('Données projet'!$B$9,Paramètres!$A$1:$I$89,3,0)*0.475*44/12</f>
        <v>3.2864317235918201</v>
      </c>
      <c r="AB105" s="21">
        <f>EXP(-LN(2)/2)*AB104+(1-EXP(-LN(2)/2))/(LN(2)/2)*V105*Y105*VLOOKUP('Données projet'!$B$9,Paramètres!$A$1:$I$89,3,0)*0.475*44/12</f>
        <v>1.7025257768815364E-10</v>
      </c>
      <c r="AC105" s="22">
        <f t="shared" si="57"/>
        <v>4.599677300883191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175.05987582828078</v>
      </c>
      <c r="AO105" s="59">
        <f t="shared" si="90"/>
        <v>268.54782308462387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1.265051938353271</v>
      </c>
      <c r="AV105" s="21">
        <f>EXP(-LN(2)/25)*AV104+(1-EXP(-LN(2)/25))/(LN(2)/25)*Calculateur!AQ105*Calculateur!AS105*VLOOKUP('Données projet'!$B$10,Paramètres!$A$1:$I$89,3,0)*0.475*44/12</f>
        <v>2.4670736711289405</v>
      </c>
      <c r="AW105" s="21">
        <f>EXP(-LN(2)/2)*AW104+(1-EXP(-LN(2)/2))/(LN(2)/2)*AQ105*AT105*VLOOKUP('Données projet'!$B$10,Paramètres!$A$1:$I$89,3,0)*0.475*44/12</f>
        <v>1.5060857604430619E-10</v>
      </c>
      <c r="AX105" s="21">
        <f t="shared" si="60"/>
        <v>3.7321256096328197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5.6843418860808015E-13</v>
      </c>
      <c r="BE105" s="13">
        <f>BD105*VLOOKUP('Données projet'!$B$11,Paramètres!$A$1:$I$89,3,0)*VLOOKUP('Données projet'!$B$11,Paramètres!$A$1:$I$89,5,0)</f>
        <v>3.39923644787632E-13</v>
      </c>
      <c r="BF105" s="13">
        <f t="shared" si="91"/>
        <v>4.4287447204943725E-12</v>
      </c>
      <c r="BG105" s="20">
        <f t="shared" si="61"/>
        <v>8.3054307361994904E-12</v>
      </c>
      <c r="BH105" s="59">
        <f t="shared" si="62"/>
        <v>293.33333333334161</v>
      </c>
      <c r="BI105" s="59">
        <f ca="1">AVERAGE(OFFSET($BH$3,0,0,'Données projet'!$E$11+1,1))-AVERAGE(OFFSET($H$3,0,0,'Données projet'!$E$11+1,1))</f>
        <v>381.78368385345919</v>
      </c>
      <c r="BJ105" s="59">
        <f t="shared" si="92"/>
        <v>257.35575295655639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2.0715171172440798</v>
      </c>
      <c r="BR105" s="21">
        <f>EXP(-LN(2)/2)*BR104+(1-EXP(-LN(2)/2))/(LN(2)/2)*BL105*BO105*VLOOKUP('Données projet'!$B$11,Paramètres!$A$1:$I$89,3,0)*0.475*44/12</f>
        <v>2.6324936159802341E-7</v>
      </c>
      <c r="BS105" s="22">
        <f t="shared" si="63"/>
        <v>2.0715173804934413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1.1368683772161603E-13</v>
      </c>
      <c r="BZ105" s="13">
        <f>BY105*VLOOKUP('Données projet'!$B$12,Paramètres!$A$1:$I$89,3,0)*VLOOKUP('Données projet'!$B$12,Paramètres!$A$1:$I$89,5,0)</f>
        <v>5.4683368944097308E-14</v>
      </c>
      <c r="CA105" s="13">
        <f t="shared" si="93"/>
        <v>8.8129432816788268E-13</v>
      </c>
      <c r="CB105" s="20">
        <f t="shared" si="64"/>
        <v>1.6301611558033651E-12</v>
      </c>
      <c r="CC105" s="59">
        <f t="shared" si="65"/>
        <v>293.33333333333496</v>
      </c>
      <c r="CD105" s="59">
        <f ca="1">AVERAGE(OFFSET($CC$3,0,0,'Données projet'!$E$12+1,1))-AVERAGE(OFFSET($H$3,0,0,'Données projet'!$E$12+1,1))</f>
        <v>415.97633163853953</v>
      </c>
      <c r="CE105" s="59">
        <f t="shared" si="94"/>
        <v>356.23532720804423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0.64932951218640467</v>
      </c>
      <c r="CL105" s="21">
        <f>EXP(-LN(2)/25)*CL104+(1-EXP(-LN(2)/25))/(LN(2)/25)*Calculateur!CG105*Calculateur!CI105*VLOOKUP('Données projet'!$B$12,Paramètres!$A$1:$I$89,3,0)*0.475*44/12</f>
        <v>2.042997175843333</v>
      </c>
      <c r="CM105" s="21">
        <f>EXP(-LN(2)/2)*CM104+(1-EXP(-LN(2)/2))/(LN(2)/2)*CG105*CJ105*VLOOKUP('Données projet'!$B$12,Paramètres!$A$1:$I$89,3,0)*0.475*44/12</f>
        <v>4.6095481502326124E-10</v>
      </c>
      <c r="CN105" s="22">
        <f t="shared" si="66"/>
        <v>2.6923266884906925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-4.5474735088646412E-13</v>
      </c>
      <c r="O106" s="13">
        <f>N106*VLOOKUP('Données projet'!$B$9,Paramètres!$A$1:$I$89,3,0)*VLOOKUP('Données projet'!$B$9,Paramètres!$A$1:$I$89,5,0)</f>
        <v>-2.5420376914553347E-13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492.3498626914548</v>
      </c>
      <c r="T106" s="59">
        <f t="shared" si="88"/>
        <v>635.90304180030307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1.287493632354483</v>
      </c>
      <c r="AA106" s="21">
        <f>EXP(-LN(2)/25)*AA105+(1-EXP(-LN(2)/25))/(LN(2)/25)*Calculateur!V106*Calculateur!X106*VLOOKUP('Données projet'!$B$9,Paramètres!$A$1:$I$89,3,0)*0.475*44/12</f>
        <v>3.1965640752842686</v>
      </c>
      <c r="AB106" s="21">
        <f>EXP(-LN(2)/2)*AB105+(1-EXP(-LN(2)/2))/(LN(2)/2)*V106*Y106*VLOOKUP('Données projet'!$B$9,Paramètres!$A$1:$I$89,3,0)*0.475*44/12</f>
        <v>1.2038675219778294E-10</v>
      </c>
      <c r="AC106" s="22">
        <f t="shared" si="57"/>
        <v>4.4840577077591375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175.05987582828078</v>
      </c>
      <c r="AO106" s="59">
        <f t="shared" si="90"/>
        <v>268.54782308462387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1.240245041447656</v>
      </c>
      <c r="AV106" s="21">
        <f>EXP(-LN(2)/25)*AV105+(1-EXP(-LN(2)/25))/(LN(2)/25)*Calculateur!AQ106*Calculateur!AS106*VLOOKUP('Données projet'!$B$10,Paramètres!$A$1:$I$89,3,0)*0.475*44/12</f>
        <v>2.3996114118541536</v>
      </c>
      <c r="AW106" s="21">
        <f>EXP(-LN(2)/2)*AW105+(1-EXP(-LN(2)/2))/(LN(2)/2)*AQ106*AT106*VLOOKUP('Données projet'!$B$10,Paramètres!$A$1:$I$89,3,0)*0.475*44/12</f>
        <v>1.0649634542577872E-10</v>
      </c>
      <c r="AX106" s="21">
        <f t="shared" si="60"/>
        <v>3.6398564534083055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5.6843418860808015E-13</v>
      </c>
      <c r="BE106" s="13">
        <f>BD106*VLOOKUP('Données projet'!$B$11,Paramètres!$A$1:$I$89,3,0)*VLOOKUP('Données projet'!$B$11,Paramètres!$A$1:$I$89,5,0)</f>
        <v>3.39923644787632E-13</v>
      </c>
      <c r="BF106" s="13">
        <f t="shared" si="91"/>
        <v>4.4287447204943725E-12</v>
      </c>
      <c r="BG106" s="20">
        <f t="shared" si="61"/>
        <v>8.3054307361994904E-12</v>
      </c>
      <c r="BH106" s="59">
        <f t="shared" si="62"/>
        <v>293.33333333334161</v>
      </c>
      <c r="BI106" s="59">
        <f ca="1">AVERAGE(OFFSET($BH$3,0,0,'Données projet'!$E$11+1,1))-AVERAGE(OFFSET($H$3,0,0,'Données projet'!$E$11+1,1))</f>
        <v>381.78368385345919</v>
      </c>
      <c r="BJ106" s="59">
        <f t="shared" si="92"/>
        <v>257.35575295655639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2.0148713727366898</v>
      </c>
      <c r="BR106" s="21">
        <f>EXP(-LN(2)/2)*BR105+(1-EXP(-LN(2)/2))/(LN(2)/2)*BL106*BO106*VLOOKUP('Données projet'!$B$11,Paramètres!$A$1:$I$89,3,0)*0.475*44/12</f>
        <v>1.8614540872899187E-7</v>
      </c>
      <c r="BS106" s="22">
        <f t="shared" si="63"/>
        <v>2.0148715588820987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1.1368683772161603E-13</v>
      </c>
      <c r="BZ106" s="13">
        <f>BY106*VLOOKUP('Données projet'!$B$12,Paramètres!$A$1:$I$89,3,0)*VLOOKUP('Données projet'!$B$12,Paramètres!$A$1:$I$89,5,0)</f>
        <v>5.4683368944097308E-14</v>
      </c>
      <c r="CA106" s="13">
        <f t="shared" si="93"/>
        <v>8.8129432816788268E-13</v>
      </c>
      <c r="CB106" s="20">
        <f t="shared" si="64"/>
        <v>1.6301611558033651E-12</v>
      </c>
      <c r="CC106" s="59">
        <f t="shared" si="65"/>
        <v>293.33333333333496</v>
      </c>
      <c r="CD106" s="59">
        <f ca="1">AVERAGE(OFFSET($CC$3,0,0,'Données projet'!$E$12+1,1))-AVERAGE(OFFSET($H$3,0,0,'Données projet'!$E$12+1,1))</f>
        <v>415.97633163853953</v>
      </c>
      <c r="CE106" s="59">
        <f t="shared" si="94"/>
        <v>356.23532720804423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0.63659655650432478</v>
      </c>
      <c r="CL106" s="21">
        <f>EXP(-LN(2)/25)*CL105+(1-EXP(-LN(2)/25))/(LN(2)/25)*Calculateur!CG106*Calculateur!CI106*VLOOKUP('Données projet'!$B$12,Paramètres!$A$1:$I$89,3,0)*0.475*44/12</f>
        <v>1.9871313106333448</v>
      </c>
      <c r="CM106" s="21">
        <f>EXP(-LN(2)/2)*CM105+(1-EXP(-LN(2)/2))/(LN(2)/2)*CG106*CJ106*VLOOKUP('Données projet'!$B$12,Paramètres!$A$1:$I$89,3,0)*0.475*44/12</f>
        <v>3.2594427552353872E-10</v>
      </c>
      <c r="CN106" s="22">
        <f t="shared" si="66"/>
        <v>2.623727867463614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-4.5474735088646412E-13</v>
      </c>
      <c r="O107" s="13">
        <f>N107*VLOOKUP('Données projet'!$B$9,Paramètres!$A$1:$I$89,3,0)*VLOOKUP('Données projet'!$B$9,Paramètres!$A$1:$I$89,5,0)</f>
        <v>-2.5420376914553347E-13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492.3498626914548</v>
      </c>
      <c r="T107" s="59">
        <f t="shared" si="88"/>
        <v>635.90304180030307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1.2622466675175861</v>
      </c>
      <c r="AA107" s="21">
        <f>EXP(-LN(2)/25)*AA106+(1-EXP(-LN(2)/25))/(LN(2)/25)*Calculateur!V107*Calculateur!X107*VLOOKUP('Données projet'!$B$9,Paramètres!$A$1:$I$89,3,0)*0.475*44/12</f>
        <v>3.1091538625456212</v>
      </c>
      <c r="AB107" s="21">
        <f>EXP(-LN(2)/2)*AB106+(1-EXP(-LN(2)/2))/(LN(2)/2)*V107*Y107*VLOOKUP('Données projet'!$B$9,Paramètres!$A$1:$I$89,3,0)*0.475*44/12</f>
        <v>8.5126288844076821E-11</v>
      </c>
      <c r="AC107" s="22">
        <f t="shared" si="57"/>
        <v>4.3714005301483336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175.05987582828078</v>
      </c>
      <c r="AO107" s="59">
        <f t="shared" si="90"/>
        <v>268.54782308462387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1.2159245926596471</v>
      </c>
      <c r="AV107" s="21">
        <f>EXP(-LN(2)/25)*AV106+(1-EXP(-LN(2)/25))/(LN(2)/25)*Calculateur!AQ107*Calculateur!AS107*VLOOKUP('Données projet'!$B$10,Paramètres!$A$1:$I$89,3,0)*0.475*44/12</f>
        <v>2.3339939116069219</v>
      </c>
      <c r="AW107" s="21">
        <f>EXP(-LN(2)/2)*AW106+(1-EXP(-LN(2)/2))/(LN(2)/2)*AQ107*AT107*VLOOKUP('Données projet'!$B$10,Paramètres!$A$1:$I$89,3,0)*0.475*44/12</f>
        <v>7.5304288022153094E-11</v>
      </c>
      <c r="AX107" s="21">
        <f t="shared" si="60"/>
        <v>3.5499185043418731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5.6843418860808015E-13</v>
      </c>
      <c r="BE107" s="13">
        <f>BD107*VLOOKUP('Données projet'!$B$11,Paramètres!$A$1:$I$89,3,0)*VLOOKUP('Données projet'!$B$11,Paramètres!$A$1:$I$89,5,0)</f>
        <v>3.39923644787632E-13</v>
      </c>
      <c r="BF107" s="13">
        <f t="shared" si="91"/>
        <v>4.4287447204943725E-12</v>
      </c>
      <c r="BG107" s="20">
        <f t="shared" si="61"/>
        <v>8.3054307361994904E-12</v>
      </c>
      <c r="BH107" s="59">
        <f t="shared" si="62"/>
        <v>293.33333333334161</v>
      </c>
      <c r="BI107" s="59">
        <f ca="1">AVERAGE(OFFSET($BH$3,0,0,'Données projet'!$E$11+1,1))-AVERAGE(OFFSET($H$3,0,0,'Données projet'!$E$11+1,1))</f>
        <v>381.78368385345919</v>
      </c>
      <c r="BJ107" s="59">
        <f t="shared" si="92"/>
        <v>257.35575295655639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1.9597746090917245</v>
      </c>
      <c r="BR107" s="21">
        <f>EXP(-LN(2)/2)*BR106+(1-EXP(-LN(2)/2))/(LN(2)/2)*BL107*BO107*VLOOKUP('Données projet'!$B$11,Paramètres!$A$1:$I$89,3,0)*0.475*44/12</f>
        <v>1.316246807990117E-7</v>
      </c>
      <c r="BS107" s="22">
        <f t="shared" si="63"/>
        <v>1.9597747407164052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1.1368683772161603E-13</v>
      </c>
      <c r="BZ107" s="13">
        <f>BY107*VLOOKUP('Données projet'!$B$12,Paramètres!$A$1:$I$89,3,0)*VLOOKUP('Données projet'!$B$12,Paramètres!$A$1:$I$89,5,0)</f>
        <v>5.4683368944097308E-14</v>
      </c>
      <c r="CA107" s="13">
        <f t="shared" si="93"/>
        <v>8.8129432816788268E-13</v>
      </c>
      <c r="CB107" s="20">
        <f t="shared" si="64"/>
        <v>1.6301611558033651E-12</v>
      </c>
      <c r="CC107" s="59">
        <f t="shared" si="65"/>
        <v>293.33333333333496</v>
      </c>
      <c r="CD107" s="59">
        <f ca="1">AVERAGE(OFFSET($CC$3,0,0,'Données projet'!$E$12+1,1))-AVERAGE(OFFSET($H$3,0,0,'Données projet'!$E$12+1,1))</f>
        <v>415.97633163853953</v>
      </c>
      <c r="CE107" s="59">
        <f t="shared" si="94"/>
        <v>356.23532720804423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0.62411328631683438</v>
      </c>
      <c r="CL107" s="21">
        <f>EXP(-LN(2)/25)*CL106+(1-EXP(-LN(2)/25))/(LN(2)/25)*Calculateur!CG107*Calculateur!CI107*VLOOKUP('Données projet'!$B$12,Paramètres!$A$1:$I$89,3,0)*0.475*44/12</f>
        <v>1.932793100445382</v>
      </c>
      <c r="CM107" s="21">
        <f>EXP(-LN(2)/2)*CM106+(1-EXP(-LN(2)/2))/(LN(2)/2)*CG107*CJ107*VLOOKUP('Données projet'!$B$12,Paramètres!$A$1:$I$89,3,0)*0.475*44/12</f>
        <v>2.3047740751163067E-10</v>
      </c>
      <c r="CN107" s="22">
        <f t="shared" si="66"/>
        <v>2.556906386992694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-4.5474735088646412E-13</v>
      </c>
      <c r="O108" s="13">
        <f>N108*VLOOKUP('Données projet'!$B$9,Paramètres!$A$1:$I$89,3,0)*VLOOKUP('Données projet'!$B$9,Paramètres!$A$1:$I$89,5,0)</f>
        <v>-2.5420376914553347E-13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492.3498626914548</v>
      </c>
      <c r="T108" s="59">
        <f t="shared" si="88"/>
        <v>635.90304180030307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1.2374947802620127</v>
      </c>
      <c r="AA108" s="21">
        <f>EXP(-LN(2)/25)*AA107+(1-EXP(-LN(2)/25))/(LN(2)/25)*Calculateur!V108*Calculateur!X108*VLOOKUP('Données projet'!$B$9,Paramètres!$A$1:$I$89,3,0)*0.475*44/12</f>
        <v>3.0241338866710157</v>
      </c>
      <c r="AB108" s="21">
        <f>EXP(-LN(2)/2)*AB107+(1-EXP(-LN(2)/2))/(LN(2)/2)*V108*Y108*VLOOKUP('Données projet'!$B$9,Paramètres!$A$1:$I$89,3,0)*0.475*44/12</f>
        <v>6.019337609889147E-11</v>
      </c>
      <c r="AC108" s="22">
        <f t="shared" si="57"/>
        <v>4.2616286669932215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175.05987582828078</v>
      </c>
      <c r="AO108" s="59">
        <f t="shared" si="90"/>
        <v>268.54782308462387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1.1920810530383621</v>
      </c>
      <c r="AV108" s="21">
        <f>EXP(-LN(2)/25)*AV107+(1-EXP(-LN(2)/25))/(LN(2)/25)*Calculateur!AQ108*Calculateur!AS108*VLOOKUP('Données projet'!$B$10,Paramètres!$A$1:$I$89,3,0)*0.475*44/12</f>
        <v>2.2701707253546251</v>
      </c>
      <c r="AW108" s="21">
        <f>EXP(-LN(2)/2)*AW107+(1-EXP(-LN(2)/2))/(LN(2)/2)*AQ108*AT108*VLOOKUP('Données projet'!$B$10,Paramètres!$A$1:$I$89,3,0)*0.475*44/12</f>
        <v>5.324817271288936E-11</v>
      </c>
      <c r="AX108" s="21">
        <f t="shared" si="60"/>
        <v>3.4622517784462352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5.6843418860808015E-13</v>
      </c>
      <c r="BE108" s="13">
        <f>BD108*VLOOKUP('Données projet'!$B$11,Paramètres!$A$1:$I$89,3,0)*VLOOKUP('Données projet'!$B$11,Paramètres!$A$1:$I$89,5,0)</f>
        <v>3.39923644787632E-13</v>
      </c>
      <c r="BF108" s="13">
        <f t="shared" si="91"/>
        <v>4.4287447204943725E-12</v>
      </c>
      <c r="BG108" s="20">
        <f t="shared" si="61"/>
        <v>8.3054307361994904E-12</v>
      </c>
      <c r="BH108" s="59">
        <f t="shared" si="62"/>
        <v>293.33333333334161</v>
      </c>
      <c r="BI108" s="59">
        <f ca="1">AVERAGE(OFFSET($BH$3,0,0,'Données projet'!$E$11+1,1))-AVERAGE(OFFSET($H$3,0,0,'Données projet'!$E$11+1,1))</f>
        <v>381.78368385345919</v>
      </c>
      <c r="BJ108" s="59">
        <f t="shared" si="92"/>
        <v>257.35575295655639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1.9061844693460437</v>
      </c>
      <c r="BR108" s="21">
        <f>EXP(-LN(2)/2)*BR107+(1-EXP(-LN(2)/2))/(LN(2)/2)*BL108*BO108*VLOOKUP('Données projet'!$B$11,Paramètres!$A$1:$I$89,3,0)*0.475*44/12</f>
        <v>9.3072704364495933E-8</v>
      </c>
      <c r="BS108" s="22">
        <f t="shared" si="63"/>
        <v>1.9061845624187481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1.1368683772161603E-13</v>
      </c>
      <c r="BZ108" s="13">
        <f>BY108*VLOOKUP('Données projet'!$B$12,Paramètres!$A$1:$I$89,3,0)*VLOOKUP('Données projet'!$B$12,Paramètres!$A$1:$I$89,5,0)</f>
        <v>5.4683368944097308E-14</v>
      </c>
      <c r="CA108" s="13">
        <f t="shared" si="93"/>
        <v>8.8129432816788268E-13</v>
      </c>
      <c r="CB108" s="20">
        <f t="shared" si="64"/>
        <v>1.6301611558033651E-12</v>
      </c>
      <c r="CC108" s="59">
        <f t="shared" si="65"/>
        <v>293.33333333333496</v>
      </c>
      <c r="CD108" s="59">
        <f ca="1">AVERAGE(OFFSET($CC$3,0,0,'Données projet'!$E$12+1,1))-AVERAGE(OFFSET($H$3,0,0,'Données projet'!$E$12+1,1))</f>
        <v>415.97633163853953</v>
      </c>
      <c r="CE108" s="59">
        <f t="shared" si="94"/>
        <v>356.23532720804423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0.61187480544367767</v>
      </c>
      <c r="CL108" s="21">
        <f>EXP(-LN(2)/25)*CL107+(1-EXP(-LN(2)/25))/(LN(2)/25)*Calculateur!CG108*Calculateur!CI108*VLOOKUP('Données projet'!$B$12,Paramètres!$A$1:$I$89,3,0)*0.475*44/12</f>
        <v>1.8799407714725314</v>
      </c>
      <c r="CM108" s="21">
        <f>EXP(-LN(2)/2)*CM107+(1-EXP(-LN(2)/2))/(LN(2)/2)*CG108*CJ108*VLOOKUP('Données projet'!$B$12,Paramètres!$A$1:$I$89,3,0)*0.475*44/12</f>
        <v>1.6297213776176939E-10</v>
      </c>
      <c r="CN108" s="22">
        <f t="shared" si="66"/>
        <v>2.4918155770791812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-4.5474735088646412E-13</v>
      </c>
      <c r="O109" s="13">
        <f>N109*VLOOKUP('Données projet'!$B$9,Paramètres!$A$1:$I$89,3,0)*VLOOKUP('Données projet'!$B$9,Paramètres!$A$1:$I$89,5,0)</f>
        <v>-2.5420376914553347E-13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492.3498626914548</v>
      </c>
      <c r="T109" s="59">
        <f t="shared" si="88"/>
        <v>635.90304180030307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1.2132282624183606</v>
      </c>
      <c r="AA109" s="21">
        <f>EXP(-LN(2)/25)*AA108+(1-EXP(-LN(2)/25))/(LN(2)/25)*Calculateur!V109*Calculateur!X109*VLOOKUP('Données projet'!$B$9,Paramètres!$A$1:$I$89,3,0)*0.475*44/12</f>
        <v>2.9414387865077076</v>
      </c>
      <c r="AB109" s="21">
        <f>EXP(-LN(2)/2)*AB108+(1-EXP(-LN(2)/2))/(LN(2)/2)*V109*Y109*VLOOKUP('Données projet'!$B$9,Paramètres!$A$1:$I$89,3,0)*0.475*44/12</f>
        <v>4.256314442203841E-11</v>
      </c>
      <c r="AC109" s="22">
        <f t="shared" si="57"/>
        <v>4.1546670489686317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175.05987582828078</v>
      </c>
      <c r="AO109" s="59">
        <f t="shared" si="90"/>
        <v>268.54782308462387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1.1687050706859272</v>
      </c>
      <c r="AV109" s="21">
        <f>EXP(-LN(2)/25)*AV108+(1-EXP(-LN(2)/25))/(LN(2)/25)*Calculateur!AQ109*Calculateur!AS109*VLOOKUP('Données projet'!$B$10,Paramètres!$A$1:$I$89,3,0)*0.475*44/12</f>
        <v>2.2080927874867129</v>
      </c>
      <c r="AW109" s="21">
        <f>EXP(-LN(2)/2)*AW108+(1-EXP(-LN(2)/2))/(LN(2)/2)*AQ109*AT109*VLOOKUP('Données projet'!$B$10,Paramètres!$A$1:$I$89,3,0)*0.475*44/12</f>
        <v>3.7652144011076547E-11</v>
      </c>
      <c r="AX109" s="21">
        <f t="shared" si="60"/>
        <v>3.3767978582102924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5.6843418860808015E-13</v>
      </c>
      <c r="BE109" s="13">
        <f>BD109*VLOOKUP('Données projet'!$B$11,Paramètres!$A$1:$I$89,3,0)*VLOOKUP('Données projet'!$B$11,Paramètres!$A$1:$I$89,5,0)</f>
        <v>3.39923644787632E-13</v>
      </c>
      <c r="BF109" s="13">
        <f t="shared" si="91"/>
        <v>4.4287447204943725E-12</v>
      </c>
      <c r="BG109" s="20">
        <f t="shared" si="61"/>
        <v>8.3054307361994904E-12</v>
      </c>
      <c r="BH109" s="59">
        <f t="shared" si="62"/>
        <v>293.33333333334161</v>
      </c>
      <c r="BI109" s="59">
        <f ca="1">AVERAGE(OFFSET($BH$3,0,0,'Données projet'!$E$11+1,1))-AVERAGE(OFFSET($H$3,0,0,'Données projet'!$E$11+1,1))</f>
        <v>381.78368385345919</v>
      </c>
      <c r="BJ109" s="59">
        <f t="shared" si="92"/>
        <v>257.35575295655639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1.8540597547898916</v>
      </c>
      <c r="BR109" s="21">
        <f>EXP(-LN(2)/2)*BR108+(1-EXP(-LN(2)/2))/(LN(2)/2)*BL109*BO109*VLOOKUP('Données projet'!$B$11,Paramètres!$A$1:$I$89,3,0)*0.475*44/12</f>
        <v>6.5812340399505852E-8</v>
      </c>
      <c r="BS109" s="22">
        <f t="shared" si="63"/>
        <v>1.8540598206022321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1.1368683772161603E-13</v>
      </c>
      <c r="BZ109" s="13">
        <f>BY109*VLOOKUP('Données projet'!$B$12,Paramètres!$A$1:$I$89,3,0)*VLOOKUP('Données projet'!$B$12,Paramètres!$A$1:$I$89,5,0)</f>
        <v>5.4683368944097308E-14</v>
      </c>
      <c r="CA109" s="13">
        <f t="shared" si="93"/>
        <v>8.8129432816788268E-13</v>
      </c>
      <c r="CB109" s="20">
        <f t="shared" si="64"/>
        <v>1.6301611558033651E-12</v>
      </c>
      <c r="CC109" s="59">
        <f t="shared" si="65"/>
        <v>293.33333333333496</v>
      </c>
      <c r="CD109" s="59">
        <f ca="1">AVERAGE(OFFSET($CC$3,0,0,'Données projet'!$E$12+1,1))-AVERAGE(OFFSET($H$3,0,0,'Données projet'!$E$12+1,1))</f>
        <v>415.97633163853953</v>
      </c>
      <c r="CE109" s="59">
        <f t="shared" si="94"/>
        <v>356.23532720804423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0.59987631371570738</v>
      </c>
      <c r="CL109" s="21">
        <f>EXP(-LN(2)/25)*CL108+(1-EXP(-LN(2)/25))/(LN(2)/25)*Calculateur!CG109*Calculateur!CI109*VLOOKUP('Données projet'!$B$12,Paramètres!$A$1:$I$89,3,0)*0.475*44/12</f>
        <v>1.8285336922148265</v>
      </c>
      <c r="CM109" s="21">
        <f>EXP(-LN(2)/2)*CM108+(1-EXP(-LN(2)/2))/(LN(2)/2)*CG109*CJ109*VLOOKUP('Données projet'!$B$12,Paramètres!$A$1:$I$89,3,0)*0.475*44/12</f>
        <v>1.1523870375581535E-10</v>
      </c>
      <c r="CN109" s="22">
        <f t="shared" si="66"/>
        <v>2.4284100060457723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-4.5474735088646412E-13</v>
      </c>
      <c r="O110" s="13">
        <f>N110*VLOOKUP('Données projet'!$B$9,Paramètres!$A$1:$I$89,3,0)*VLOOKUP('Données projet'!$B$9,Paramètres!$A$1:$I$89,5,0)</f>
        <v>-2.5420376914553347E-13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492.3498626914548</v>
      </c>
      <c r="T110" s="59">
        <f t="shared" si="88"/>
        <v>635.90304180030307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1.189437596188508</v>
      </c>
      <c r="AA110" s="21">
        <f>EXP(-LN(2)/25)*AA109+(1-EXP(-LN(2)/25))/(LN(2)/25)*Calculateur!V110*Calculateur!X110*VLOOKUP('Données projet'!$B$9,Paramètres!$A$1:$I$89,3,0)*0.475*44/12</f>
        <v>2.8610049882071111</v>
      </c>
      <c r="AB110" s="21">
        <f>EXP(-LN(2)/2)*AB109+(1-EXP(-LN(2)/2))/(LN(2)/2)*V110*Y110*VLOOKUP('Données projet'!$B$9,Paramètres!$A$1:$I$89,3,0)*0.475*44/12</f>
        <v>3.0096688049445735E-11</v>
      </c>
      <c r="AC110" s="22">
        <f t="shared" si="57"/>
        <v>4.0504425844257161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175.05987582828078</v>
      </c>
      <c r="AO110" s="59">
        <f t="shared" si="90"/>
        <v>268.54782308462387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1.1457874770894823</v>
      </c>
      <c r="AV110" s="21">
        <f>EXP(-LN(2)/25)*AV109+(1-EXP(-LN(2)/25))/(LN(2)/25)*Calculateur!AQ110*Calculateur!AS110*VLOOKUP('Données projet'!$B$10,Paramètres!$A$1:$I$89,3,0)*0.475*44/12</f>
        <v>2.1477123740943358</v>
      </c>
      <c r="AW110" s="21">
        <f>EXP(-LN(2)/2)*AW109+(1-EXP(-LN(2)/2))/(LN(2)/2)*AQ110*AT110*VLOOKUP('Données projet'!$B$10,Paramètres!$A$1:$I$89,3,0)*0.475*44/12</f>
        <v>2.662408635644468E-11</v>
      </c>
      <c r="AX110" s="21">
        <f t="shared" si="60"/>
        <v>3.2934998512104423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5.6843418860808015E-13</v>
      </c>
      <c r="BE110" s="13">
        <f>BD110*VLOOKUP('Données projet'!$B$11,Paramètres!$A$1:$I$89,3,0)*VLOOKUP('Données projet'!$B$11,Paramètres!$A$1:$I$89,5,0)</f>
        <v>3.39923644787632E-13</v>
      </c>
      <c r="BF110" s="13">
        <f t="shared" si="91"/>
        <v>4.4287447204943725E-12</v>
      </c>
      <c r="BG110" s="20">
        <f t="shared" si="61"/>
        <v>8.3054307361994904E-12</v>
      </c>
      <c r="BH110" s="59">
        <f t="shared" si="62"/>
        <v>293.33333333334161</v>
      </c>
      <c r="BI110" s="59">
        <f ca="1">AVERAGE(OFFSET($BH$3,0,0,'Données projet'!$E$11+1,1))-AVERAGE(OFFSET($H$3,0,0,'Données projet'!$E$11+1,1))</f>
        <v>381.78368385345919</v>
      </c>
      <c r="BJ110" s="59">
        <f t="shared" si="92"/>
        <v>257.35575295655639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1.8033603932943971</v>
      </c>
      <c r="BR110" s="21">
        <f>EXP(-LN(2)/2)*BR109+(1-EXP(-LN(2)/2))/(LN(2)/2)*BL110*BO110*VLOOKUP('Données projet'!$B$11,Paramètres!$A$1:$I$89,3,0)*0.475*44/12</f>
        <v>4.6536352182247967E-8</v>
      </c>
      <c r="BS110" s="22">
        <f t="shared" si="63"/>
        <v>1.8033604398307492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1.1368683772161603E-13</v>
      </c>
      <c r="BZ110" s="13">
        <f>BY110*VLOOKUP('Données projet'!$B$12,Paramètres!$A$1:$I$89,3,0)*VLOOKUP('Données projet'!$B$12,Paramètres!$A$1:$I$89,5,0)</f>
        <v>5.4683368944097308E-14</v>
      </c>
      <c r="CA110" s="13">
        <f t="shared" si="93"/>
        <v>8.8129432816788268E-13</v>
      </c>
      <c r="CB110" s="20">
        <f t="shared" si="64"/>
        <v>1.6301611558033651E-12</v>
      </c>
      <c r="CC110" s="59">
        <f t="shared" si="65"/>
        <v>293.33333333333496</v>
      </c>
      <c r="CD110" s="59">
        <f ca="1">AVERAGE(OFFSET($CC$3,0,0,'Données projet'!$E$12+1,1))-AVERAGE(OFFSET($H$3,0,0,'Données projet'!$E$12+1,1))</f>
        <v>415.97633163853953</v>
      </c>
      <c r="CE110" s="59">
        <f t="shared" si="94"/>
        <v>356.23532720804423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0.58811310509216519</v>
      </c>
      <c r="CL110" s="21">
        <f>EXP(-LN(2)/25)*CL109+(1-EXP(-LN(2)/25))/(LN(2)/25)*Calculateur!CG110*Calculateur!CI110*VLOOKUP('Données projet'!$B$12,Paramètres!$A$1:$I$89,3,0)*0.475*44/12</f>
        <v>1.7785323422428043</v>
      </c>
      <c r="CM110" s="21">
        <f>EXP(-LN(2)/2)*CM109+(1-EXP(-LN(2)/2))/(LN(2)/2)*CG110*CJ110*VLOOKUP('Données projet'!$B$12,Paramètres!$A$1:$I$89,3,0)*0.475*44/12</f>
        <v>8.1486068880884706E-11</v>
      </c>
      <c r="CN110" s="22">
        <f t="shared" si="66"/>
        <v>2.3666454474164555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-4.5474735088646412E-13</v>
      </c>
      <c r="O111" s="13">
        <f>N111*VLOOKUP('Données projet'!$B$9,Paramètres!$A$1:$I$89,3,0)*VLOOKUP('Données projet'!$B$9,Paramètres!$A$1:$I$89,5,0)</f>
        <v>-2.5420376914553347E-13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492.3498626914548</v>
      </c>
      <c r="T111" s="59">
        <f t="shared" si="88"/>
        <v>635.90304180030307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1.1661134504125492</v>
      </c>
      <c r="AA111" s="21">
        <f>EXP(-LN(2)/25)*AA110+(1-EXP(-LN(2)/25))/(LN(2)/25)*Calculateur!V111*Calculateur!X111*VLOOKUP('Données projet'!$B$9,Paramètres!$A$1:$I$89,3,0)*0.475*44/12</f>
        <v>2.7827706563508743</v>
      </c>
      <c r="AB111" s="21">
        <f>EXP(-LN(2)/2)*AB110+(1-EXP(-LN(2)/2))/(LN(2)/2)*V111*Y111*VLOOKUP('Données projet'!$B$9,Paramètres!$A$1:$I$89,3,0)*0.475*44/12</f>
        <v>2.1281572211019205E-11</v>
      </c>
      <c r="AC111" s="22">
        <f t="shared" si="57"/>
        <v>3.9488841067847051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175.05987582828078</v>
      </c>
      <c r="AO111" s="59">
        <f t="shared" si="90"/>
        <v>268.54782308462387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1.1233192835251118</v>
      </c>
      <c r="AV111" s="21">
        <f>EXP(-LN(2)/25)*AV110+(1-EXP(-LN(2)/25))/(LN(2)/25)*Calculateur!AQ111*Calculateur!AS111*VLOOKUP('Données projet'!$B$10,Paramètres!$A$1:$I$89,3,0)*0.475*44/12</f>
        <v>2.088983066281441</v>
      </c>
      <c r="AW111" s="21">
        <f>EXP(-LN(2)/2)*AW110+(1-EXP(-LN(2)/2))/(LN(2)/2)*AQ111*AT111*VLOOKUP('Données projet'!$B$10,Paramètres!$A$1:$I$89,3,0)*0.475*44/12</f>
        <v>1.8826072005538273E-11</v>
      </c>
      <c r="AX111" s="21">
        <f t="shared" si="60"/>
        <v>3.2123023498253791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5.6843418860808015E-13</v>
      </c>
      <c r="BE111" s="13">
        <f>BD111*VLOOKUP('Données projet'!$B$11,Paramètres!$A$1:$I$89,3,0)*VLOOKUP('Données projet'!$B$11,Paramètres!$A$1:$I$89,5,0)</f>
        <v>3.39923644787632E-13</v>
      </c>
      <c r="BF111" s="13">
        <f t="shared" si="91"/>
        <v>4.4287447204943725E-12</v>
      </c>
      <c r="BG111" s="20">
        <f t="shared" si="61"/>
        <v>8.3054307361994904E-12</v>
      </c>
      <c r="BH111" s="59">
        <f t="shared" si="62"/>
        <v>293.33333333334161</v>
      </c>
      <c r="BI111" s="59">
        <f ca="1">AVERAGE(OFFSET($BH$3,0,0,'Données projet'!$E$11+1,1))-AVERAGE(OFFSET($H$3,0,0,'Données projet'!$E$11+1,1))</f>
        <v>381.78368385345919</v>
      </c>
      <c r="BJ111" s="59">
        <f t="shared" si="92"/>
        <v>257.35575295655639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1.7540474085051603</v>
      </c>
      <c r="BR111" s="21">
        <f>EXP(-LN(2)/2)*BR110+(1-EXP(-LN(2)/2))/(LN(2)/2)*BL111*BO111*VLOOKUP('Données projet'!$B$11,Paramètres!$A$1:$I$89,3,0)*0.475*44/12</f>
        <v>3.2906170199752926E-8</v>
      </c>
      <c r="BS111" s="22">
        <f t="shared" si="63"/>
        <v>1.7540474414113305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1.1368683772161603E-13</v>
      </c>
      <c r="BZ111" s="13">
        <f>BY111*VLOOKUP('Données projet'!$B$12,Paramètres!$A$1:$I$89,3,0)*VLOOKUP('Données projet'!$B$12,Paramètres!$A$1:$I$89,5,0)</f>
        <v>5.4683368944097308E-14</v>
      </c>
      <c r="CA111" s="13">
        <f t="shared" si="93"/>
        <v>8.8129432816788268E-13</v>
      </c>
      <c r="CB111" s="20">
        <f t="shared" si="64"/>
        <v>1.6301611558033651E-12</v>
      </c>
      <c r="CC111" s="59">
        <f t="shared" si="65"/>
        <v>293.33333333333496</v>
      </c>
      <c r="CD111" s="59">
        <f ca="1">AVERAGE(OFFSET($CC$3,0,0,'Données projet'!$E$12+1,1))-AVERAGE(OFFSET($H$3,0,0,'Données projet'!$E$12+1,1))</f>
        <v>415.97633163853953</v>
      </c>
      <c r="CE111" s="59">
        <f t="shared" si="94"/>
        <v>356.23532720804423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0.57658056581488193</v>
      </c>
      <c r="CL111" s="21">
        <f>EXP(-LN(2)/25)*CL110+(1-EXP(-LN(2)/25))/(LN(2)/25)*Calculateur!CG111*Calculateur!CI111*VLOOKUP('Données projet'!$B$12,Paramètres!$A$1:$I$89,3,0)*0.475*44/12</f>
        <v>1.7298982818152238</v>
      </c>
      <c r="CM111" s="21">
        <f>EXP(-LN(2)/2)*CM110+(1-EXP(-LN(2)/2))/(LN(2)/2)*CG111*CJ111*VLOOKUP('Données projet'!$B$12,Paramètres!$A$1:$I$89,3,0)*0.475*44/12</f>
        <v>5.7619351877907687E-11</v>
      </c>
      <c r="CN111" s="22">
        <f t="shared" si="66"/>
        <v>2.3064788476877252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-4.5474735088646412E-13</v>
      </c>
      <c r="O112" s="13">
        <f>N112*VLOOKUP('Données projet'!$B$9,Paramètres!$A$1:$I$89,3,0)*VLOOKUP('Données projet'!$B$9,Paramètres!$A$1:$I$89,5,0)</f>
        <v>-2.5420376914553347E-13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492.3498626914548</v>
      </c>
      <c r="T112" s="59">
        <f t="shared" si="88"/>
        <v>635.90304180030307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1.1432466769089329</v>
      </c>
      <c r="AA112" s="21">
        <f>EXP(-LN(2)/25)*AA111+(1-EXP(-LN(2)/25))/(LN(2)/25)*Calculateur!V112*Calculateur!X112*VLOOKUP('Données projet'!$B$9,Paramètres!$A$1:$I$89,3,0)*0.475*44/12</f>
        <v>2.706675646413411</v>
      </c>
      <c r="AB112" s="21">
        <f>EXP(-LN(2)/2)*AB111+(1-EXP(-LN(2)/2))/(LN(2)/2)*V112*Y112*VLOOKUP('Données projet'!$B$9,Paramètres!$A$1:$I$89,3,0)*0.475*44/12</f>
        <v>1.5048344024722867E-11</v>
      </c>
      <c r="AC112" s="22">
        <f t="shared" si="57"/>
        <v>3.8499223233373923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175.05987582828078</v>
      </c>
      <c r="AO112" s="59">
        <f t="shared" si="90"/>
        <v>268.54782308462387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1.1012916775322936</v>
      </c>
      <c r="AV112" s="21">
        <f>EXP(-LN(2)/25)*AV111+(1-EXP(-LN(2)/25))/(LN(2)/25)*Calculateur!AQ112*Calculateur!AS112*VLOOKUP('Données projet'!$B$10,Paramètres!$A$1:$I$89,3,0)*0.475*44/12</f>
        <v>2.0318597144791299</v>
      </c>
      <c r="AW112" s="21">
        <f>EXP(-LN(2)/2)*AW111+(1-EXP(-LN(2)/2))/(LN(2)/2)*AQ112*AT112*VLOOKUP('Données projet'!$B$10,Paramètres!$A$1:$I$89,3,0)*0.475*44/12</f>
        <v>1.331204317822234E-11</v>
      </c>
      <c r="AX112" s="21">
        <f t="shared" si="60"/>
        <v>3.1331513920247356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5.6843418860808015E-13</v>
      </c>
      <c r="BE112" s="13">
        <f>BD112*VLOOKUP('Données projet'!$B$11,Paramètres!$A$1:$I$89,3,0)*VLOOKUP('Données projet'!$B$11,Paramètres!$A$1:$I$89,5,0)</f>
        <v>3.39923644787632E-13</v>
      </c>
      <c r="BF112" s="13">
        <f t="shared" si="91"/>
        <v>4.4287447204943725E-12</v>
      </c>
      <c r="BG112" s="20">
        <f t="shared" si="61"/>
        <v>8.3054307361994904E-12</v>
      </c>
      <c r="BH112" s="59">
        <f t="shared" si="62"/>
        <v>293.33333333334161</v>
      </c>
      <c r="BI112" s="59">
        <f ca="1">AVERAGE(OFFSET($BH$3,0,0,'Données projet'!$E$11+1,1))-AVERAGE(OFFSET($H$3,0,0,'Données projet'!$E$11+1,1))</f>
        <v>381.78368385345919</v>
      </c>
      <c r="BJ112" s="59">
        <f t="shared" si="92"/>
        <v>257.35575295655639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1.7060828898782423</v>
      </c>
      <c r="BR112" s="21">
        <f>EXP(-LN(2)/2)*BR111+(1-EXP(-LN(2)/2))/(LN(2)/2)*BL112*BO112*VLOOKUP('Données projet'!$B$11,Paramètres!$A$1:$I$89,3,0)*0.475*44/12</f>
        <v>2.3268176091123983E-8</v>
      </c>
      <c r="BS112" s="22">
        <f t="shared" si="63"/>
        <v>1.7060829131464184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1.1368683772161603E-13</v>
      </c>
      <c r="BZ112" s="13">
        <f>BY112*VLOOKUP('Données projet'!$B$12,Paramètres!$A$1:$I$89,3,0)*VLOOKUP('Données projet'!$B$12,Paramètres!$A$1:$I$89,5,0)</f>
        <v>5.4683368944097308E-14</v>
      </c>
      <c r="CA112" s="13">
        <f t="shared" si="93"/>
        <v>8.8129432816788268E-13</v>
      </c>
      <c r="CB112" s="20">
        <f t="shared" si="64"/>
        <v>1.6301611558033651E-12</v>
      </c>
      <c r="CC112" s="59">
        <f t="shared" si="65"/>
        <v>293.33333333333496</v>
      </c>
      <c r="CD112" s="59">
        <f ca="1">AVERAGE(OFFSET($CC$3,0,0,'Données projet'!$E$12+1,1))-AVERAGE(OFFSET($H$3,0,0,'Données projet'!$E$12+1,1))</f>
        <v>415.97633163853953</v>
      </c>
      <c r="CE112" s="59">
        <f t="shared" si="94"/>
        <v>356.23532720804423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0.56527417259867174</v>
      </c>
      <c r="CL112" s="21">
        <f>EXP(-LN(2)/25)*CL111+(1-EXP(-LN(2)/25))/(LN(2)/25)*Calculateur!CG112*Calculateur!CI112*VLOOKUP('Données projet'!$B$12,Paramètres!$A$1:$I$89,3,0)*0.475*44/12</f>
        <v>1.6825941223275895</v>
      </c>
      <c r="CM112" s="21">
        <f>EXP(-LN(2)/2)*CM111+(1-EXP(-LN(2)/2))/(LN(2)/2)*CG112*CJ112*VLOOKUP('Données projet'!$B$12,Paramètres!$A$1:$I$89,3,0)*0.475*44/12</f>
        <v>4.0743034440442359E-11</v>
      </c>
      <c r="CN112" s="22">
        <f t="shared" si="66"/>
        <v>2.2478682949670041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-4.5474735088646412E-13</v>
      </c>
      <c r="O113" s="13">
        <f>N113*VLOOKUP('Données projet'!$B$9,Paramètres!$A$1:$I$89,3,0)*VLOOKUP('Données projet'!$B$9,Paramètres!$A$1:$I$89,5,0)</f>
        <v>-2.5420376914553347E-13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492.3498626914548</v>
      </c>
      <c r="T113" s="59">
        <f t="shared" si="88"/>
        <v>635.90304180030307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1.1208283068863678</v>
      </c>
      <c r="AA113" s="21">
        <f>EXP(-LN(2)/25)*AA112+(1-EXP(-LN(2)/25))/(LN(2)/25)*Calculateur!V113*Calculateur!X113*VLOOKUP('Données projet'!$B$9,Paramètres!$A$1:$I$89,3,0)*0.475*44/12</f>
        <v>2.6326614585243502</v>
      </c>
      <c r="AB113" s="21">
        <f>EXP(-LN(2)/2)*AB112+(1-EXP(-LN(2)/2))/(LN(2)/2)*V113*Y113*VLOOKUP('Données projet'!$B$9,Paramètres!$A$1:$I$89,3,0)*0.475*44/12</f>
        <v>1.0640786105509603E-11</v>
      </c>
      <c r="AC113" s="22">
        <f t="shared" si="57"/>
        <v>3.7534897654213588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175.05987582828078</v>
      </c>
      <c r="AO113" s="59">
        <f t="shared" si="90"/>
        <v>268.54782308462387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1.0796960194574816</v>
      </c>
      <c r="AV113" s="21">
        <f>EXP(-LN(2)/25)*AV112+(1-EXP(-LN(2)/25))/(LN(2)/25)*Calculateur!AQ113*Calculateur!AS113*VLOOKUP('Données projet'!$B$10,Paramètres!$A$1:$I$89,3,0)*0.475*44/12</f>
        <v>1.9762984037358395</v>
      </c>
      <c r="AW113" s="21">
        <f>EXP(-LN(2)/2)*AW112+(1-EXP(-LN(2)/2))/(LN(2)/2)*AQ113*AT113*VLOOKUP('Données projet'!$B$10,Paramètres!$A$1:$I$89,3,0)*0.475*44/12</f>
        <v>9.4130360027691367E-12</v>
      </c>
      <c r="AX113" s="21">
        <f t="shared" si="60"/>
        <v>3.0559944232027343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5.6843418860808015E-13</v>
      </c>
      <c r="BE113" s="13">
        <f>BD113*VLOOKUP('Données projet'!$B$11,Paramètres!$A$1:$I$89,3,0)*VLOOKUP('Données projet'!$B$11,Paramètres!$A$1:$I$89,5,0)</f>
        <v>3.39923644787632E-13</v>
      </c>
      <c r="BF113" s="13">
        <f t="shared" si="91"/>
        <v>4.4287447204943725E-12</v>
      </c>
      <c r="BG113" s="20">
        <f t="shared" si="61"/>
        <v>8.3054307361994904E-12</v>
      </c>
      <c r="BH113" s="59">
        <f t="shared" si="62"/>
        <v>293.33333333334161</v>
      </c>
      <c r="BI113" s="59">
        <f ca="1">AVERAGE(OFFSET($BH$3,0,0,'Données projet'!$E$11+1,1))-AVERAGE(OFFSET($H$3,0,0,'Données projet'!$E$11+1,1))</f>
        <v>381.78368385345919</v>
      </c>
      <c r="BJ113" s="59">
        <f t="shared" si="92"/>
        <v>257.35575295655639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1.6594299635355219</v>
      </c>
      <c r="BR113" s="21">
        <f>EXP(-LN(2)/2)*BR112+(1-EXP(-LN(2)/2))/(LN(2)/2)*BL113*BO113*VLOOKUP('Données projet'!$B$11,Paramètres!$A$1:$I$89,3,0)*0.475*44/12</f>
        <v>1.6453085099876463E-8</v>
      </c>
      <c r="BS113" s="22">
        <f t="shared" si="63"/>
        <v>1.659429979988607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1.1368683772161603E-13</v>
      </c>
      <c r="BZ113" s="13">
        <f>BY113*VLOOKUP('Données projet'!$B$12,Paramètres!$A$1:$I$89,3,0)*VLOOKUP('Données projet'!$B$12,Paramètres!$A$1:$I$89,5,0)</f>
        <v>5.4683368944097308E-14</v>
      </c>
      <c r="CA113" s="13">
        <f t="shared" si="93"/>
        <v>8.8129432816788268E-13</v>
      </c>
      <c r="CB113" s="20">
        <f t="shared" si="64"/>
        <v>1.6301611558033651E-12</v>
      </c>
      <c r="CC113" s="59">
        <f t="shared" si="65"/>
        <v>293.33333333333496</v>
      </c>
      <c r="CD113" s="59">
        <f ca="1">AVERAGE(OFFSET($CC$3,0,0,'Données projet'!$E$12+1,1))-AVERAGE(OFFSET($H$3,0,0,'Données projet'!$E$12+1,1))</f>
        <v>415.97633163853953</v>
      </c>
      <c r="CE113" s="59">
        <f t="shared" si="94"/>
        <v>356.23532720804423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0.55418949085721259</v>
      </c>
      <c r="CL113" s="21">
        <f>EXP(-LN(2)/25)*CL112+(1-EXP(-LN(2)/25))/(LN(2)/25)*Calculateur!CG113*Calculateur!CI113*VLOOKUP('Données projet'!$B$12,Paramètres!$A$1:$I$89,3,0)*0.475*44/12</f>
        <v>1.6365834975687623</v>
      </c>
      <c r="CM113" s="21">
        <f>EXP(-LN(2)/2)*CM112+(1-EXP(-LN(2)/2))/(LN(2)/2)*CG113*CJ113*VLOOKUP('Données projet'!$B$12,Paramètres!$A$1:$I$89,3,0)*0.475*44/12</f>
        <v>2.8809675938953847E-11</v>
      </c>
      <c r="CN113" s="22">
        <f t="shared" si="66"/>
        <v>2.1907729884547846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-4.5474735088646412E-13</v>
      </c>
      <c r="O114" s="13">
        <f>N114*VLOOKUP('Données projet'!$B$9,Paramètres!$A$1:$I$89,3,0)*VLOOKUP('Données projet'!$B$9,Paramètres!$A$1:$I$89,5,0)</f>
        <v>-2.5420376914553347E-13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492.3498626914548</v>
      </c>
      <c r="T114" s="59">
        <f t="shared" si="88"/>
        <v>635.90304180030307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1.0988495474260898</v>
      </c>
      <c r="AA114" s="21">
        <f>EXP(-LN(2)/25)*AA113+(1-EXP(-LN(2)/25))/(LN(2)/25)*Calculateur!V114*Calculateur!X114*VLOOKUP('Données projet'!$B$9,Paramètres!$A$1:$I$89,3,0)*0.475*44/12</f>
        <v>2.5606711924953527</v>
      </c>
      <c r="AB114" s="21">
        <f>EXP(-LN(2)/2)*AB113+(1-EXP(-LN(2)/2))/(LN(2)/2)*V114*Y114*VLOOKUP('Données projet'!$B$9,Paramètres!$A$1:$I$89,3,0)*0.475*44/12</f>
        <v>7.5241720123614337E-12</v>
      </c>
      <c r="AC114" s="22">
        <f t="shared" si="57"/>
        <v>3.6595207399289666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175.05987582828078</v>
      </c>
      <c r="AO114" s="59">
        <f t="shared" si="90"/>
        <v>268.54782308462387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1.0585238390654659</v>
      </c>
      <c r="AV114" s="21">
        <f>EXP(-LN(2)/25)*AV113+(1-EXP(-LN(2)/25))/(LN(2)/25)*Calculateur!AQ114*Calculateur!AS114*VLOOKUP('Données projet'!$B$10,Paramètres!$A$1:$I$89,3,0)*0.475*44/12</f>
        <v>1.9222564199566667</v>
      </c>
      <c r="AW114" s="21">
        <f>EXP(-LN(2)/2)*AW113+(1-EXP(-LN(2)/2))/(LN(2)/2)*AQ114*AT114*VLOOKUP('Données projet'!$B$10,Paramètres!$A$1:$I$89,3,0)*0.475*44/12</f>
        <v>6.65602158911117E-12</v>
      </c>
      <c r="AX114" s="21">
        <f t="shared" si="60"/>
        <v>2.9807802590287888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5.6843418860808015E-13</v>
      </c>
      <c r="BE114" s="13">
        <f>BD114*VLOOKUP('Données projet'!$B$11,Paramètres!$A$1:$I$89,3,0)*VLOOKUP('Données projet'!$B$11,Paramètres!$A$1:$I$89,5,0)</f>
        <v>3.39923644787632E-13</v>
      </c>
      <c r="BF114" s="13">
        <f t="shared" si="91"/>
        <v>4.4287447204943725E-12</v>
      </c>
      <c r="BG114" s="20">
        <f t="shared" si="61"/>
        <v>8.3054307361994904E-12</v>
      </c>
      <c r="BH114" s="59">
        <f t="shared" si="62"/>
        <v>293.33333333334161</v>
      </c>
      <c r="BI114" s="59">
        <f ca="1">AVERAGE(OFFSET($BH$3,0,0,'Données projet'!$E$11+1,1))-AVERAGE(OFFSET($H$3,0,0,'Données projet'!$E$11+1,1))</f>
        <v>381.78368385345919</v>
      </c>
      <c r="BJ114" s="59">
        <f t="shared" si="92"/>
        <v>257.35575295655639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1.6140527639170139</v>
      </c>
      <c r="BR114" s="21">
        <f>EXP(-LN(2)/2)*BR113+(1-EXP(-LN(2)/2))/(LN(2)/2)*BL114*BO114*VLOOKUP('Données projet'!$B$11,Paramètres!$A$1:$I$89,3,0)*0.475*44/12</f>
        <v>1.1634088045561992E-8</v>
      </c>
      <c r="BS114" s="22">
        <f t="shared" si="63"/>
        <v>1.614052775551102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1.1368683772161603E-13</v>
      </c>
      <c r="BZ114" s="13">
        <f>BY114*VLOOKUP('Données projet'!$B$12,Paramètres!$A$1:$I$89,3,0)*VLOOKUP('Données projet'!$B$12,Paramètres!$A$1:$I$89,5,0)</f>
        <v>5.4683368944097308E-14</v>
      </c>
      <c r="CA114" s="13">
        <f t="shared" si="93"/>
        <v>8.8129432816788268E-13</v>
      </c>
      <c r="CB114" s="20">
        <f t="shared" si="64"/>
        <v>1.6301611558033651E-12</v>
      </c>
      <c r="CC114" s="59">
        <f t="shared" si="65"/>
        <v>293.33333333333496</v>
      </c>
      <c r="CD114" s="59">
        <f ca="1">AVERAGE(OFFSET($CC$3,0,0,'Données projet'!$E$12+1,1))-AVERAGE(OFFSET($H$3,0,0,'Données projet'!$E$12+1,1))</f>
        <v>415.97633163853953</v>
      </c>
      <c r="CE114" s="59">
        <f t="shared" si="94"/>
        <v>356.23532720804423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0.5433221729637151</v>
      </c>
      <c r="CL114" s="21">
        <f>EXP(-LN(2)/25)*CL113+(1-EXP(-LN(2)/25))/(LN(2)/25)*Calculateur!CG114*Calculateur!CI114*VLOOKUP('Données projet'!$B$12,Paramètres!$A$1:$I$89,3,0)*0.475*44/12</f>
        <v>1.5918310357635588</v>
      </c>
      <c r="CM114" s="21">
        <f>EXP(-LN(2)/2)*CM113+(1-EXP(-LN(2)/2))/(LN(2)/2)*CG114*CJ114*VLOOKUP('Données projet'!$B$12,Paramètres!$A$1:$I$89,3,0)*0.475*44/12</f>
        <v>2.0371517220221183E-11</v>
      </c>
      <c r="CN114" s="22">
        <f t="shared" si="66"/>
        <v>2.1351532087476457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-4.5474735088646412E-13</v>
      </c>
      <c r="O115" s="13">
        <f>N115*VLOOKUP('Données projet'!$B$9,Paramètres!$A$1:$I$89,3,0)*VLOOKUP('Données projet'!$B$9,Paramètres!$A$1:$I$89,5,0)</f>
        <v>-2.5420376914553347E-13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492.3498626914548</v>
      </c>
      <c r="T115" s="59">
        <f t="shared" si="88"/>
        <v>635.90304180030307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1.0773017780331082</v>
      </c>
      <c r="AA115" s="21">
        <f>EXP(-LN(2)/25)*AA114+(1-EXP(-LN(2)/25))/(LN(2)/25)*Calculateur!V115*Calculateur!X115*VLOOKUP('Données projet'!$B$9,Paramètres!$A$1:$I$89,3,0)*0.475*44/12</f>
        <v>2.4906495040767216</v>
      </c>
      <c r="AB115" s="21">
        <f>EXP(-LN(2)/2)*AB114+(1-EXP(-LN(2)/2))/(LN(2)/2)*V115*Y115*VLOOKUP('Données projet'!$B$9,Paramètres!$A$1:$I$89,3,0)*0.475*44/12</f>
        <v>5.3203930527548013E-12</v>
      </c>
      <c r="AC115" s="22">
        <f t="shared" si="57"/>
        <v>3.5679512821151498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175.05987582828078</v>
      </c>
      <c r="AO115" s="59">
        <f t="shared" si="90"/>
        <v>268.54782308462387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1.0377668322171827</v>
      </c>
      <c r="AV115" s="21">
        <f>EXP(-LN(2)/25)*AV114+(1-EXP(-LN(2)/25))/(LN(2)/25)*Calculateur!AQ115*Calculateur!AS115*VLOOKUP('Données projet'!$B$10,Paramètres!$A$1:$I$89,3,0)*0.475*44/12</f>
        <v>1.8696922170658798</v>
      </c>
      <c r="AW115" s="21">
        <f>EXP(-LN(2)/2)*AW114+(1-EXP(-LN(2)/2))/(LN(2)/2)*AQ115*AT115*VLOOKUP('Données projet'!$B$10,Paramètres!$A$1:$I$89,3,0)*0.475*44/12</f>
        <v>4.7065180013845684E-12</v>
      </c>
      <c r="AX115" s="21">
        <f t="shared" si="60"/>
        <v>2.9074590492877688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5.6843418860808015E-13</v>
      </c>
      <c r="BE115" s="13">
        <f>BD115*VLOOKUP('Données projet'!$B$11,Paramètres!$A$1:$I$89,3,0)*VLOOKUP('Données projet'!$B$11,Paramètres!$A$1:$I$89,5,0)</f>
        <v>3.39923644787632E-13</v>
      </c>
      <c r="BF115" s="13">
        <f t="shared" si="91"/>
        <v>4.4287447204943725E-12</v>
      </c>
      <c r="BG115" s="20">
        <f t="shared" si="61"/>
        <v>8.3054307361994904E-12</v>
      </c>
      <c r="BH115" s="59">
        <f t="shared" si="62"/>
        <v>293.33333333334161</v>
      </c>
      <c r="BI115" s="59">
        <f ca="1">AVERAGE(OFFSET($BH$3,0,0,'Données projet'!$E$11+1,1))-AVERAGE(OFFSET($H$3,0,0,'Données projet'!$E$11+1,1))</f>
        <v>381.78368385345919</v>
      </c>
      <c r="BJ115" s="59">
        <f t="shared" si="92"/>
        <v>257.35575295655639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1.5699164062083573</v>
      </c>
      <c r="BR115" s="21">
        <f>EXP(-LN(2)/2)*BR114+(1-EXP(-LN(2)/2))/(LN(2)/2)*BL115*BO115*VLOOKUP('Données projet'!$B$11,Paramètres!$A$1:$I$89,3,0)*0.475*44/12</f>
        <v>8.2265425499382315E-9</v>
      </c>
      <c r="BS115" s="22">
        <f t="shared" si="63"/>
        <v>1.5699164144348998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1.1368683772161603E-13</v>
      </c>
      <c r="BZ115" s="13">
        <f>BY115*VLOOKUP('Données projet'!$B$12,Paramètres!$A$1:$I$89,3,0)*VLOOKUP('Données projet'!$B$12,Paramètres!$A$1:$I$89,5,0)</f>
        <v>5.4683368944097308E-14</v>
      </c>
      <c r="CA115" s="13">
        <f t="shared" si="93"/>
        <v>8.8129432816788268E-13</v>
      </c>
      <c r="CB115" s="20">
        <f t="shared" si="64"/>
        <v>1.6301611558033651E-12</v>
      </c>
      <c r="CC115" s="59">
        <f t="shared" si="65"/>
        <v>293.33333333333496</v>
      </c>
      <c r="CD115" s="59">
        <f ca="1">AVERAGE(OFFSET($CC$3,0,0,'Données projet'!$E$12+1,1))-AVERAGE(OFFSET($H$3,0,0,'Données projet'!$E$12+1,1))</f>
        <v>415.97633163853953</v>
      </c>
      <c r="CE115" s="59">
        <f t="shared" si="94"/>
        <v>356.23532720804423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0.53266795654569976</v>
      </c>
      <c r="CL115" s="21">
        <f>EXP(-LN(2)/25)*CL114+(1-EXP(-LN(2)/25))/(LN(2)/25)*Calculateur!CG115*Calculateur!CI115*VLOOKUP('Données projet'!$B$12,Paramètres!$A$1:$I$89,3,0)*0.475*44/12</f>
        <v>1.5483023323798484</v>
      </c>
      <c r="CM115" s="21">
        <f>EXP(-LN(2)/2)*CM114+(1-EXP(-LN(2)/2))/(LN(2)/2)*CG115*CJ115*VLOOKUP('Données projet'!$B$12,Paramètres!$A$1:$I$89,3,0)*0.475*44/12</f>
        <v>1.4404837969476927E-11</v>
      </c>
      <c r="CN115" s="22">
        <f t="shared" si="66"/>
        <v>2.0809702889399531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-4.5474735088646412E-13</v>
      </c>
      <c r="O116" s="13">
        <f>N116*VLOOKUP('Données projet'!$B$9,Paramètres!$A$1:$I$89,3,0)*VLOOKUP('Données projet'!$B$9,Paramètres!$A$1:$I$89,5,0)</f>
        <v>-2.5420376914553347E-13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492.3498626914548</v>
      </c>
      <c r="T116" s="59">
        <f t="shared" si="88"/>
        <v>635.90304180030307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1.0561765472550815</v>
      </c>
      <c r="AA116" s="21">
        <f>EXP(-LN(2)/25)*AA115+(1-EXP(-LN(2)/25))/(LN(2)/25)*Calculateur!V116*Calculateur!X116*VLOOKUP('Données projet'!$B$9,Paramètres!$A$1:$I$89,3,0)*0.475*44/12</f>
        <v>2.4225425624101788</v>
      </c>
      <c r="AB116" s="21">
        <f>EXP(-LN(2)/2)*AB115+(1-EXP(-LN(2)/2))/(LN(2)/2)*V116*Y116*VLOOKUP('Données projet'!$B$9,Paramètres!$A$1:$I$89,3,0)*0.475*44/12</f>
        <v>3.7620860061807169E-12</v>
      </c>
      <c r="AC116" s="22">
        <f t="shared" si="57"/>
        <v>3.4787191096690222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175.05987582828078</v>
      </c>
      <c r="AO116" s="59">
        <f t="shared" si="90"/>
        <v>268.54782308462387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1.0174168576126703</v>
      </c>
      <c r="AV116" s="21">
        <f>EXP(-LN(2)/25)*AV115+(1-EXP(-LN(2)/25))/(LN(2)/25)*Calculateur!AQ116*Calculateur!AS116*VLOOKUP('Données projet'!$B$10,Paramètres!$A$1:$I$89,3,0)*0.475*44/12</f>
        <v>1.8185653850673729</v>
      </c>
      <c r="AW116" s="21">
        <f>EXP(-LN(2)/2)*AW115+(1-EXP(-LN(2)/2))/(LN(2)/2)*AQ116*AT116*VLOOKUP('Données projet'!$B$10,Paramètres!$A$1:$I$89,3,0)*0.475*44/12</f>
        <v>3.328010794555585E-12</v>
      </c>
      <c r="AX116" s="21">
        <f t="shared" si="60"/>
        <v>2.8359822426833712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5.6843418860808015E-13</v>
      </c>
      <c r="BE116" s="13">
        <f>BD116*VLOOKUP('Données projet'!$B$11,Paramètres!$A$1:$I$89,3,0)*VLOOKUP('Données projet'!$B$11,Paramètres!$A$1:$I$89,5,0)</f>
        <v>3.39923644787632E-13</v>
      </c>
      <c r="BF116" s="13">
        <f t="shared" si="91"/>
        <v>4.4287447204943725E-12</v>
      </c>
      <c r="BG116" s="20">
        <f t="shared" si="61"/>
        <v>8.3054307361994904E-12</v>
      </c>
      <c r="BH116" s="59">
        <f t="shared" si="62"/>
        <v>293.33333333334161</v>
      </c>
      <c r="BI116" s="59">
        <f ca="1">AVERAGE(OFFSET($BH$3,0,0,'Données projet'!$E$11+1,1))-AVERAGE(OFFSET($H$3,0,0,'Données projet'!$E$11+1,1))</f>
        <v>381.78368385345919</v>
      </c>
      <c r="BJ116" s="59">
        <f t="shared" si="92"/>
        <v>257.35575295655639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1.526986959522274</v>
      </c>
      <c r="BR116" s="21">
        <f>EXP(-LN(2)/2)*BR115+(1-EXP(-LN(2)/2))/(LN(2)/2)*BL116*BO116*VLOOKUP('Données projet'!$B$11,Paramètres!$A$1:$I$89,3,0)*0.475*44/12</f>
        <v>5.8170440227809958E-9</v>
      </c>
      <c r="BS116" s="22">
        <f t="shared" si="63"/>
        <v>1.526986965339318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1.1368683772161603E-13</v>
      </c>
      <c r="BZ116" s="13">
        <f>BY116*VLOOKUP('Données projet'!$B$12,Paramètres!$A$1:$I$89,3,0)*VLOOKUP('Données projet'!$B$12,Paramètres!$A$1:$I$89,5,0)</f>
        <v>5.4683368944097308E-14</v>
      </c>
      <c r="CA116" s="13">
        <f t="shared" si="93"/>
        <v>8.8129432816788268E-13</v>
      </c>
      <c r="CB116" s="20">
        <f t="shared" si="64"/>
        <v>1.6301611558033651E-12</v>
      </c>
      <c r="CC116" s="59">
        <f t="shared" si="65"/>
        <v>293.33333333333496</v>
      </c>
      <c r="CD116" s="59">
        <f ca="1">AVERAGE(OFFSET($CC$3,0,0,'Données projet'!$E$12+1,1))-AVERAGE(OFFSET($H$3,0,0,'Données projet'!$E$12+1,1))</f>
        <v>415.97633163853953</v>
      </c>
      <c r="CE116" s="59">
        <f t="shared" si="94"/>
        <v>356.23532720804423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0.52222266281321128</v>
      </c>
      <c r="CL116" s="21">
        <f>EXP(-LN(2)/25)*CL115+(1-EXP(-LN(2)/25))/(LN(2)/25)*Calculateur!CG116*Calculateur!CI116*VLOOKUP('Données projet'!$B$12,Paramètres!$A$1:$I$89,3,0)*0.475*44/12</f>
        <v>1.5059639236792404</v>
      </c>
      <c r="CM116" s="21">
        <f>EXP(-LN(2)/2)*CM115+(1-EXP(-LN(2)/2))/(LN(2)/2)*CG116*CJ116*VLOOKUP('Données projet'!$B$12,Paramètres!$A$1:$I$89,3,0)*0.475*44/12</f>
        <v>1.0185758610110593E-11</v>
      </c>
      <c r="CN116" s="22">
        <f t="shared" si="66"/>
        <v>2.0281865865026374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-4.5474735088646412E-13</v>
      </c>
      <c r="O117" s="13">
        <f>N117*VLOOKUP('Données projet'!$B$9,Paramètres!$A$1:$I$89,3,0)*VLOOKUP('Données projet'!$B$9,Paramètres!$A$1:$I$89,5,0)</f>
        <v>-2.5420376914553347E-13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492.3498626914548</v>
      </c>
      <c r="T117" s="59">
        <f t="shared" si="88"/>
        <v>635.90304180030307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1.0354655693674932</v>
      </c>
      <c r="AA117" s="21">
        <f>EXP(-LN(2)/25)*AA116+(1-EXP(-LN(2)/25))/(LN(2)/25)*Calculateur!V117*Calculateur!X117*VLOOKUP('Données projet'!$B$9,Paramètres!$A$1:$I$89,3,0)*0.475*44/12</f>
        <v>2.356298008645096</v>
      </c>
      <c r="AB117" s="21">
        <f>EXP(-LN(2)/2)*AB116+(1-EXP(-LN(2)/2))/(LN(2)/2)*V117*Y117*VLOOKUP('Données projet'!$B$9,Paramètres!$A$1:$I$89,3,0)*0.475*44/12</f>
        <v>2.6601965263774006E-12</v>
      </c>
      <c r="AC117" s="22">
        <f t="shared" si="57"/>
        <v>3.3917635780152491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175.05987582828078</v>
      </c>
      <c r="AO117" s="59">
        <f t="shared" si="90"/>
        <v>268.54782308462387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0.99746593359789348</v>
      </c>
      <c r="AV117" s="21">
        <f>EXP(-LN(2)/25)*AV116+(1-EXP(-LN(2)/25))/(LN(2)/25)*Calculateur!AQ117*Calculateur!AS117*VLOOKUP('Données projet'!$B$10,Paramètres!$A$1:$I$89,3,0)*0.475*44/12</f>
        <v>1.7688366189785083</v>
      </c>
      <c r="AW117" s="21">
        <f>EXP(-LN(2)/2)*AW116+(1-EXP(-LN(2)/2))/(LN(2)/2)*AQ117*AT117*VLOOKUP('Données projet'!$B$10,Paramètres!$A$1:$I$89,3,0)*0.475*44/12</f>
        <v>2.3532590006922842E-12</v>
      </c>
      <c r="AX117" s="21">
        <f t="shared" si="60"/>
        <v>2.7663025525787552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5.6843418860808015E-13</v>
      </c>
      <c r="BE117" s="13">
        <f>BD117*VLOOKUP('Données projet'!$B$11,Paramètres!$A$1:$I$89,3,0)*VLOOKUP('Données projet'!$B$11,Paramètres!$A$1:$I$89,5,0)</f>
        <v>3.39923644787632E-13</v>
      </c>
      <c r="BF117" s="13">
        <f t="shared" si="91"/>
        <v>4.4287447204943725E-12</v>
      </c>
      <c r="BG117" s="20">
        <f t="shared" si="61"/>
        <v>8.3054307361994904E-12</v>
      </c>
      <c r="BH117" s="59">
        <f t="shared" si="62"/>
        <v>293.33333333334161</v>
      </c>
      <c r="BI117" s="59">
        <f ca="1">AVERAGE(OFFSET($BH$3,0,0,'Données projet'!$E$11+1,1))-AVERAGE(OFFSET($H$3,0,0,'Données projet'!$E$11+1,1))</f>
        <v>381.78368385345919</v>
      </c>
      <c r="BJ117" s="59">
        <f t="shared" si="92"/>
        <v>257.35575295655639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1.4852314208133832</v>
      </c>
      <c r="BR117" s="21">
        <f>EXP(-LN(2)/2)*BR116+(1-EXP(-LN(2)/2))/(LN(2)/2)*BL117*BO117*VLOOKUP('Données projet'!$B$11,Paramètres!$A$1:$I$89,3,0)*0.475*44/12</f>
        <v>4.1132712749691158E-9</v>
      </c>
      <c r="BS117" s="22">
        <f t="shared" si="63"/>
        <v>1.4852314249266545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1.1368683772161603E-13</v>
      </c>
      <c r="BZ117" s="13">
        <f>BY117*VLOOKUP('Données projet'!$B$12,Paramètres!$A$1:$I$89,3,0)*VLOOKUP('Données projet'!$B$12,Paramètres!$A$1:$I$89,5,0)</f>
        <v>5.4683368944097308E-14</v>
      </c>
      <c r="CA117" s="13">
        <f t="shared" si="93"/>
        <v>8.8129432816788268E-13</v>
      </c>
      <c r="CB117" s="20">
        <f t="shared" si="64"/>
        <v>1.6301611558033651E-12</v>
      </c>
      <c r="CC117" s="59">
        <f t="shared" si="65"/>
        <v>293.33333333333496</v>
      </c>
      <c r="CD117" s="59">
        <f ca="1">AVERAGE(OFFSET($CC$3,0,0,'Données projet'!$E$12+1,1))-AVERAGE(OFFSET($H$3,0,0,'Données projet'!$E$12+1,1))</f>
        <v>415.97633163853953</v>
      </c>
      <c r="CE117" s="59">
        <f t="shared" si="94"/>
        <v>356.23532720804423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0.51198219491981689</v>
      </c>
      <c r="CL117" s="21">
        <f>EXP(-LN(2)/25)*CL116+(1-EXP(-LN(2)/25))/(LN(2)/25)*Calculateur!CG117*Calculateur!CI117*VLOOKUP('Données projet'!$B$12,Paramètres!$A$1:$I$89,3,0)*0.475*44/12</f>
        <v>1.4647832609910307</v>
      </c>
      <c r="CM117" s="21">
        <f>EXP(-LN(2)/2)*CM116+(1-EXP(-LN(2)/2))/(LN(2)/2)*CG117*CJ117*VLOOKUP('Données projet'!$B$12,Paramètres!$A$1:$I$89,3,0)*0.475*44/12</f>
        <v>7.2024189847384641E-12</v>
      </c>
      <c r="CN117" s="22">
        <f t="shared" si="66"/>
        <v>1.9767654559180501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-4.5474735088646412E-13</v>
      </c>
      <c r="O118" s="13">
        <f>N118*VLOOKUP('Données projet'!$B$9,Paramètres!$A$1:$I$89,3,0)*VLOOKUP('Données projet'!$B$9,Paramètres!$A$1:$I$89,5,0)</f>
        <v>-2.5420376914553347E-13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492.3498626914548</v>
      </c>
      <c r="T118" s="59">
        <f t="shared" si="88"/>
        <v>635.90304180030307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1.0151607211238314</v>
      </c>
      <c r="AA118" s="21">
        <f>EXP(-LN(2)/25)*AA117+(1-EXP(-LN(2)/25))/(LN(2)/25)*Calculateur!V118*Calculateur!X118*VLOOKUP('Données projet'!$B$9,Paramètres!$A$1:$I$89,3,0)*0.475*44/12</f>
        <v>2.2918649156863689</v>
      </c>
      <c r="AB118" s="21">
        <f>EXP(-LN(2)/2)*AB117+(1-EXP(-LN(2)/2))/(LN(2)/2)*V118*Y118*VLOOKUP('Données projet'!$B$9,Paramètres!$A$1:$I$89,3,0)*0.475*44/12</f>
        <v>1.8810430030903584E-12</v>
      </c>
      <c r="AC118" s="22">
        <f t="shared" si="57"/>
        <v>3.3070256368120816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175.05987582828078</v>
      </c>
      <c r="AO118" s="59">
        <f t="shared" si="90"/>
        <v>268.54782308462387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0.97790623503418439</v>
      </c>
      <c r="AV118" s="21">
        <f>EXP(-LN(2)/25)*AV117+(1-EXP(-LN(2)/25))/(LN(2)/25)*Calculateur!AQ118*Calculateur!AS118*VLOOKUP('Données projet'!$B$10,Paramètres!$A$1:$I$89,3,0)*0.475*44/12</f>
        <v>1.720467688613466</v>
      </c>
      <c r="AW118" s="21">
        <f>EXP(-LN(2)/2)*AW117+(1-EXP(-LN(2)/2))/(LN(2)/2)*AQ118*AT118*VLOOKUP('Données projet'!$B$10,Paramètres!$A$1:$I$89,3,0)*0.475*44/12</f>
        <v>1.6640053972777925E-12</v>
      </c>
      <c r="AX118" s="21">
        <f t="shared" si="60"/>
        <v>2.6983739236493145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5.6843418860808015E-13</v>
      </c>
      <c r="BE118" s="13">
        <f>BD118*VLOOKUP('Données projet'!$B$11,Paramètres!$A$1:$I$89,3,0)*VLOOKUP('Données projet'!$B$11,Paramètres!$A$1:$I$89,5,0)</f>
        <v>3.39923644787632E-13</v>
      </c>
      <c r="BF118" s="13">
        <f t="shared" si="91"/>
        <v>4.4287447204943725E-12</v>
      </c>
      <c r="BG118" s="20">
        <f t="shared" si="61"/>
        <v>8.3054307361994904E-12</v>
      </c>
      <c r="BH118" s="59">
        <f t="shared" si="62"/>
        <v>293.33333333334161</v>
      </c>
      <c r="BI118" s="59">
        <f ca="1">AVERAGE(OFFSET($BH$3,0,0,'Données projet'!$E$11+1,1))-AVERAGE(OFFSET($H$3,0,0,'Données projet'!$E$11+1,1))</f>
        <v>381.78368385345919</v>
      </c>
      <c r="BJ118" s="59">
        <f t="shared" si="92"/>
        <v>257.35575295655639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1.4446176895063154</v>
      </c>
      <c r="BR118" s="21">
        <f>EXP(-LN(2)/2)*BR117+(1-EXP(-LN(2)/2))/(LN(2)/2)*BL118*BO118*VLOOKUP('Données projet'!$B$11,Paramètres!$A$1:$I$89,3,0)*0.475*44/12</f>
        <v>2.9085220113904979E-9</v>
      </c>
      <c r="BS118" s="22">
        <f t="shared" si="63"/>
        <v>1.4446176924148375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1.1368683772161603E-13</v>
      </c>
      <c r="BZ118" s="13">
        <f>BY118*VLOOKUP('Données projet'!$B$12,Paramètres!$A$1:$I$89,3,0)*VLOOKUP('Données projet'!$B$12,Paramètres!$A$1:$I$89,5,0)</f>
        <v>5.4683368944097308E-14</v>
      </c>
      <c r="CA118" s="13">
        <f t="shared" si="93"/>
        <v>8.8129432816788268E-13</v>
      </c>
      <c r="CB118" s="20">
        <f t="shared" si="64"/>
        <v>1.6301611558033651E-12</v>
      </c>
      <c r="CC118" s="59">
        <f t="shared" si="65"/>
        <v>293.33333333333496</v>
      </c>
      <c r="CD118" s="59">
        <f ca="1">AVERAGE(OFFSET($CC$3,0,0,'Données projet'!$E$12+1,1))-AVERAGE(OFFSET($H$3,0,0,'Données projet'!$E$12+1,1))</f>
        <v>415.97633163853953</v>
      </c>
      <c r="CE118" s="59">
        <f t="shared" si="94"/>
        <v>356.23532720804423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0.50194253635574326</v>
      </c>
      <c r="CL118" s="21">
        <f>EXP(-LN(2)/25)*CL117+(1-EXP(-LN(2)/25))/(LN(2)/25)*Calculateur!CG118*Calculateur!CI118*VLOOKUP('Données projet'!$B$12,Paramètres!$A$1:$I$89,3,0)*0.475*44/12</f>
        <v>1.4247286856896271</v>
      </c>
      <c r="CM118" s="21">
        <f>EXP(-LN(2)/2)*CM117+(1-EXP(-LN(2)/2))/(LN(2)/2)*CG118*CJ118*VLOOKUP('Données projet'!$B$12,Paramètres!$A$1:$I$89,3,0)*0.475*44/12</f>
        <v>5.0928793050552974E-12</v>
      </c>
      <c r="CN118" s="22">
        <f t="shared" si="66"/>
        <v>1.9266712220504632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-4.5474735088646412E-13</v>
      </c>
      <c r="O119" s="13">
        <f>N119*VLOOKUP('Données projet'!$B$9,Paramètres!$A$1:$I$89,3,0)*VLOOKUP('Données projet'!$B$9,Paramètres!$A$1:$I$89,5,0)</f>
        <v>-2.5420376914553347E-13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492.3498626914548</v>
      </c>
      <c r="T119" s="59">
        <f t="shared" si="88"/>
        <v>635.90304180030307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0.99525403856949335</v>
      </c>
      <c r="AA119" s="21">
        <f>EXP(-LN(2)/25)*AA118+(1-EXP(-LN(2)/25))/(LN(2)/25)*Calculateur!V119*Calculateur!X119*VLOOKUP('Données projet'!$B$9,Paramètres!$A$1:$I$89,3,0)*0.475*44/12</f>
        <v>2.2291937490429872</v>
      </c>
      <c r="AB119" s="21">
        <f>EXP(-LN(2)/2)*AB118+(1-EXP(-LN(2)/2))/(LN(2)/2)*V119*Y119*VLOOKUP('Données projet'!$B$9,Paramètres!$A$1:$I$89,3,0)*0.475*44/12</f>
        <v>1.3300982631887003E-12</v>
      </c>
      <c r="AC119" s="22">
        <f t="shared" si="57"/>
        <v>3.2244477876138107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175.05987582828078</v>
      </c>
      <c r="AO119" s="59">
        <f t="shared" si="90"/>
        <v>268.54782308462387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0.95873009022907152</v>
      </c>
      <c r="AV119" s="21">
        <f>EXP(-LN(2)/25)*AV118+(1-EXP(-LN(2)/25))/(LN(2)/25)*Calculateur!AQ119*Calculateur!AS119*VLOOKUP('Données projet'!$B$10,Paramètres!$A$1:$I$89,3,0)*0.475*44/12</f>
        <v>1.6734214091928672</v>
      </c>
      <c r="AW119" s="21">
        <f>EXP(-LN(2)/2)*AW118+(1-EXP(-LN(2)/2))/(LN(2)/2)*AQ119*AT119*VLOOKUP('Données projet'!$B$10,Paramètres!$A$1:$I$89,3,0)*0.475*44/12</f>
        <v>1.1766295003461421E-12</v>
      </c>
      <c r="AX119" s="21">
        <f t="shared" si="60"/>
        <v>2.6321514994231157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5.6843418860808015E-13</v>
      </c>
      <c r="BE119" s="13">
        <f>BD119*VLOOKUP('Données projet'!$B$11,Paramètres!$A$1:$I$89,3,0)*VLOOKUP('Données projet'!$B$11,Paramètres!$A$1:$I$89,5,0)</f>
        <v>3.39923644787632E-13</v>
      </c>
      <c r="BF119" s="13">
        <f t="shared" si="91"/>
        <v>4.4287447204943725E-12</v>
      </c>
      <c r="BG119" s="20">
        <f t="shared" si="61"/>
        <v>8.3054307361994904E-12</v>
      </c>
      <c r="BH119" s="59">
        <f t="shared" si="62"/>
        <v>293.33333333334161</v>
      </c>
      <c r="BI119" s="59">
        <f ca="1">AVERAGE(OFFSET($BH$3,0,0,'Données projet'!$E$11+1,1))-AVERAGE(OFFSET($H$3,0,0,'Données projet'!$E$11+1,1))</f>
        <v>381.78368385345919</v>
      </c>
      <c r="BJ119" s="59">
        <f t="shared" si="92"/>
        <v>257.35575295655639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1.4051145428176226</v>
      </c>
      <c r="BR119" s="21">
        <f>EXP(-LN(2)/2)*BR118+(1-EXP(-LN(2)/2))/(LN(2)/2)*BL119*BO119*VLOOKUP('Données projet'!$B$11,Paramètres!$A$1:$I$89,3,0)*0.475*44/12</f>
        <v>2.0566356374845579E-9</v>
      </c>
      <c r="BS119" s="22">
        <f t="shared" si="63"/>
        <v>1.4051145448742581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1.1368683772161603E-13</v>
      </c>
      <c r="BZ119" s="13">
        <f>BY119*VLOOKUP('Données projet'!$B$12,Paramètres!$A$1:$I$89,3,0)*VLOOKUP('Données projet'!$B$12,Paramètres!$A$1:$I$89,5,0)</f>
        <v>5.4683368944097308E-14</v>
      </c>
      <c r="CA119" s="13">
        <f t="shared" si="93"/>
        <v>8.8129432816788268E-13</v>
      </c>
      <c r="CB119" s="20">
        <f t="shared" si="64"/>
        <v>1.6301611558033651E-12</v>
      </c>
      <c r="CC119" s="59">
        <f t="shared" si="65"/>
        <v>293.33333333333496</v>
      </c>
      <c r="CD119" s="59">
        <f ca="1">AVERAGE(OFFSET($CC$3,0,0,'Données projet'!$E$12+1,1))-AVERAGE(OFFSET($H$3,0,0,'Données projet'!$E$12+1,1))</f>
        <v>415.97633163853953</v>
      </c>
      <c r="CE119" s="59">
        <f t="shared" si="94"/>
        <v>356.23532720804423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0.49209974937252404</v>
      </c>
      <c r="CL119" s="21">
        <f>EXP(-LN(2)/25)*CL118+(1-EXP(-LN(2)/25))/(LN(2)/25)*Calculateur!CG119*Calculateur!CI119*VLOOKUP('Données projet'!$B$12,Paramètres!$A$1:$I$89,3,0)*0.475*44/12</f>
        <v>1.3857694048562188</v>
      </c>
      <c r="CM119" s="21">
        <f>EXP(-LN(2)/2)*CM118+(1-EXP(-LN(2)/2))/(LN(2)/2)*CG119*CJ119*VLOOKUP('Données projet'!$B$12,Paramètres!$A$1:$I$89,3,0)*0.475*44/12</f>
        <v>3.6012094923692325E-12</v>
      </c>
      <c r="CN119" s="22">
        <f t="shared" si="66"/>
        <v>1.877869154232344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-4.5474735088646412E-13</v>
      </c>
      <c r="O120" s="13">
        <f>N120*VLOOKUP('Données projet'!$B$9,Paramètres!$A$1:$I$89,3,0)*VLOOKUP('Données projet'!$B$9,Paramètres!$A$1:$I$89,5,0)</f>
        <v>-2.5420376914553347E-13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492.3498626914548</v>
      </c>
      <c r="T120" s="59">
        <f t="shared" si="88"/>
        <v>635.90304180030307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0.97573771391816844</v>
      </c>
      <c r="AA120" s="21">
        <f>EXP(-LN(2)/25)*AA119+(1-EXP(-LN(2)/25))/(LN(2)/25)*Calculateur!V120*Calculateur!X120*VLOOKUP('Données projet'!$B$9,Paramètres!$A$1:$I$89,3,0)*0.475*44/12</f>
        <v>2.1682363287472022</v>
      </c>
      <c r="AB120" s="21">
        <f>EXP(-LN(2)/2)*AB119+(1-EXP(-LN(2)/2))/(LN(2)/2)*V120*Y120*VLOOKUP('Données projet'!$B$9,Paramètres!$A$1:$I$89,3,0)*0.475*44/12</f>
        <v>9.4052150154517921E-13</v>
      </c>
      <c r="AC120" s="22">
        <f t="shared" si="57"/>
        <v>3.1439740426663114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175.05987582828078</v>
      </c>
      <c r="AO120" s="59">
        <f t="shared" si="90"/>
        <v>268.54782308462387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0.93992997792729349</v>
      </c>
      <c r="AV120" s="21">
        <f>EXP(-LN(2)/25)*AV119+(1-EXP(-LN(2)/25))/(LN(2)/25)*Calculateur!AQ120*Calculateur!AS120*VLOOKUP('Données projet'!$B$10,Paramètres!$A$1:$I$89,3,0)*0.475*44/12</f>
        <v>1.6276616127570809</v>
      </c>
      <c r="AW120" s="21">
        <f>EXP(-LN(2)/2)*AW119+(1-EXP(-LN(2)/2))/(LN(2)/2)*AQ120*AT120*VLOOKUP('Données projet'!$B$10,Paramètres!$A$1:$I$89,3,0)*0.475*44/12</f>
        <v>8.3200269863889625E-13</v>
      </c>
      <c r="AX120" s="21">
        <f t="shared" si="60"/>
        <v>2.5675915906852067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5.6843418860808015E-13</v>
      </c>
      <c r="BE120" s="13">
        <f>BD120*VLOOKUP('Données projet'!$B$11,Paramètres!$A$1:$I$89,3,0)*VLOOKUP('Données projet'!$B$11,Paramètres!$A$1:$I$89,5,0)</f>
        <v>3.39923644787632E-13</v>
      </c>
      <c r="BF120" s="13">
        <f t="shared" si="91"/>
        <v>4.4287447204943725E-12</v>
      </c>
      <c r="BG120" s="20">
        <f t="shared" si="61"/>
        <v>8.3054307361994904E-12</v>
      </c>
      <c r="BH120" s="59">
        <f t="shared" si="62"/>
        <v>293.33333333334161</v>
      </c>
      <c r="BI120" s="59">
        <f ca="1">AVERAGE(OFFSET($BH$3,0,0,'Données projet'!$E$11+1,1))-AVERAGE(OFFSET($H$3,0,0,'Données projet'!$E$11+1,1))</f>
        <v>381.78368385345919</v>
      </c>
      <c r="BJ120" s="59">
        <f t="shared" si="92"/>
        <v>257.35575295655639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1.3666916117525123</v>
      </c>
      <c r="BR120" s="21">
        <f>EXP(-LN(2)/2)*BR119+(1-EXP(-LN(2)/2))/(LN(2)/2)*BL120*BO120*VLOOKUP('Données projet'!$B$11,Paramètres!$A$1:$I$89,3,0)*0.475*44/12</f>
        <v>1.454261005695249E-9</v>
      </c>
      <c r="BS120" s="22">
        <f t="shared" si="63"/>
        <v>1.3666916132067732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1.1368683772161603E-13</v>
      </c>
      <c r="BZ120" s="13">
        <f>BY120*VLOOKUP('Données projet'!$B$12,Paramètres!$A$1:$I$89,3,0)*VLOOKUP('Données projet'!$B$12,Paramètres!$A$1:$I$89,5,0)</f>
        <v>5.4683368944097308E-14</v>
      </c>
      <c r="CA120" s="13">
        <f t="shared" si="93"/>
        <v>8.8129432816788268E-13</v>
      </c>
      <c r="CB120" s="20">
        <f t="shared" si="64"/>
        <v>1.6301611558033651E-12</v>
      </c>
      <c r="CC120" s="59">
        <f t="shared" si="65"/>
        <v>293.33333333333496</v>
      </c>
      <c r="CD120" s="59">
        <f ca="1">AVERAGE(OFFSET($CC$3,0,0,'Données projet'!$E$12+1,1))-AVERAGE(OFFSET($H$3,0,0,'Données projet'!$E$12+1,1))</f>
        <v>415.97633163853953</v>
      </c>
      <c r="CE120" s="59">
        <f t="shared" si="94"/>
        <v>356.23532720804423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0.48244997343853852</v>
      </c>
      <c r="CL120" s="21">
        <f>EXP(-LN(2)/25)*CL119+(1-EXP(-LN(2)/25))/(LN(2)/25)*Calculateur!CG120*Calculateur!CI120*VLOOKUP('Données projet'!$B$12,Paramètres!$A$1:$I$89,3,0)*0.475*44/12</f>
        <v>1.3478754676059796</v>
      </c>
      <c r="CM120" s="21">
        <f>EXP(-LN(2)/2)*CM119+(1-EXP(-LN(2)/2))/(LN(2)/2)*CG120*CJ120*VLOOKUP('Données projet'!$B$12,Paramètres!$A$1:$I$89,3,0)*0.475*44/12</f>
        <v>2.5464396525276491E-12</v>
      </c>
      <c r="CN120" s="22">
        <f t="shared" si="66"/>
        <v>1.8303254410470646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-4.5474735088646412E-13</v>
      </c>
      <c r="O121" s="13">
        <f>N121*VLOOKUP('Données projet'!$B$9,Paramètres!$A$1:$I$89,3,0)*VLOOKUP('Données projet'!$B$9,Paramètres!$A$1:$I$89,5,0)</f>
        <v>-2.5420376914553347E-13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492.3498626914548</v>
      </c>
      <c r="T121" s="59">
        <f t="shared" si="88"/>
        <v>635.90304180030307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0.95660409248947331</v>
      </c>
      <c r="AA121" s="21">
        <f>EXP(-LN(2)/25)*AA120+(1-EXP(-LN(2)/25))/(LN(2)/25)*Calculateur!V121*Calculateur!X121*VLOOKUP('Données projet'!$B$9,Paramètres!$A$1:$I$89,3,0)*0.475*44/12</f>
        <v>2.108945792315017</v>
      </c>
      <c r="AB121" s="21">
        <f>EXP(-LN(2)/2)*AB120+(1-EXP(-LN(2)/2))/(LN(2)/2)*V121*Y121*VLOOKUP('Données projet'!$B$9,Paramètres!$A$1:$I$89,3,0)*0.475*44/12</f>
        <v>6.6504913159435016E-13</v>
      </c>
      <c r="AC121" s="22">
        <f t="shared" si="57"/>
        <v>3.0655498848051557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175.05987582828078</v>
      </c>
      <c r="AO121" s="59">
        <f t="shared" si="90"/>
        <v>268.54782308462387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0.92149852436081703</v>
      </c>
      <c r="AV121" s="21">
        <f>EXP(-LN(2)/25)*AV120+(1-EXP(-LN(2)/25))/(LN(2)/25)*Calculateur!AQ121*Calculateur!AS121*VLOOKUP('Données projet'!$B$10,Paramètres!$A$1:$I$89,3,0)*0.475*44/12</f>
        <v>1.5831531203612343</v>
      </c>
      <c r="AW121" s="21">
        <f>EXP(-LN(2)/2)*AW120+(1-EXP(-LN(2)/2))/(LN(2)/2)*AQ121*AT121*VLOOKUP('Données projet'!$B$10,Paramètres!$A$1:$I$89,3,0)*0.475*44/12</f>
        <v>5.8831475017307104E-13</v>
      </c>
      <c r="AX121" s="21">
        <f t="shared" si="60"/>
        <v>2.5046516447226397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5.6843418860808015E-13</v>
      </c>
      <c r="BE121" s="13">
        <f>BD121*VLOOKUP('Données projet'!$B$11,Paramètres!$A$1:$I$89,3,0)*VLOOKUP('Données projet'!$B$11,Paramètres!$A$1:$I$89,5,0)</f>
        <v>3.39923644787632E-13</v>
      </c>
      <c r="BF121" s="13">
        <f t="shared" si="91"/>
        <v>4.4287447204943725E-12</v>
      </c>
      <c r="BG121" s="20">
        <f t="shared" si="61"/>
        <v>8.3054307361994904E-12</v>
      </c>
      <c r="BH121" s="59">
        <f t="shared" si="62"/>
        <v>293.33333333334161</v>
      </c>
      <c r="BI121" s="59">
        <f ca="1">AVERAGE(OFFSET($BH$3,0,0,'Données projet'!$E$11+1,1))-AVERAGE(OFFSET($H$3,0,0,'Données projet'!$E$11+1,1))</f>
        <v>381.78368385345919</v>
      </c>
      <c r="BJ121" s="59">
        <f t="shared" si="92"/>
        <v>257.35575295655639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1.3293193577579516</v>
      </c>
      <c r="BR121" s="21">
        <f>EXP(-LN(2)/2)*BR120+(1-EXP(-LN(2)/2))/(LN(2)/2)*BL121*BO121*VLOOKUP('Données projet'!$B$11,Paramètres!$A$1:$I$89,3,0)*0.475*44/12</f>
        <v>1.0283178187422789E-9</v>
      </c>
      <c r="BS121" s="22">
        <f t="shared" si="63"/>
        <v>1.3293193587862695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1.1368683772161603E-13</v>
      </c>
      <c r="BZ121" s="13">
        <f>BY121*VLOOKUP('Données projet'!$B$12,Paramètres!$A$1:$I$89,3,0)*VLOOKUP('Données projet'!$B$12,Paramètres!$A$1:$I$89,5,0)</f>
        <v>5.4683368944097308E-14</v>
      </c>
      <c r="CA121" s="13">
        <f t="shared" si="93"/>
        <v>8.8129432816788268E-13</v>
      </c>
      <c r="CB121" s="20">
        <f t="shared" si="64"/>
        <v>1.6301611558033651E-12</v>
      </c>
      <c r="CC121" s="59">
        <f t="shared" si="65"/>
        <v>293.33333333333496</v>
      </c>
      <c r="CD121" s="59">
        <f ca="1">AVERAGE(OFFSET($CC$3,0,0,'Données projet'!$E$12+1,1))-AVERAGE(OFFSET($H$3,0,0,'Données projet'!$E$12+1,1))</f>
        <v>415.97633163853953</v>
      </c>
      <c r="CE121" s="59">
        <f t="shared" si="94"/>
        <v>356.23532720804423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0.47298942372483627</v>
      </c>
      <c r="CL121" s="21">
        <f>EXP(-LN(2)/25)*CL120+(1-EXP(-LN(2)/25))/(LN(2)/25)*Calculateur!CG121*Calculateur!CI121*VLOOKUP('Données projet'!$B$12,Paramètres!$A$1:$I$89,3,0)*0.475*44/12</f>
        <v>1.3110177420626039</v>
      </c>
      <c r="CM121" s="21">
        <f>EXP(-LN(2)/2)*CM120+(1-EXP(-LN(2)/2))/(LN(2)/2)*CG121*CJ121*VLOOKUP('Données projet'!$B$12,Paramètres!$A$1:$I$89,3,0)*0.475*44/12</f>
        <v>1.8006047461846166E-12</v>
      </c>
      <c r="CN121" s="22">
        <f t="shared" si="66"/>
        <v>1.7840071657892407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-4.5474735088646412E-13</v>
      </c>
      <c r="O122" s="13">
        <f>N122*VLOOKUP('Données projet'!$B$9,Paramètres!$A$1:$I$89,3,0)*VLOOKUP('Données projet'!$B$9,Paramètres!$A$1:$I$89,5,0)</f>
        <v>-2.5420376914553347E-13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492.3498626914548</v>
      </c>
      <c r="T122" s="59">
        <f t="shared" si="88"/>
        <v>635.90304180030307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0.93784566970663819</v>
      </c>
      <c r="AA122" s="21">
        <f>EXP(-LN(2)/25)*AA121+(1-EXP(-LN(2)/25))/(LN(2)/25)*Calculateur!V122*Calculateur!X122*VLOOKUP('Données projet'!$B$9,Paramètres!$A$1:$I$89,3,0)*0.475*44/12</f>
        <v>2.0512765587195236</v>
      </c>
      <c r="AB122" s="21">
        <f>EXP(-LN(2)/2)*AB121+(1-EXP(-LN(2)/2))/(LN(2)/2)*V122*Y122*VLOOKUP('Données projet'!$B$9,Paramètres!$A$1:$I$89,3,0)*0.475*44/12</f>
        <v>4.7026075077258961E-13</v>
      </c>
      <c r="AC122" s="22">
        <f t="shared" si="57"/>
        <v>2.9891222284266319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175.05987582828078</v>
      </c>
      <c r="AO122" s="59">
        <f t="shared" si="90"/>
        <v>268.54782308462387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0.90342850035670264</v>
      </c>
      <c r="AV122" s="21">
        <f>EXP(-LN(2)/25)*AV121+(1-EXP(-LN(2)/25))/(LN(2)/25)*Calculateur!AQ122*Calculateur!AS122*VLOOKUP('Données projet'!$B$10,Paramètres!$A$1:$I$89,3,0)*0.475*44/12</f>
        <v>1.5398617150305522</v>
      </c>
      <c r="AW122" s="21">
        <f>EXP(-LN(2)/2)*AW121+(1-EXP(-LN(2)/2))/(LN(2)/2)*AQ122*AT122*VLOOKUP('Données projet'!$B$10,Paramètres!$A$1:$I$89,3,0)*0.475*44/12</f>
        <v>4.1600134931944812E-13</v>
      </c>
      <c r="AX122" s="21">
        <f t="shared" si="60"/>
        <v>2.443290215387671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5.6843418860808015E-13</v>
      </c>
      <c r="BE122" s="13">
        <f>BD122*VLOOKUP('Données projet'!$B$11,Paramètres!$A$1:$I$89,3,0)*VLOOKUP('Données projet'!$B$11,Paramètres!$A$1:$I$89,5,0)</f>
        <v>3.39923644787632E-13</v>
      </c>
      <c r="BF122" s="13">
        <f t="shared" si="91"/>
        <v>4.4287447204943725E-12</v>
      </c>
      <c r="BG122" s="20">
        <f t="shared" si="61"/>
        <v>8.3054307361994904E-12</v>
      </c>
      <c r="BH122" s="59">
        <f t="shared" si="62"/>
        <v>293.33333333334161</v>
      </c>
      <c r="BI122" s="59">
        <f ca="1">AVERAGE(OFFSET($BH$3,0,0,'Données projet'!$E$11+1,1))-AVERAGE(OFFSET($H$3,0,0,'Données projet'!$E$11+1,1))</f>
        <v>381.78368385345919</v>
      </c>
      <c r="BJ122" s="59">
        <f t="shared" si="92"/>
        <v>257.35575295655639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1.2929690500141937</v>
      </c>
      <c r="BR122" s="21">
        <f>EXP(-LN(2)/2)*BR121+(1-EXP(-LN(2)/2))/(LN(2)/2)*BL122*BO122*VLOOKUP('Données projet'!$B$11,Paramètres!$A$1:$I$89,3,0)*0.475*44/12</f>
        <v>7.2713050284762448E-10</v>
      </c>
      <c r="BS122" s="22">
        <f t="shared" si="63"/>
        <v>1.2929690507413243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1.1368683772161603E-13</v>
      </c>
      <c r="BZ122" s="13">
        <f>BY122*VLOOKUP('Données projet'!$B$12,Paramètres!$A$1:$I$89,3,0)*VLOOKUP('Données projet'!$B$12,Paramètres!$A$1:$I$89,5,0)</f>
        <v>5.4683368944097308E-14</v>
      </c>
      <c r="CA122" s="13">
        <f t="shared" si="93"/>
        <v>8.8129432816788268E-13</v>
      </c>
      <c r="CB122" s="20">
        <f t="shared" si="64"/>
        <v>1.6301611558033651E-12</v>
      </c>
      <c r="CC122" s="59">
        <f t="shared" si="65"/>
        <v>293.33333333333496</v>
      </c>
      <c r="CD122" s="59">
        <f ca="1">AVERAGE(OFFSET($CC$3,0,0,'Données projet'!$E$12+1,1))-AVERAGE(OFFSET($H$3,0,0,'Données projet'!$E$12+1,1))</f>
        <v>415.97633163853953</v>
      </c>
      <c r="CE122" s="59">
        <f t="shared" si="94"/>
        <v>356.23532720804423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0.4637143896206542</v>
      </c>
      <c r="CL122" s="21">
        <f>EXP(-LN(2)/25)*CL121+(1-EXP(-LN(2)/25))/(LN(2)/25)*Calculateur!CG122*Calculateur!CI122*VLOOKUP('Données projet'!$B$12,Paramètres!$A$1:$I$89,3,0)*0.475*44/12</f>
        <v>1.2751678929624752</v>
      </c>
      <c r="CM122" s="21">
        <f>EXP(-LN(2)/2)*CM121+(1-EXP(-LN(2)/2))/(LN(2)/2)*CG122*CJ122*VLOOKUP('Données projet'!$B$12,Paramètres!$A$1:$I$89,3,0)*0.475*44/12</f>
        <v>1.2732198262638247E-12</v>
      </c>
      <c r="CN122" s="22">
        <f t="shared" si="66"/>
        <v>1.7388822825844026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-4.5474735088646412E-13</v>
      </c>
      <c r="O123" s="13">
        <f>N123*VLOOKUP('Données projet'!$B$9,Paramètres!$A$1:$I$89,3,0)*VLOOKUP('Données projet'!$B$9,Paramètres!$A$1:$I$89,5,0)</f>
        <v>-2.5420376914553347E-13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492.3498626914548</v>
      </c>
      <c r="T123" s="59">
        <f t="shared" si="88"/>
        <v>635.90304180030307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0.91945508815306631</v>
      </c>
      <c r="AA123" s="21">
        <f>EXP(-LN(2)/25)*AA122+(1-EXP(-LN(2)/25))/(LN(2)/25)*Calculateur!V123*Calculateur!X123*VLOOKUP('Données projet'!$B$9,Paramètres!$A$1:$I$89,3,0)*0.475*44/12</f>
        <v>1.9951842933493924</v>
      </c>
      <c r="AB123" s="21">
        <f>EXP(-LN(2)/2)*AB122+(1-EXP(-LN(2)/2))/(LN(2)/2)*V123*Y123*VLOOKUP('Données projet'!$B$9,Paramètres!$A$1:$I$89,3,0)*0.475*44/12</f>
        <v>3.3252456579717508E-13</v>
      </c>
      <c r="AC123" s="22">
        <f t="shared" si="57"/>
        <v>2.9146393815027913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175.05987582828078</v>
      </c>
      <c r="AO123" s="59">
        <f t="shared" si="90"/>
        <v>268.54782308462387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0.88571281850168249</v>
      </c>
      <c r="AV123" s="21">
        <f>EXP(-LN(2)/25)*AV122+(1-EXP(-LN(2)/25))/(LN(2)/25)*Calculateur!AQ123*Calculateur!AS123*VLOOKUP('Données projet'!$B$10,Paramètres!$A$1:$I$89,3,0)*0.475*44/12</f>
        <v>1.4977541154552336</v>
      </c>
      <c r="AW123" s="21">
        <f>EXP(-LN(2)/2)*AW122+(1-EXP(-LN(2)/2))/(LN(2)/2)*AQ123*AT123*VLOOKUP('Données projet'!$B$10,Paramètres!$A$1:$I$89,3,0)*0.475*44/12</f>
        <v>2.9415737508653552E-13</v>
      </c>
      <c r="AX123" s="21">
        <f t="shared" si="60"/>
        <v>2.3834669339572101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5.6843418860808015E-13</v>
      </c>
      <c r="BE123" s="13">
        <f>BD123*VLOOKUP('Données projet'!$B$11,Paramètres!$A$1:$I$89,3,0)*VLOOKUP('Données projet'!$B$11,Paramètres!$A$1:$I$89,5,0)</f>
        <v>3.39923644787632E-13</v>
      </c>
      <c r="BF123" s="13">
        <f t="shared" si="91"/>
        <v>4.4287447204943725E-12</v>
      </c>
      <c r="BG123" s="20">
        <f t="shared" si="61"/>
        <v>8.3054307361994904E-12</v>
      </c>
      <c r="BH123" s="59">
        <f t="shared" si="62"/>
        <v>293.33333333334161</v>
      </c>
      <c r="BI123" s="59">
        <f ca="1">AVERAGE(OFFSET($BH$3,0,0,'Données projet'!$E$11+1,1))-AVERAGE(OFFSET($H$3,0,0,'Données projet'!$E$11+1,1))</f>
        <v>381.78368385345919</v>
      </c>
      <c r="BJ123" s="59">
        <f t="shared" si="92"/>
        <v>257.35575295655639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1.2576127433472684</v>
      </c>
      <c r="BR123" s="21">
        <f>EXP(-LN(2)/2)*BR122+(1-EXP(-LN(2)/2))/(LN(2)/2)*BL123*BO123*VLOOKUP('Données projet'!$B$11,Paramètres!$A$1:$I$89,3,0)*0.475*44/12</f>
        <v>5.1415890937113947E-10</v>
      </c>
      <c r="BS123" s="22">
        <f t="shared" si="63"/>
        <v>1.2576127438614273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1.1368683772161603E-13</v>
      </c>
      <c r="BZ123" s="13">
        <f>BY123*VLOOKUP('Données projet'!$B$12,Paramètres!$A$1:$I$89,3,0)*VLOOKUP('Données projet'!$B$12,Paramètres!$A$1:$I$89,5,0)</f>
        <v>5.4683368944097308E-14</v>
      </c>
      <c r="CA123" s="13">
        <f t="shared" si="93"/>
        <v>8.8129432816788268E-13</v>
      </c>
      <c r="CB123" s="20">
        <f t="shared" si="64"/>
        <v>1.6301611558033651E-12</v>
      </c>
      <c r="CC123" s="59">
        <f t="shared" si="65"/>
        <v>293.33333333333496</v>
      </c>
      <c r="CD123" s="59">
        <f ca="1">AVERAGE(OFFSET($CC$3,0,0,'Données projet'!$E$12+1,1))-AVERAGE(OFFSET($H$3,0,0,'Données projet'!$E$12+1,1))</f>
        <v>415.97633163853953</v>
      </c>
      <c r="CE123" s="59">
        <f t="shared" si="94"/>
        <v>356.23532720804423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0.45462123327804294</v>
      </c>
      <c r="CL123" s="21">
        <f>EXP(-LN(2)/25)*CL122+(1-EXP(-LN(2)/25))/(LN(2)/25)*Calculateur!CG123*Calculateur!CI123*VLOOKUP('Données projet'!$B$12,Paramètres!$A$1:$I$89,3,0)*0.475*44/12</f>
        <v>1.2402983598712514</v>
      </c>
      <c r="CM123" s="21">
        <f>EXP(-LN(2)/2)*CM122+(1-EXP(-LN(2)/2))/(LN(2)/2)*CG123*CJ123*VLOOKUP('Données projet'!$B$12,Paramètres!$A$1:$I$89,3,0)*0.475*44/12</f>
        <v>9.0030237309230842E-13</v>
      </c>
      <c r="CN123" s="22">
        <f t="shared" si="66"/>
        <v>1.6949195931501946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-4.5474735088646412E-13</v>
      </c>
      <c r="O124" s="13">
        <f>N124*VLOOKUP('Données projet'!$B$9,Paramètres!$A$1:$I$89,3,0)*VLOOKUP('Données projet'!$B$9,Paramètres!$A$1:$I$89,5,0)</f>
        <v>-2.5420376914553347E-13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492.3498626914548</v>
      </c>
      <c r="T124" s="59">
        <f t="shared" si="88"/>
        <v>635.90304180030307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0.90142513468661289</v>
      </c>
      <c r="AA124" s="21">
        <f>EXP(-LN(2)/25)*AA123+(1-EXP(-LN(2)/25))/(LN(2)/25)*Calculateur!V124*Calculateur!X124*VLOOKUP('Données projet'!$B$9,Paramètres!$A$1:$I$89,3,0)*0.475*44/12</f>
        <v>1.9406258739255713</v>
      </c>
      <c r="AB124" s="21">
        <f>EXP(-LN(2)/2)*AB123+(1-EXP(-LN(2)/2))/(LN(2)/2)*V124*Y124*VLOOKUP('Données projet'!$B$9,Paramètres!$A$1:$I$89,3,0)*0.475*44/12</f>
        <v>2.351303753862948E-13</v>
      </c>
      <c r="AC124" s="22">
        <f t="shared" si="57"/>
        <v>2.8420510086124193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175.05987582828078</v>
      </c>
      <c r="AO124" s="59">
        <f t="shared" si="90"/>
        <v>268.54782308462387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0.86834453036234038</v>
      </c>
      <c r="AV124" s="21">
        <f>EXP(-LN(2)/25)*AV123+(1-EXP(-LN(2)/25))/(LN(2)/25)*Calculateur!AQ124*Calculateur!AS124*VLOOKUP('Données projet'!$B$10,Paramètres!$A$1:$I$89,3,0)*0.475*44/12</f>
        <v>1.4567979504046444</v>
      </c>
      <c r="AW124" s="21">
        <f>EXP(-LN(2)/2)*AW123+(1-EXP(-LN(2)/2))/(LN(2)/2)*AQ124*AT124*VLOOKUP('Données projet'!$B$10,Paramètres!$A$1:$I$89,3,0)*0.475*44/12</f>
        <v>2.0800067465972406E-13</v>
      </c>
      <c r="AX124" s="21">
        <f t="shared" si="60"/>
        <v>2.3251424807671928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5.6843418860808015E-13</v>
      </c>
      <c r="BE124" s="13">
        <f>BD124*VLOOKUP('Données projet'!$B$11,Paramètres!$A$1:$I$89,3,0)*VLOOKUP('Données projet'!$B$11,Paramètres!$A$1:$I$89,5,0)</f>
        <v>3.39923644787632E-13</v>
      </c>
      <c r="BF124" s="13">
        <f t="shared" si="91"/>
        <v>4.4287447204943725E-12</v>
      </c>
      <c r="BG124" s="20">
        <f t="shared" si="61"/>
        <v>8.3054307361994904E-12</v>
      </c>
      <c r="BH124" s="59">
        <f t="shared" si="62"/>
        <v>293.33333333334161</v>
      </c>
      <c r="BI124" s="59">
        <f ca="1">AVERAGE(OFFSET($BH$3,0,0,'Données projet'!$E$11+1,1))-AVERAGE(OFFSET($H$3,0,0,'Données projet'!$E$11+1,1))</f>
        <v>381.78368385345919</v>
      </c>
      <c r="BJ124" s="59">
        <f t="shared" si="92"/>
        <v>257.35575295655639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1.2232232567454575</v>
      </c>
      <c r="BR124" s="21">
        <f>EXP(-LN(2)/2)*BR123+(1-EXP(-LN(2)/2))/(LN(2)/2)*BL124*BO124*VLOOKUP('Données projet'!$B$11,Paramètres!$A$1:$I$89,3,0)*0.475*44/12</f>
        <v>3.6356525142381224E-10</v>
      </c>
      <c r="BS124" s="22">
        <f t="shared" si="63"/>
        <v>1.2232232571090227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1.1368683772161603E-13</v>
      </c>
      <c r="BZ124" s="13">
        <f>BY124*VLOOKUP('Données projet'!$B$12,Paramètres!$A$1:$I$89,3,0)*VLOOKUP('Données projet'!$B$12,Paramètres!$A$1:$I$89,5,0)</f>
        <v>5.4683368944097308E-14</v>
      </c>
      <c r="CA124" s="13">
        <f t="shared" si="93"/>
        <v>8.8129432816788268E-13</v>
      </c>
      <c r="CB124" s="20">
        <f t="shared" si="64"/>
        <v>1.6301611558033651E-12</v>
      </c>
      <c r="CC124" s="59">
        <f t="shared" si="65"/>
        <v>293.33333333333496</v>
      </c>
      <c r="CD124" s="59">
        <f ca="1">AVERAGE(OFFSET($CC$3,0,0,'Données projet'!$E$12+1,1))-AVERAGE(OFFSET($H$3,0,0,'Données projet'!$E$12+1,1))</f>
        <v>415.97633163853953</v>
      </c>
      <c r="CE124" s="59">
        <f t="shared" si="94"/>
        <v>356.23532720804423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0.44570638818503255</v>
      </c>
      <c r="CL124" s="21">
        <f>EXP(-LN(2)/25)*CL123+(1-EXP(-LN(2)/25))/(LN(2)/25)*Calculateur!CG124*Calculateur!CI124*VLOOKUP('Données projet'!$B$12,Paramètres!$A$1:$I$89,3,0)*0.475*44/12</f>
        <v>1.2063823359961159</v>
      </c>
      <c r="CM124" s="21">
        <f>EXP(-LN(2)/2)*CM123+(1-EXP(-LN(2)/2))/(LN(2)/2)*CG124*CJ124*VLOOKUP('Données projet'!$B$12,Paramètres!$A$1:$I$89,3,0)*0.475*44/12</f>
        <v>6.3660991313191247E-13</v>
      </c>
      <c r="CN124" s="22">
        <f t="shared" si="66"/>
        <v>1.652088724181785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-4.5474735088646412E-13</v>
      </c>
      <c r="O125" s="13">
        <f>N125*VLOOKUP('Données projet'!$B$9,Paramètres!$A$1:$I$89,3,0)*VLOOKUP('Données projet'!$B$9,Paramètres!$A$1:$I$89,5,0)</f>
        <v>-2.5420376914553347E-13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492.3498626914548</v>
      </c>
      <c r="T125" s="59">
        <f t="shared" si="88"/>
        <v>635.90304180030307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0.88374873761045081</v>
      </c>
      <c r="AA125" s="21">
        <f>EXP(-LN(2)/25)*AA124+(1-EXP(-LN(2)/25))/(LN(2)/25)*Calculateur!V125*Calculateur!X125*VLOOKUP('Données projet'!$B$9,Paramètres!$A$1:$I$89,3,0)*0.475*44/12</f>
        <v>1.8875593573499971</v>
      </c>
      <c r="AB125" s="21">
        <f>EXP(-LN(2)/2)*AB124+(1-EXP(-LN(2)/2))/(LN(2)/2)*V125*Y125*VLOOKUP('Données projet'!$B$9,Paramètres!$A$1:$I$89,3,0)*0.475*44/12</f>
        <v>1.6626228289858754E-13</v>
      </c>
      <c r="AC125" s="22">
        <f t="shared" si="57"/>
        <v>2.7713080949606139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175.05987582828078</v>
      </c>
      <c r="AO125" s="59">
        <f t="shared" si="90"/>
        <v>268.54782308462387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0.851316823759801</v>
      </c>
      <c r="AV125" s="21">
        <f>EXP(-LN(2)/25)*AV124+(1-EXP(-LN(2)/25))/(LN(2)/25)*Calculateur!AQ125*Calculateur!AS125*VLOOKUP('Données projet'!$B$10,Paramètres!$A$1:$I$89,3,0)*0.475*44/12</f>
        <v>1.4169617338411549</v>
      </c>
      <c r="AW125" s="21">
        <f>EXP(-LN(2)/2)*AW124+(1-EXP(-LN(2)/2))/(LN(2)/2)*AQ125*AT125*VLOOKUP('Données projet'!$B$10,Paramètres!$A$1:$I$89,3,0)*0.475*44/12</f>
        <v>1.4707868754326776E-13</v>
      </c>
      <c r="AX125" s="21">
        <f t="shared" si="60"/>
        <v>2.2682785576011031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5.6843418860808015E-13</v>
      </c>
      <c r="BE125" s="13">
        <f>BD125*VLOOKUP('Données projet'!$B$11,Paramètres!$A$1:$I$89,3,0)*VLOOKUP('Données projet'!$B$11,Paramètres!$A$1:$I$89,5,0)</f>
        <v>3.39923644787632E-13</v>
      </c>
      <c r="BF125" s="13">
        <f t="shared" si="91"/>
        <v>4.4287447204943725E-12</v>
      </c>
      <c r="BG125" s="20">
        <f t="shared" si="61"/>
        <v>8.3054307361994904E-12</v>
      </c>
      <c r="BH125" s="59">
        <f t="shared" si="62"/>
        <v>293.33333333334161</v>
      </c>
      <c r="BI125" s="59">
        <f ca="1">AVERAGE(OFFSET($BH$3,0,0,'Données projet'!$E$11+1,1))-AVERAGE(OFFSET($H$3,0,0,'Données projet'!$E$11+1,1))</f>
        <v>381.78368385345919</v>
      </c>
      <c r="BJ125" s="59">
        <f t="shared" si="92"/>
        <v>257.35575295655639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1.1897741524632377</v>
      </c>
      <c r="BR125" s="21">
        <f>EXP(-LN(2)/2)*BR124+(1-EXP(-LN(2)/2))/(LN(2)/2)*BL125*BO125*VLOOKUP('Données projet'!$B$11,Paramètres!$A$1:$I$89,3,0)*0.475*44/12</f>
        <v>2.5707945468556974E-10</v>
      </c>
      <c r="BS125" s="22">
        <f t="shared" si="63"/>
        <v>1.1897741527203172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1.1368683772161603E-13</v>
      </c>
      <c r="BZ125" s="13">
        <f>BY125*VLOOKUP('Données projet'!$B$12,Paramètres!$A$1:$I$89,3,0)*VLOOKUP('Données projet'!$B$12,Paramètres!$A$1:$I$89,5,0)</f>
        <v>5.4683368944097308E-14</v>
      </c>
      <c r="CA125" s="13">
        <f t="shared" si="93"/>
        <v>8.8129432816788268E-13</v>
      </c>
      <c r="CB125" s="20">
        <f t="shared" si="64"/>
        <v>1.6301611558033651E-12</v>
      </c>
      <c r="CC125" s="59">
        <f t="shared" si="65"/>
        <v>293.33333333333496</v>
      </c>
      <c r="CD125" s="59">
        <f ca="1">AVERAGE(OFFSET($CC$3,0,0,'Données projet'!$E$12+1,1))-AVERAGE(OFFSET($H$3,0,0,'Données projet'!$E$12+1,1))</f>
        <v>415.97633163853953</v>
      </c>
      <c r="CE125" s="59">
        <f t="shared" si="94"/>
        <v>356.23532720804423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0.4369663577667775</v>
      </c>
      <c r="CL125" s="21">
        <f>EXP(-LN(2)/25)*CL124+(1-EXP(-LN(2)/25))/(LN(2)/25)*Calculateur!CG125*Calculateur!CI125*VLOOKUP('Données projet'!$B$12,Paramètres!$A$1:$I$89,3,0)*0.475*44/12</f>
        <v>1.1733937475774123</v>
      </c>
      <c r="CM125" s="21">
        <f>EXP(-LN(2)/2)*CM124+(1-EXP(-LN(2)/2))/(LN(2)/2)*CG125*CJ125*VLOOKUP('Données projet'!$B$12,Paramètres!$A$1:$I$89,3,0)*0.475*44/12</f>
        <v>4.5015118654615431E-13</v>
      </c>
      <c r="CN125" s="22">
        <f t="shared" si="66"/>
        <v>1.6103601053446399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-4.5474735088646412E-13</v>
      </c>
      <c r="O126" s="13">
        <f>N126*VLOOKUP('Données projet'!$B$9,Paramètres!$A$1:$I$89,3,0)*VLOOKUP('Données projet'!$B$9,Paramètres!$A$1:$I$89,5,0)</f>
        <v>-2.5420376914553347E-13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492.3498626914548</v>
      </c>
      <c r="T126" s="59">
        <f t="shared" si="88"/>
        <v>635.90304180030307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0.86641896389941464</v>
      </c>
      <c r="AA126" s="21">
        <f>EXP(-LN(2)/25)*AA125+(1-EXP(-LN(2)/25))/(LN(2)/25)*Calculateur!V126*Calculateur!X126*VLOOKUP('Données projet'!$B$9,Paramètres!$A$1:$I$89,3,0)*0.475*44/12</f>
        <v>1.835943947460829</v>
      </c>
      <c r="AB126" s="21">
        <f>EXP(-LN(2)/2)*AB125+(1-EXP(-LN(2)/2))/(LN(2)/2)*V126*Y126*VLOOKUP('Données projet'!$B$9,Paramètres!$A$1:$I$89,3,0)*0.475*44/12</f>
        <v>1.175651876931474E-13</v>
      </c>
      <c r="AC126" s="22">
        <f t="shared" si="57"/>
        <v>2.7023629113603613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175.05987582828078</v>
      </c>
      <c r="AO126" s="59">
        <f t="shared" si="90"/>
        <v>268.54782308462387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0.83462302009786193</v>
      </c>
      <c r="AV126" s="21">
        <f>EXP(-LN(2)/25)*AV125+(1-EXP(-LN(2)/25))/(LN(2)/25)*Calculateur!AQ126*Calculateur!AS126*VLOOKUP('Données projet'!$B$10,Paramètres!$A$1:$I$89,3,0)*0.475*44/12</f>
        <v>1.3782148407144894</v>
      </c>
      <c r="AW126" s="21">
        <f>EXP(-LN(2)/2)*AW125+(1-EXP(-LN(2)/2))/(LN(2)/2)*AQ126*AT126*VLOOKUP('Données projet'!$B$10,Paramètres!$A$1:$I$89,3,0)*0.475*44/12</f>
        <v>1.0400033732986203E-13</v>
      </c>
      <c r="AX126" s="21">
        <f t="shared" si="60"/>
        <v>2.2128378608124555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5.6843418860808015E-13</v>
      </c>
      <c r="BE126" s="13">
        <f>BD126*VLOOKUP('Données projet'!$B$11,Paramètres!$A$1:$I$89,3,0)*VLOOKUP('Données projet'!$B$11,Paramètres!$A$1:$I$89,5,0)</f>
        <v>3.39923644787632E-13</v>
      </c>
      <c r="BF126" s="13">
        <f t="shared" si="91"/>
        <v>4.4287447204943725E-12</v>
      </c>
      <c r="BG126" s="20">
        <f t="shared" si="61"/>
        <v>8.3054307361994904E-12</v>
      </c>
      <c r="BH126" s="59">
        <f t="shared" si="62"/>
        <v>293.33333333334161</v>
      </c>
      <c r="BI126" s="59">
        <f ca="1">AVERAGE(OFFSET($BH$3,0,0,'Données projet'!$E$11+1,1))-AVERAGE(OFFSET($H$3,0,0,'Données projet'!$E$11+1,1))</f>
        <v>381.78368385345919</v>
      </c>
      <c r="BJ126" s="59">
        <f t="shared" si="92"/>
        <v>257.35575295655639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1.157239715696627</v>
      </c>
      <c r="BR126" s="21">
        <f>EXP(-LN(2)/2)*BR125+(1-EXP(-LN(2)/2))/(LN(2)/2)*BL126*BO126*VLOOKUP('Données projet'!$B$11,Paramètres!$A$1:$I$89,3,0)*0.475*44/12</f>
        <v>1.8178262571190612E-10</v>
      </c>
      <c r="BS126" s="22">
        <f t="shared" si="63"/>
        <v>1.1572397158784096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1.1368683772161603E-13</v>
      </c>
      <c r="BZ126" s="13">
        <f>BY126*VLOOKUP('Données projet'!$B$12,Paramètres!$A$1:$I$89,3,0)*VLOOKUP('Données projet'!$B$12,Paramètres!$A$1:$I$89,5,0)</f>
        <v>5.4683368944097308E-14</v>
      </c>
      <c r="CA126" s="13">
        <f t="shared" si="93"/>
        <v>8.8129432816788268E-13</v>
      </c>
      <c r="CB126" s="20">
        <f t="shared" si="64"/>
        <v>1.6301611558033651E-12</v>
      </c>
      <c r="CC126" s="59">
        <f t="shared" si="65"/>
        <v>293.33333333333496</v>
      </c>
      <c r="CD126" s="59">
        <f ca="1">AVERAGE(OFFSET($CC$3,0,0,'Données projet'!$E$12+1,1))-AVERAGE(OFFSET($H$3,0,0,'Données projet'!$E$12+1,1))</f>
        <v>415.97633163853953</v>
      </c>
      <c r="CE126" s="59">
        <f t="shared" si="94"/>
        <v>356.23532720804423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0.42839771401413224</v>
      </c>
      <c r="CL126" s="21">
        <f>EXP(-LN(2)/25)*CL125+(1-EXP(-LN(2)/25))/(LN(2)/25)*Calculateur!CG126*Calculateur!CI126*VLOOKUP('Données projet'!$B$12,Paramètres!$A$1:$I$89,3,0)*0.475*44/12</f>
        <v>1.1413072338438126</v>
      </c>
      <c r="CM126" s="21">
        <f>EXP(-LN(2)/2)*CM125+(1-EXP(-LN(2)/2))/(LN(2)/2)*CG126*CJ126*VLOOKUP('Données projet'!$B$12,Paramètres!$A$1:$I$89,3,0)*0.475*44/12</f>
        <v>3.1830495656595629E-13</v>
      </c>
      <c r="CN126" s="22">
        <f t="shared" si="66"/>
        <v>1.5697049478582632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-4.5474735088646412E-13</v>
      </c>
      <c r="O127" s="13">
        <f>N127*VLOOKUP('Données projet'!$B$9,Paramètres!$A$1:$I$89,3,0)*VLOOKUP('Données projet'!$B$9,Paramètres!$A$1:$I$89,5,0)</f>
        <v>-2.5420376914553347E-13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492.3498626914548</v>
      </c>
      <c r="T127" s="59">
        <f t="shared" si="88"/>
        <v>635.90304180030307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0.84942901648073366</v>
      </c>
      <c r="AA127" s="21">
        <f>EXP(-LN(2)/25)*AA126+(1-EXP(-LN(2)/25))/(LN(2)/25)*Calculateur!V127*Calculateur!X127*VLOOKUP('Données projet'!$B$9,Paramètres!$A$1:$I$89,3,0)*0.475*44/12</f>
        <v>1.7857399636694165</v>
      </c>
      <c r="AB127" s="21">
        <f>EXP(-LN(2)/2)*AB126+(1-EXP(-LN(2)/2))/(LN(2)/2)*V127*Y127*VLOOKUP('Données projet'!$B$9,Paramètres!$A$1:$I$89,3,0)*0.475*44/12</f>
        <v>8.313114144929377E-14</v>
      </c>
      <c r="AC127" s="22">
        <f t="shared" si="57"/>
        <v>2.6351689801502332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175.05987582828078</v>
      </c>
      <c r="AO127" s="59">
        <f t="shared" si="90"/>
        <v>268.54782308462387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0.81825657174351862</v>
      </c>
      <c r="AV127" s="21">
        <f>EXP(-LN(2)/25)*AV126+(1-EXP(-LN(2)/25))/(LN(2)/25)*Calculateur!AQ127*Calculateur!AS127*VLOOKUP('Données projet'!$B$10,Paramètres!$A$1:$I$89,3,0)*0.475*44/12</f>
        <v>1.3405274834179832</v>
      </c>
      <c r="AW127" s="21">
        <f>EXP(-LN(2)/2)*AW126+(1-EXP(-LN(2)/2))/(LN(2)/2)*AQ127*AT127*VLOOKUP('Données projet'!$B$10,Paramètres!$A$1:$I$89,3,0)*0.475*44/12</f>
        <v>7.353934377163388E-14</v>
      </c>
      <c r="AX127" s="21">
        <f t="shared" si="60"/>
        <v>2.1587840551615756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5.6843418860808015E-13</v>
      </c>
      <c r="BE127" s="13">
        <f>BD127*VLOOKUP('Données projet'!$B$11,Paramètres!$A$1:$I$89,3,0)*VLOOKUP('Données projet'!$B$11,Paramètres!$A$1:$I$89,5,0)</f>
        <v>3.39923644787632E-13</v>
      </c>
      <c r="BF127" s="13">
        <f t="shared" si="91"/>
        <v>4.4287447204943725E-12</v>
      </c>
      <c r="BG127" s="20">
        <f t="shared" si="61"/>
        <v>8.3054307361994904E-12</v>
      </c>
      <c r="BH127" s="59">
        <f t="shared" si="62"/>
        <v>293.33333333334161</v>
      </c>
      <c r="BI127" s="59">
        <f ca="1">AVERAGE(OFFSET($BH$3,0,0,'Données projet'!$E$11+1,1))-AVERAGE(OFFSET($H$3,0,0,'Données projet'!$E$11+1,1))</f>
        <v>381.78368385345919</v>
      </c>
      <c r="BJ127" s="59">
        <f t="shared" si="92"/>
        <v>257.35575295655639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1.1255949348143111</v>
      </c>
      <c r="BR127" s="21">
        <f>EXP(-LN(2)/2)*BR126+(1-EXP(-LN(2)/2))/(LN(2)/2)*BL127*BO127*VLOOKUP('Données projet'!$B$11,Paramètres!$A$1:$I$89,3,0)*0.475*44/12</f>
        <v>1.2853972734278487E-10</v>
      </c>
      <c r="BS127" s="22">
        <f t="shared" si="63"/>
        <v>1.1255949349428507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1.1368683772161603E-13</v>
      </c>
      <c r="BZ127" s="13">
        <f>BY127*VLOOKUP('Données projet'!$B$12,Paramètres!$A$1:$I$89,3,0)*VLOOKUP('Données projet'!$B$12,Paramètres!$A$1:$I$89,5,0)</f>
        <v>5.4683368944097308E-14</v>
      </c>
      <c r="CA127" s="13">
        <f t="shared" si="93"/>
        <v>8.8129432816788268E-13</v>
      </c>
      <c r="CB127" s="20">
        <f t="shared" si="64"/>
        <v>1.6301611558033651E-12</v>
      </c>
      <c r="CC127" s="59">
        <f t="shared" si="65"/>
        <v>293.33333333333496</v>
      </c>
      <c r="CD127" s="59">
        <f ca="1">AVERAGE(OFFSET($CC$3,0,0,'Données projet'!$E$12+1,1))-AVERAGE(OFFSET($H$3,0,0,'Données projet'!$E$12+1,1))</f>
        <v>415.97633163853953</v>
      </c>
      <c r="CE127" s="59">
        <f t="shared" si="94"/>
        <v>356.23532720804423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0.41999709613911973</v>
      </c>
      <c r="CL127" s="21">
        <f>EXP(-LN(2)/25)*CL126+(1-EXP(-LN(2)/25))/(LN(2)/25)*Calculateur!CG127*Calculateur!CI127*VLOOKUP('Données projet'!$B$12,Paramètres!$A$1:$I$89,3,0)*0.475*44/12</f>
        <v>1.1100981275156145</v>
      </c>
      <c r="CM127" s="21">
        <f>EXP(-LN(2)/2)*CM126+(1-EXP(-LN(2)/2))/(LN(2)/2)*CG127*CJ127*VLOOKUP('Données projet'!$B$12,Paramètres!$A$1:$I$89,3,0)*0.475*44/12</f>
        <v>2.2507559327307718E-13</v>
      </c>
      <c r="CN127" s="22">
        <f t="shared" si="66"/>
        <v>1.5300952236549594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-4.5474735088646412E-13</v>
      </c>
      <c r="O128" s="13">
        <f>N128*VLOOKUP('Données projet'!$B$9,Paramètres!$A$1:$I$89,3,0)*VLOOKUP('Données projet'!$B$9,Paramètres!$A$1:$I$89,5,0)</f>
        <v>-2.5420376914553347E-13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492.3498626914548</v>
      </c>
      <c r="T128" s="59">
        <f t="shared" si="88"/>
        <v>635.90304180030307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0.83277223156808833</v>
      </c>
      <c r="AA128" s="21">
        <f>EXP(-LN(2)/25)*AA127+(1-EXP(-LN(2)/25))/(LN(2)/25)*Calculateur!V128*Calculateur!X128*VLOOKUP('Données projet'!$B$9,Paramètres!$A$1:$I$89,3,0)*0.475*44/12</f>
        <v>1.7369088104548929</v>
      </c>
      <c r="AB128" s="21">
        <f>EXP(-LN(2)/2)*AB127+(1-EXP(-LN(2)/2))/(LN(2)/2)*V128*Y128*VLOOKUP('Données projet'!$B$9,Paramètres!$A$1:$I$89,3,0)*0.475*44/12</f>
        <v>5.8782593846573701E-14</v>
      </c>
      <c r="AC128" s="22">
        <f t="shared" si="57"/>
        <v>2.5696810420230398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175.05987582828078</v>
      </c>
      <c r="AO128" s="59">
        <f t="shared" si="90"/>
        <v>268.54782308462387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0.80221105945885618</v>
      </c>
      <c r="AV128" s="21">
        <f>EXP(-LN(2)/25)*AV127+(1-EXP(-LN(2)/25))/(LN(2)/25)*Calculateur!AQ128*Calculateur!AS128*VLOOKUP('Données projet'!$B$10,Paramètres!$A$1:$I$89,3,0)*0.475*44/12</f>
        <v>1.303870688888642</v>
      </c>
      <c r="AW128" s="21">
        <f>EXP(-LN(2)/2)*AW127+(1-EXP(-LN(2)/2))/(LN(2)/2)*AQ128*AT128*VLOOKUP('Données projet'!$B$10,Paramètres!$A$1:$I$89,3,0)*0.475*44/12</f>
        <v>5.2000168664931015E-14</v>
      </c>
      <c r="AX128" s="21">
        <f t="shared" si="60"/>
        <v>2.1060817483475502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5.6843418860808015E-13</v>
      </c>
      <c r="BE128" s="13">
        <f>BD128*VLOOKUP('Données projet'!$B$11,Paramètres!$A$1:$I$89,3,0)*VLOOKUP('Données projet'!$B$11,Paramètres!$A$1:$I$89,5,0)</f>
        <v>3.39923644787632E-13</v>
      </c>
      <c r="BF128" s="13">
        <f t="shared" si="91"/>
        <v>4.4287447204943725E-12</v>
      </c>
      <c r="BG128" s="20">
        <f t="shared" si="61"/>
        <v>8.3054307361994904E-12</v>
      </c>
      <c r="BH128" s="59">
        <f t="shared" si="62"/>
        <v>293.33333333334161</v>
      </c>
      <c r="BI128" s="59">
        <f ca="1">AVERAGE(OFFSET($BH$3,0,0,'Données projet'!$E$11+1,1))-AVERAGE(OFFSET($H$3,0,0,'Données projet'!$E$11+1,1))</f>
        <v>381.78368385345919</v>
      </c>
      <c r="BJ128" s="59">
        <f t="shared" si="92"/>
        <v>257.35575295655639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1.0948154821293488</v>
      </c>
      <c r="BR128" s="21">
        <f>EXP(-LN(2)/2)*BR127+(1-EXP(-LN(2)/2))/(LN(2)/2)*BL128*BO128*VLOOKUP('Données projet'!$B$11,Paramètres!$A$1:$I$89,3,0)*0.475*44/12</f>
        <v>9.089131285595306E-11</v>
      </c>
      <c r="BS128" s="22">
        <f t="shared" si="63"/>
        <v>1.0948154822202401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1.1368683772161603E-13</v>
      </c>
      <c r="BZ128" s="13">
        <f>BY128*VLOOKUP('Données projet'!$B$12,Paramètres!$A$1:$I$89,3,0)*VLOOKUP('Données projet'!$B$12,Paramètres!$A$1:$I$89,5,0)</f>
        <v>5.4683368944097308E-14</v>
      </c>
      <c r="CA128" s="13">
        <f t="shared" si="93"/>
        <v>8.8129432816788268E-13</v>
      </c>
      <c r="CB128" s="20">
        <f t="shared" si="64"/>
        <v>1.6301611558033651E-12</v>
      </c>
      <c r="CC128" s="59">
        <f t="shared" si="65"/>
        <v>293.33333333333496</v>
      </c>
      <c r="CD128" s="59">
        <f ca="1">AVERAGE(OFFSET($CC$3,0,0,'Données projet'!$E$12+1,1))-AVERAGE(OFFSET($H$3,0,0,'Données projet'!$E$12+1,1))</f>
        <v>415.97633163853953</v>
      </c>
      <c r="CE128" s="59">
        <f t="shared" si="94"/>
        <v>356.23532720804423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0.41176120925676524</v>
      </c>
      <c r="CL128" s="21">
        <f>EXP(-LN(2)/25)*CL127+(1-EXP(-LN(2)/25))/(LN(2)/25)*Calculateur!CG128*Calculateur!CI128*VLOOKUP('Données projet'!$B$12,Paramètres!$A$1:$I$89,3,0)*0.475*44/12</f>
        <v>1.0797424358411767</v>
      </c>
      <c r="CM128" s="21">
        <f>EXP(-LN(2)/2)*CM127+(1-EXP(-LN(2)/2))/(LN(2)/2)*CG128*CJ128*VLOOKUP('Données projet'!$B$12,Paramètres!$A$1:$I$89,3,0)*0.475*44/12</f>
        <v>1.5915247828297817E-13</v>
      </c>
      <c r="CN128" s="22">
        <f t="shared" si="66"/>
        <v>1.4915036450981012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-4.5474735088646412E-13</v>
      </c>
      <c r="O129" s="13">
        <f>N129*VLOOKUP('Données projet'!$B$9,Paramètres!$A$1:$I$89,3,0)*VLOOKUP('Données projet'!$B$9,Paramètres!$A$1:$I$89,5,0)</f>
        <v>-2.5420376914553347E-13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492.3498626914548</v>
      </c>
      <c r="T129" s="59">
        <f t="shared" si="88"/>
        <v>635.90304180030307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0.81644207604794439</v>
      </c>
      <c r="AA129" s="21">
        <f>EXP(-LN(2)/25)*AA128+(1-EXP(-LN(2)/25))/(LN(2)/25)*Calculateur!V129*Calculateur!X129*VLOOKUP('Données projet'!$B$9,Paramètres!$A$1:$I$89,3,0)*0.475*44/12</f>
        <v>1.6894129476929391</v>
      </c>
      <c r="AB129" s="21">
        <f>EXP(-LN(2)/2)*AB128+(1-EXP(-LN(2)/2))/(LN(2)/2)*V129*Y129*VLOOKUP('Données projet'!$B$9,Paramètres!$A$1:$I$89,3,0)*0.475*44/12</f>
        <v>4.1565570724646885E-14</v>
      </c>
      <c r="AC129" s="22">
        <f t="shared" si="57"/>
        <v>2.5058550237409252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175.05987582828078</v>
      </c>
      <c r="AO129" s="59">
        <f t="shared" si="90"/>
        <v>268.54782308462387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0.78648018988329993</v>
      </c>
      <c r="AV129" s="21">
        <f>EXP(-LN(2)/25)*AV128+(1-EXP(-LN(2)/25))/(LN(2)/25)*Calculateur!AQ129*Calculateur!AS129*VLOOKUP('Données projet'!$B$10,Paramètres!$A$1:$I$89,3,0)*0.475*44/12</f>
        <v>1.2682162763334026</v>
      </c>
      <c r="AW129" s="21">
        <f>EXP(-LN(2)/2)*AW128+(1-EXP(-LN(2)/2))/(LN(2)/2)*AQ129*AT129*VLOOKUP('Données projet'!$B$10,Paramètres!$A$1:$I$89,3,0)*0.475*44/12</f>
        <v>3.676967188581694E-14</v>
      </c>
      <c r="AX129" s="21">
        <f t="shared" si="60"/>
        <v>2.0546964662167393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5.6843418860808015E-13</v>
      </c>
      <c r="BE129" s="13">
        <f>BD129*VLOOKUP('Données projet'!$B$11,Paramètres!$A$1:$I$89,3,0)*VLOOKUP('Données projet'!$B$11,Paramètres!$A$1:$I$89,5,0)</f>
        <v>3.39923644787632E-13</v>
      </c>
      <c r="BF129" s="13">
        <f t="shared" si="91"/>
        <v>4.4287447204943725E-12</v>
      </c>
      <c r="BG129" s="20">
        <f t="shared" si="61"/>
        <v>8.3054307361994904E-12</v>
      </c>
      <c r="BH129" s="59">
        <f t="shared" si="62"/>
        <v>293.33333333334161</v>
      </c>
      <c r="BI129" s="59">
        <f ca="1">AVERAGE(OFFSET($BH$3,0,0,'Données projet'!$E$11+1,1))-AVERAGE(OFFSET($H$3,0,0,'Données projet'!$E$11+1,1))</f>
        <v>381.78368385345919</v>
      </c>
      <c r="BJ129" s="59">
        <f t="shared" si="92"/>
        <v>257.35575295655639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1.0648776951966779</v>
      </c>
      <c r="BR129" s="21">
        <f>EXP(-LN(2)/2)*BR128+(1-EXP(-LN(2)/2))/(LN(2)/2)*BL129*BO129*VLOOKUP('Données projet'!$B$11,Paramètres!$A$1:$I$89,3,0)*0.475*44/12</f>
        <v>6.4269863671392434E-11</v>
      </c>
      <c r="BS129" s="22">
        <f t="shared" si="63"/>
        <v>1.0648776952609478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1.1368683772161603E-13</v>
      </c>
      <c r="BZ129" s="13">
        <f>BY129*VLOOKUP('Données projet'!$B$12,Paramètres!$A$1:$I$89,3,0)*VLOOKUP('Données projet'!$B$12,Paramètres!$A$1:$I$89,5,0)</f>
        <v>5.4683368944097308E-14</v>
      </c>
      <c r="CA129" s="13">
        <f t="shared" si="93"/>
        <v>8.8129432816788268E-13</v>
      </c>
      <c r="CB129" s="20">
        <f t="shared" si="64"/>
        <v>1.6301611558033651E-12</v>
      </c>
      <c r="CC129" s="59">
        <f t="shared" si="65"/>
        <v>293.33333333333496</v>
      </c>
      <c r="CD129" s="59">
        <f ca="1">AVERAGE(OFFSET($CC$3,0,0,'Données projet'!$E$12+1,1))-AVERAGE(OFFSET($H$3,0,0,'Données projet'!$E$12+1,1))</f>
        <v>415.97633163853953</v>
      </c>
      <c r="CE129" s="59">
        <f t="shared" si="94"/>
        <v>356.23532720804423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0.40368682309277876</v>
      </c>
      <c r="CL129" s="21">
        <f>EXP(-LN(2)/25)*CL128+(1-EXP(-LN(2)/25))/(LN(2)/25)*Calculateur!CG129*Calculateur!CI129*VLOOKUP('Données projet'!$B$12,Paramètres!$A$1:$I$89,3,0)*0.475*44/12</f>
        <v>1.0502168221519128</v>
      </c>
      <c r="CM129" s="21">
        <f>EXP(-LN(2)/2)*CM128+(1-EXP(-LN(2)/2))/(LN(2)/2)*CG129*CJ129*VLOOKUP('Données projet'!$B$12,Paramètres!$A$1:$I$89,3,0)*0.475*44/12</f>
        <v>1.125377966365386E-13</v>
      </c>
      <c r="CN129" s="22">
        <f t="shared" si="66"/>
        <v>1.4539036452448042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-4.5474735088646412E-13</v>
      </c>
      <c r="O130" s="13">
        <f>N130*VLOOKUP('Données projet'!$B$9,Paramètres!$A$1:$I$89,3,0)*VLOOKUP('Données projet'!$B$9,Paramètres!$A$1:$I$89,5,0)</f>
        <v>-2.5420376914553347E-13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492.3498626914548</v>
      </c>
      <c r="T130" s="59">
        <f t="shared" si="88"/>
        <v>635.90304180030307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0.8004321449171391</v>
      </c>
      <c r="AA130" s="21">
        <f>EXP(-LN(2)/25)*AA129+(1-EXP(-LN(2)/25))/(LN(2)/25)*Calculateur!V130*Calculateur!X130*VLOOKUP('Données projet'!$B$9,Paramètres!$A$1:$I$89,3,0)*0.475*44/12</f>
        <v>1.6432158617959101</v>
      </c>
      <c r="AB130" s="21">
        <f>EXP(-LN(2)/2)*AB129+(1-EXP(-LN(2)/2))/(LN(2)/2)*V130*Y130*VLOOKUP('Données projet'!$B$9,Paramètres!$A$1:$I$89,3,0)*0.475*44/12</f>
        <v>2.939129692328685E-14</v>
      </c>
      <c r="AC130" s="22">
        <f t="shared" si="57"/>
        <v>2.4436480067130786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175.05987582828078</v>
      </c>
      <c r="AO130" s="59">
        <f t="shared" si="90"/>
        <v>268.54782308462387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0.77105779306523725</v>
      </c>
      <c r="AV130" s="21">
        <f>EXP(-LN(2)/25)*AV129+(1-EXP(-LN(2)/25))/(LN(2)/25)*Calculateur!AQ130*Calculateur!AS130*VLOOKUP('Données projet'!$B$10,Paramètres!$A$1:$I$89,3,0)*0.475*44/12</f>
        <v>1.2335368355644702</v>
      </c>
      <c r="AW130" s="21">
        <f>EXP(-LN(2)/2)*AW129+(1-EXP(-LN(2)/2))/(LN(2)/2)*AQ130*AT130*VLOOKUP('Données projet'!$B$10,Paramètres!$A$1:$I$89,3,0)*0.475*44/12</f>
        <v>2.6000084332465508E-14</v>
      </c>
      <c r="AX130" s="21">
        <f t="shared" si="60"/>
        <v>2.0045946286297336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5.6843418860808015E-13</v>
      </c>
      <c r="BE130" s="13">
        <f>BD130*VLOOKUP('Données projet'!$B$11,Paramètres!$A$1:$I$89,3,0)*VLOOKUP('Données projet'!$B$11,Paramètres!$A$1:$I$89,5,0)</f>
        <v>3.39923644787632E-13</v>
      </c>
      <c r="BF130" s="13">
        <f t="shared" si="91"/>
        <v>4.4287447204943725E-12</v>
      </c>
      <c r="BG130" s="20">
        <f t="shared" si="61"/>
        <v>8.3054307361994904E-12</v>
      </c>
      <c r="BH130" s="59">
        <f t="shared" si="62"/>
        <v>293.33333333334161</v>
      </c>
      <c r="BI130" s="59">
        <f ca="1">AVERAGE(OFFSET($BH$3,0,0,'Données projet'!$E$11+1,1))-AVERAGE(OFFSET($H$3,0,0,'Données projet'!$E$11+1,1))</f>
        <v>381.78368385345919</v>
      </c>
      <c r="BJ130" s="59">
        <f t="shared" si="92"/>
        <v>257.35575295655639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1.0357585586220406</v>
      </c>
      <c r="BR130" s="21">
        <f>EXP(-LN(2)/2)*BR129+(1-EXP(-LN(2)/2))/(LN(2)/2)*BL130*BO130*VLOOKUP('Données projet'!$B$11,Paramètres!$A$1:$I$89,3,0)*0.475*44/12</f>
        <v>4.544565642797653E-11</v>
      </c>
      <c r="BS130" s="22">
        <f t="shared" si="63"/>
        <v>1.0357585586674862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1.1368683772161603E-13</v>
      </c>
      <c r="BZ130" s="13">
        <f>BY130*VLOOKUP('Données projet'!$B$12,Paramètres!$A$1:$I$89,3,0)*VLOOKUP('Données projet'!$B$12,Paramètres!$A$1:$I$89,5,0)</f>
        <v>5.4683368944097308E-14</v>
      </c>
      <c r="CA130" s="13">
        <f t="shared" si="93"/>
        <v>8.8129432816788268E-13</v>
      </c>
      <c r="CB130" s="20">
        <f t="shared" si="64"/>
        <v>1.6301611558033651E-12</v>
      </c>
      <c r="CC130" s="59">
        <f t="shared" si="65"/>
        <v>293.33333333333496</v>
      </c>
      <c r="CD130" s="59">
        <f ca="1">AVERAGE(OFFSET($CC$3,0,0,'Données projet'!$E$12+1,1))-AVERAGE(OFFSET($H$3,0,0,'Données projet'!$E$12+1,1))</f>
        <v>415.97633163853953</v>
      </c>
      <c r="CE130" s="59">
        <f t="shared" si="94"/>
        <v>356.23532720804423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0.39577077071657879</v>
      </c>
      <c r="CL130" s="21">
        <f>EXP(-LN(2)/25)*CL129+(1-EXP(-LN(2)/25))/(LN(2)/25)*Calculateur!CG130*Calculateur!CI130*VLOOKUP('Données projet'!$B$12,Paramètres!$A$1:$I$89,3,0)*0.475*44/12</f>
        <v>1.0214985879216665</v>
      </c>
      <c r="CM130" s="21">
        <f>EXP(-LN(2)/2)*CM129+(1-EXP(-LN(2)/2))/(LN(2)/2)*CG130*CJ130*VLOOKUP('Données projet'!$B$12,Paramètres!$A$1:$I$89,3,0)*0.475*44/12</f>
        <v>7.9576239141489097E-14</v>
      </c>
      <c r="CN130" s="22">
        <f t="shared" si="66"/>
        <v>1.4172693586383247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-4.5474735088646412E-13</v>
      </c>
      <c r="O131" s="13">
        <f>N131*VLOOKUP('Données projet'!$B$9,Paramètres!$A$1:$I$89,3,0)*VLOOKUP('Données projet'!$B$9,Paramètres!$A$1:$I$89,5,0)</f>
        <v>-2.5420376914553347E-13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492.3498626914548</v>
      </c>
      <c r="T131" s="59">
        <f t="shared" si="88"/>
        <v>635.90304180030307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0.78473615877071512</v>
      </c>
      <c r="AA131" s="21">
        <f>EXP(-LN(2)/25)*AA130+(1-EXP(-LN(2)/25))/(LN(2)/25)*Calculateur!V131*Calculateur!X131*VLOOKUP('Données projet'!$B$9,Paramètres!$A$1:$I$89,3,0)*0.475*44/12</f>
        <v>1.5982820376421343</v>
      </c>
      <c r="AB131" s="21">
        <f>EXP(-LN(2)/2)*AB130+(1-EXP(-LN(2)/2))/(LN(2)/2)*V131*Y131*VLOOKUP('Données projet'!$B$9,Paramètres!$A$1:$I$89,3,0)*0.475*44/12</f>
        <v>2.0782785362323443E-14</v>
      </c>
      <c r="AC131" s="22">
        <f t="shared" si="57"/>
        <v>2.3830181964128703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175.05987582828078</v>
      </c>
      <c r="AO131" s="59">
        <f t="shared" si="90"/>
        <v>268.54782308462387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0.75593782004204357</v>
      </c>
      <c r="AV131" s="21">
        <f>EXP(-LN(2)/25)*AV130+(1-EXP(-LN(2)/25))/(LN(2)/25)*Calculateur!AQ131*Calculateur!AS131*VLOOKUP('Données projet'!$B$10,Paramètres!$A$1:$I$89,3,0)*0.475*44/12</f>
        <v>1.1998057059270768</v>
      </c>
      <c r="AW131" s="21">
        <f>EXP(-LN(2)/2)*AW130+(1-EXP(-LN(2)/2))/(LN(2)/2)*AQ131*AT131*VLOOKUP('Données projet'!$B$10,Paramètres!$A$1:$I$89,3,0)*0.475*44/12</f>
        <v>1.838483594290847E-14</v>
      </c>
      <c r="AX131" s="21">
        <f t="shared" si="60"/>
        <v>1.9557435259691387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5.6843418860808015E-13</v>
      </c>
      <c r="BE131" s="13">
        <f>BD131*VLOOKUP('Données projet'!$B$11,Paramètres!$A$1:$I$89,3,0)*VLOOKUP('Données projet'!$B$11,Paramètres!$A$1:$I$89,5,0)</f>
        <v>3.39923644787632E-13</v>
      </c>
      <c r="BF131" s="13">
        <f t="shared" si="91"/>
        <v>4.4287447204943725E-12</v>
      </c>
      <c r="BG131" s="20">
        <f t="shared" si="61"/>
        <v>8.3054307361994904E-12</v>
      </c>
      <c r="BH131" s="59">
        <f t="shared" si="62"/>
        <v>293.33333333334161</v>
      </c>
      <c r="BI131" s="59">
        <f ca="1">AVERAGE(OFFSET($BH$3,0,0,'Données projet'!$E$11+1,1))-AVERAGE(OFFSET($H$3,0,0,'Données projet'!$E$11+1,1))</f>
        <v>381.78368385345919</v>
      </c>
      <c r="BJ131" s="59">
        <f t="shared" si="92"/>
        <v>257.35575295655639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1.0074356863683456</v>
      </c>
      <c r="BR131" s="21">
        <f>EXP(-LN(2)/2)*BR130+(1-EXP(-LN(2)/2))/(LN(2)/2)*BL131*BO131*VLOOKUP('Données projet'!$B$11,Paramètres!$A$1:$I$89,3,0)*0.475*44/12</f>
        <v>3.2134931835696217E-11</v>
      </c>
      <c r="BS131" s="22">
        <f t="shared" si="63"/>
        <v>1.0074356864004805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1.1368683772161603E-13</v>
      </c>
      <c r="BZ131" s="13">
        <f>BY131*VLOOKUP('Données projet'!$B$12,Paramètres!$A$1:$I$89,3,0)*VLOOKUP('Données projet'!$B$12,Paramètres!$A$1:$I$89,5,0)</f>
        <v>5.4683368944097308E-14</v>
      </c>
      <c r="CA131" s="13">
        <f t="shared" si="93"/>
        <v>8.8129432816788268E-13</v>
      </c>
      <c r="CB131" s="20">
        <f t="shared" si="64"/>
        <v>1.6301611558033651E-12</v>
      </c>
      <c r="CC131" s="59">
        <f t="shared" si="65"/>
        <v>293.33333333333496</v>
      </c>
      <c r="CD131" s="59">
        <f ca="1">AVERAGE(OFFSET($CC$3,0,0,'Données projet'!$E$12+1,1))-AVERAGE(OFFSET($H$3,0,0,'Données projet'!$E$12+1,1))</f>
        <v>415.97633163853953</v>
      </c>
      <c r="CE131" s="59">
        <f t="shared" si="94"/>
        <v>356.23532720804423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0.38800994729916088</v>
      </c>
      <c r="CL131" s="21">
        <f>EXP(-LN(2)/25)*CL130+(1-EXP(-LN(2)/25))/(LN(2)/25)*Calculateur!CG131*Calculateur!CI131*VLOOKUP('Données projet'!$B$12,Paramètres!$A$1:$I$89,3,0)*0.475*44/12</f>
        <v>0.9935656553166724</v>
      </c>
      <c r="CM131" s="21">
        <f>EXP(-LN(2)/2)*CM130+(1-EXP(-LN(2)/2))/(LN(2)/2)*CG131*CJ131*VLOOKUP('Données projet'!$B$12,Paramètres!$A$1:$I$89,3,0)*0.475*44/12</f>
        <v>5.6268898318269314E-14</v>
      </c>
      <c r="CN131" s="22">
        <f t="shared" si="66"/>
        <v>1.3815756026158894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-4.5474735088646412E-13</v>
      </c>
      <c r="O132" s="13">
        <f>N132*VLOOKUP('Données projet'!$B$9,Paramètres!$A$1:$I$89,3,0)*VLOOKUP('Données projet'!$B$9,Paramètres!$A$1:$I$89,5,0)</f>
        <v>-2.5420376914553347E-13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492.3498626914548</v>
      </c>
      <c r="T132" s="59">
        <f t="shared" si="88"/>
        <v>635.90304180030307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0.76934796133901628</v>
      </c>
      <c r="AA132" s="21">
        <f>EXP(-LN(2)/25)*AA131+(1-EXP(-LN(2)/25))/(LN(2)/25)*Calculateur!V132*Calculateur!X132*VLOOKUP('Données projet'!$B$9,Paramètres!$A$1:$I$89,3,0)*0.475*44/12</f>
        <v>1.5545769312728106</v>
      </c>
      <c r="AB132" s="21">
        <f>EXP(-LN(2)/2)*AB131+(1-EXP(-LN(2)/2))/(LN(2)/2)*V132*Y132*VLOOKUP('Données projet'!$B$9,Paramètres!$A$1:$I$89,3,0)*0.475*44/12</f>
        <v>1.4695648461643425E-14</v>
      </c>
      <c r="AC132" s="22">
        <f t="shared" ref="AC132:AC153" si="111">SUM(Z132:AB132)</f>
        <v>2.3239248926118417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175.05987582828078</v>
      </c>
      <c r="AO132" s="59">
        <f t="shared" si="90"/>
        <v>268.54782308462387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0.74111434046756175</v>
      </c>
      <c r="AV132" s="21">
        <f>EXP(-LN(2)/25)*AV131+(1-EXP(-LN(2)/25))/(LN(2)/25)*Calculateur!AQ132*Calculateur!AS132*VLOOKUP('Données projet'!$B$10,Paramètres!$A$1:$I$89,3,0)*0.475*44/12</f>
        <v>1.166996955803461</v>
      </c>
      <c r="AW132" s="21">
        <f>EXP(-LN(2)/2)*AW131+(1-EXP(-LN(2)/2))/(LN(2)/2)*AQ132*AT132*VLOOKUP('Données projet'!$B$10,Paramètres!$A$1:$I$89,3,0)*0.475*44/12</f>
        <v>1.3000042166232754E-14</v>
      </c>
      <c r="AX132" s="21">
        <f t="shared" ref="AX132:AX153" si="114">SUM(AU132:AW132)</f>
        <v>1.9081112962710358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5.6843418860808015E-13</v>
      </c>
      <c r="BE132" s="13">
        <f>BD132*VLOOKUP('Données projet'!$B$11,Paramètres!$A$1:$I$89,3,0)*VLOOKUP('Données projet'!$B$11,Paramètres!$A$1:$I$89,5,0)</f>
        <v>3.39923644787632E-13</v>
      </c>
      <c r="BF132" s="13">
        <f t="shared" si="91"/>
        <v>4.4287447204943725E-12</v>
      </c>
      <c r="BG132" s="20">
        <f t="shared" ref="BG132:BG153" si="115">(BE132+BF132)*0.475*44/12</f>
        <v>8.3054307361994904E-12</v>
      </c>
      <c r="BH132" s="59">
        <f t="shared" ref="BH132:BH195" si="116">BG132+(AY132+AZ132)*44/12</f>
        <v>293.33333333334161</v>
      </c>
      <c r="BI132" s="59">
        <f ca="1">AVERAGE(OFFSET($BH$3,0,0,'Données projet'!$E$11+1,1))-AVERAGE(OFFSET($H$3,0,0,'Données projet'!$E$11+1,1))</f>
        <v>381.78368385345919</v>
      </c>
      <c r="BJ132" s="59">
        <f t="shared" si="92"/>
        <v>257.35575295655639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0.97988730454586292</v>
      </c>
      <c r="BR132" s="21">
        <f>EXP(-LN(2)/2)*BR131+(1-EXP(-LN(2)/2))/(LN(2)/2)*BL132*BO132*VLOOKUP('Données projet'!$B$11,Paramètres!$A$1:$I$89,3,0)*0.475*44/12</f>
        <v>2.2722828213988265E-11</v>
      </c>
      <c r="BS132" s="22">
        <f t="shared" ref="BS132:BS153" si="117">SUM(BP132:BR132)</f>
        <v>0.97988730456858575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1.1368683772161603E-13</v>
      </c>
      <c r="BZ132" s="13">
        <f>BY132*VLOOKUP('Données projet'!$B$12,Paramètres!$A$1:$I$89,3,0)*VLOOKUP('Données projet'!$B$12,Paramètres!$A$1:$I$89,5,0)</f>
        <v>5.4683368944097308E-14</v>
      </c>
      <c r="CA132" s="13">
        <f t="shared" si="93"/>
        <v>8.8129432816788268E-13</v>
      </c>
      <c r="CB132" s="20">
        <f t="shared" ref="CB132:CB153" si="118">(BZ132+CA132)*0.475*44/12</f>
        <v>1.6301611558033651E-12</v>
      </c>
      <c r="CC132" s="59">
        <f t="shared" ref="CC132:CC195" si="119">CB132+(BT132+BU132)*44/12</f>
        <v>293.33333333333496</v>
      </c>
      <c r="CD132" s="59">
        <f ca="1">AVERAGE(OFFSET($CC$3,0,0,'Données projet'!$E$12+1,1))-AVERAGE(OFFSET($H$3,0,0,'Données projet'!$E$12+1,1))</f>
        <v>415.97633163853953</v>
      </c>
      <c r="CE132" s="59">
        <f t="shared" si="94"/>
        <v>356.23532720804423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0.3804013088953237</v>
      </c>
      <c r="CL132" s="21">
        <f>EXP(-LN(2)/25)*CL131+(1-EXP(-LN(2)/25))/(LN(2)/25)*Calculateur!CG132*Calculateur!CI132*VLOOKUP('Données projet'!$B$12,Paramètres!$A$1:$I$89,3,0)*0.475*44/12</f>
        <v>0.966396550222691</v>
      </c>
      <c r="CM132" s="21">
        <f>EXP(-LN(2)/2)*CM131+(1-EXP(-LN(2)/2))/(LN(2)/2)*CG132*CJ132*VLOOKUP('Données projet'!$B$12,Paramètres!$A$1:$I$89,3,0)*0.475*44/12</f>
        <v>3.9788119570744555E-14</v>
      </c>
      <c r="CN132" s="22">
        <f t="shared" ref="CN132:CN153" si="120">SUM(CK132:CM132)</f>
        <v>1.3467978591180545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-4.5474735088646412E-13</v>
      </c>
      <c r="O133" s="13">
        <f>N133*VLOOKUP('Données projet'!$B$9,Paramètres!$A$1:$I$89,3,0)*VLOOKUP('Données projet'!$B$9,Paramètres!$A$1:$I$89,5,0)</f>
        <v>-2.5420376914553347E-13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492.3498626914548</v>
      </c>
      <c r="T133" s="59">
        <f t="shared" ref="T133:T196" si="142">$T$3</f>
        <v>635.90304180030307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0.75426151707307942</v>
      </c>
      <c r="AA133" s="21">
        <f>EXP(-LN(2)/25)*AA132+(1-EXP(-LN(2)/25))/(LN(2)/25)*Calculateur!V133*Calculateur!X133*VLOOKUP('Données projet'!$B$9,Paramètres!$A$1:$I$89,3,0)*0.475*44/12</f>
        <v>1.5120669433355078</v>
      </c>
      <c r="AB133" s="21">
        <f>EXP(-LN(2)/2)*AB132+(1-EXP(-LN(2)/2))/(LN(2)/2)*V133*Y133*VLOOKUP('Données projet'!$B$9,Paramètres!$A$1:$I$89,3,0)*0.475*44/12</f>
        <v>1.0391392681161721E-14</v>
      </c>
      <c r="AC133" s="22">
        <f t="shared" si="111"/>
        <v>2.2663284604085976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175.05987582828078</v>
      </c>
      <c r="AO133" s="59">
        <f t="shared" ref="AO133:AO196" si="144">$AO$3</f>
        <v>268.54782308462387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0.72658154028610578</v>
      </c>
      <c r="AV133" s="21">
        <f>EXP(-LN(2)/25)*AV132+(1-EXP(-LN(2)/25))/(LN(2)/25)*Calculateur!AQ133*Calculateur!AS133*VLOOKUP('Données projet'!$B$10,Paramètres!$A$1:$I$89,3,0)*0.475*44/12</f>
        <v>1.1350853626773125</v>
      </c>
      <c r="AW133" s="21">
        <f>EXP(-LN(2)/2)*AW132+(1-EXP(-LN(2)/2))/(LN(2)/2)*AQ133*AT133*VLOOKUP('Données projet'!$B$10,Paramètres!$A$1:$I$89,3,0)*0.475*44/12</f>
        <v>9.1924179714542351E-15</v>
      </c>
      <c r="AX133" s="21">
        <f t="shared" si="114"/>
        <v>1.8616669029634274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5.6843418860808015E-13</v>
      </c>
      <c r="BE133" s="13">
        <f>BD133*VLOOKUP('Données projet'!$B$11,Paramètres!$A$1:$I$89,3,0)*VLOOKUP('Données projet'!$B$11,Paramètres!$A$1:$I$89,5,0)</f>
        <v>3.39923644787632E-13</v>
      </c>
      <c r="BF133" s="13">
        <f t="shared" ref="BF133:BF153" si="145">EXP(-1.0587+0.8836*LN(BE133)+0.284)</f>
        <v>4.4287447204943725E-12</v>
      </c>
      <c r="BG133" s="20">
        <f t="shared" si="115"/>
        <v>8.3054307361994904E-12</v>
      </c>
      <c r="BH133" s="59">
        <f t="shared" si="116"/>
        <v>293.33333333334161</v>
      </c>
      <c r="BI133" s="59">
        <f ca="1">AVERAGE(OFFSET($BH$3,0,0,'Données projet'!$E$11+1,1))-AVERAGE(OFFSET($H$3,0,0,'Données projet'!$E$11+1,1))</f>
        <v>381.78368385345919</v>
      </c>
      <c r="BJ133" s="59">
        <f t="shared" ref="BJ133:BJ196" si="146">$BJ$3</f>
        <v>257.35575295655639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0.95309223467302251</v>
      </c>
      <c r="BR133" s="21">
        <f>EXP(-LN(2)/2)*BR132+(1-EXP(-LN(2)/2))/(LN(2)/2)*BL133*BO133*VLOOKUP('Données projet'!$B$11,Paramètres!$A$1:$I$89,3,0)*0.475*44/12</f>
        <v>1.6067465917848108E-11</v>
      </c>
      <c r="BS133" s="22">
        <f t="shared" si="117"/>
        <v>0.95309223468908999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1.1368683772161603E-13</v>
      </c>
      <c r="BZ133" s="13">
        <f>BY133*VLOOKUP('Données projet'!$B$12,Paramètres!$A$1:$I$89,3,0)*VLOOKUP('Données projet'!$B$12,Paramètres!$A$1:$I$89,5,0)</f>
        <v>5.4683368944097308E-14</v>
      </c>
      <c r="CA133" s="13">
        <f t="shared" ref="CA133:CA153" si="147">EXP(-1.0587+0.8836*LN(BZ133)+0.284)</f>
        <v>8.8129432816788268E-13</v>
      </c>
      <c r="CB133" s="20">
        <f t="shared" si="118"/>
        <v>1.6301611558033651E-12</v>
      </c>
      <c r="CC133" s="59">
        <f t="shared" si="119"/>
        <v>293.33333333333496</v>
      </c>
      <c r="CD133" s="59">
        <f ca="1">AVERAGE(OFFSET($CC$3,0,0,'Données projet'!$E$12+1,1))-AVERAGE(OFFSET($H$3,0,0,'Données projet'!$E$12+1,1))</f>
        <v>415.97633163853953</v>
      </c>
      <c r="CE133" s="59">
        <f t="shared" ref="CE133:CE196" si="148">$CE$3</f>
        <v>356.23532720804423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0.37294187124977457</v>
      </c>
      <c r="CL133" s="21">
        <f>EXP(-LN(2)/25)*CL132+(1-EXP(-LN(2)/25))/(LN(2)/25)*Calculateur!CG133*Calculateur!CI133*VLOOKUP('Données projet'!$B$12,Paramètres!$A$1:$I$89,3,0)*0.475*44/12</f>
        <v>0.93997038573626568</v>
      </c>
      <c r="CM133" s="21">
        <f>EXP(-LN(2)/2)*CM132+(1-EXP(-LN(2)/2))/(LN(2)/2)*CG133*CJ133*VLOOKUP('Données projet'!$B$12,Paramètres!$A$1:$I$89,3,0)*0.475*44/12</f>
        <v>2.813444915913466E-14</v>
      </c>
      <c r="CN133" s="22">
        <f t="shared" si="120"/>
        <v>1.3129122569860685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-4.5474735088646412E-13</v>
      </c>
      <c r="O134" s="13">
        <f>N134*VLOOKUP('Données projet'!$B$9,Paramètres!$A$1:$I$89,3,0)*VLOOKUP('Données projet'!$B$9,Paramètres!$A$1:$I$89,5,0)</f>
        <v>-2.5420376914553347E-13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492.3498626914548</v>
      </c>
      <c r="T134" s="59">
        <f t="shared" si="142"/>
        <v>635.90304180030307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0.7394709087773752</v>
      </c>
      <c r="AA134" s="21">
        <f>EXP(-LN(2)/25)*AA133+(1-EXP(-LN(2)/25))/(LN(2)/25)*Calculateur!V134*Calculateur!X134*VLOOKUP('Données projet'!$B$9,Paramètres!$A$1:$I$89,3,0)*0.475*44/12</f>
        <v>1.4707193932538538</v>
      </c>
      <c r="AB134" s="21">
        <f>EXP(-LN(2)/2)*AB133+(1-EXP(-LN(2)/2))/(LN(2)/2)*V134*Y134*VLOOKUP('Données projet'!$B$9,Paramètres!$A$1:$I$89,3,0)*0.475*44/12</f>
        <v>7.3478242308217126E-15</v>
      </c>
      <c r="AC134" s="22">
        <f t="shared" si="111"/>
        <v>2.2101903020312368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175.05987582828078</v>
      </c>
      <c r="AO134" s="59">
        <f t="shared" si="144"/>
        <v>268.54782308462387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0.71233371945207535</v>
      </c>
      <c r="AV134" s="21">
        <f>EXP(-LN(2)/25)*AV133+(1-EXP(-LN(2)/25))/(LN(2)/25)*Calculateur!AQ134*Calculateur!AS134*VLOOKUP('Données projet'!$B$10,Paramètres!$A$1:$I$89,3,0)*0.475*44/12</f>
        <v>1.1040463937433564</v>
      </c>
      <c r="AW134" s="21">
        <f>EXP(-LN(2)/2)*AW133+(1-EXP(-LN(2)/2))/(LN(2)/2)*AQ134*AT134*VLOOKUP('Données projet'!$B$10,Paramètres!$A$1:$I$89,3,0)*0.475*44/12</f>
        <v>6.5000210831163769E-15</v>
      </c>
      <c r="AX134" s="21">
        <f t="shared" si="114"/>
        <v>1.8163801131954382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5.6843418860808015E-13</v>
      </c>
      <c r="BE134" s="13">
        <f>BD134*VLOOKUP('Données projet'!$B$11,Paramètres!$A$1:$I$89,3,0)*VLOOKUP('Données projet'!$B$11,Paramètres!$A$1:$I$89,5,0)</f>
        <v>3.39923644787632E-13</v>
      </c>
      <c r="BF134" s="13">
        <f t="shared" si="145"/>
        <v>4.4287447204943725E-12</v>
      </c>
      <c r="BG134" s="20">
        <f t="shared" si="115"/>
        <v>8.3054307361994904E-12</v>
      </c>
      <c r="BH134" s="59">
        <f t="shared" si="116"/>
        <v>293.33333333334161</v>
      </c>
      <c r="BI134" s="59">
        <f ca="1">AVERAGE(OFFSET($BH$3,0,0,'Données projet'!$E$11+1,1))-AVERAGE(OFFSET($H$3,0,0,'Données projet'!$E$11+1,1))</f>
        <v>381.78368385345919</v>
      </c>
      <c r="BJ134" s="59">
        <f t="shared" si="146"/>
        <v>257.35575295655639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0.92702987739494636</v>
      </c>
      <c r="BR134" s="21">
        <f>EXP(-LN(2)/2)*BR133+(1-EXP(-LN(2)/2))/(LN(2)/2)*BL134*BO134*VLOOKUP('Données projet'!$B$11,Paramètres!$A$1:$I$89,3,0)*0.475*44/12</f>
        <v>1.1361414106994132E-11</v>
      </c>
      <c r="BS134" s="22">
        <f t="shared" si="117"/>
        <v>0.92702987740630782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1.1368683772161603E-13</v>
      </c>
      <c r="BZ134" s="13">
        <f>BY134*VLOOKUP('Données projet'!$B$12,Paramètres!$A$1:$I$89,3,0)*VLOOKUP('Données projet'!$B$12,Paramètres!$A$1:$I$89,5,0)</f>
        <v>5.4683368944097308E-14</v>
      </c>
      <c r="CA134" s="13">
        <f t="shared" si="147"/>
        <v>8.8129432816788268E-13</v>
      </c>
      <c r="CB134" s="20">
        <f t="shared" si="118"/>
        <v>1.6301611558033651E-12</v>
      </c>
      <c r="CC134" s="59">
        <f t="shared" si="119"/>
        <v>293.33333333333496</v>
      </c>
      <c r="CD134" s="59">
        <f ca="1">AVERAGE(OFFSET($CC$3,0,0,'Données projet'!$E$12+1,1))-AVERAGE(OFFSET($H$3,0,0,'Données projet'!$E$12+1,1))</f>
        <v>415.97633163853953</v>
      </c>
      <c r="CE134" s="59">
        <f t="shared" si="148"/>
        <v>356.23532720804423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0.36562870862664693</v>
      </c>
      <c r="CL134" s="21">
        <f>EXP(-LN(2)/25)*CL133+(1-EXP(-LN(2)/25))/(LN(2)/25)*Calculateur!CG134*Calculateur!CI134*VLOOKUP('Données projet'!$B$12,Paramètres!$A$1:$I$89,3,0)*0.475*44/12</f>
        <v>0.91426684610741327</v>
      </c>
      <c r="CM134" s="21">
        <f>EXP(-LN(2)/2)*CM133+(1-EXP(-LN(2)/2))/(LN(2)/2)*CG134*CJ134*VLOOKUP('Données projet'!$B$12,Paramètres!$A$1:$I$89,3,0)*0.475*44/12</f>
        <v>1.9894059785372281E-14</v>
      </c>
      <c r="CN134" s="22">
        <f t="shared" si="120"/>
        <v>1.2798955547340802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-4.5474735088646412E-13</v>
      </c>
      <c r="O135" s="13">
        <f>N135*VLOOKUP('Données projet'!$B$9,Paramètres!$A$1:$I$89,3,0)*VLOOKUP('Données projet'!$B$9,Paramètres!$A$1:$I$89,5,0)</f>
        <v>-2.5420376914553347E-13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492.3498626914548</v>
      </c>
      <c r="T135" s="59">
        <f t="shared" si="142"/>
        <v>635.90304180030307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0.72497033528896948</v>
      </c>
      <c r="AA135" s="21">
        <f>EXP(-LN(2)/25)*AA134+(1-EXP(-LN(2)/25))/(LN(2)/25)*Calculateur!V135*Calculateur!X135*VLOOKUP('Données projet'!$B$9,Paramètres!$A$1:$I$89,3,0)*0.475*44/12</f>
        <v>1.4305024941035556</v>
      </c>
      <c r="AB135" s="21">
        <f>EXP(-LN(2)/2)*AB134+(1-EXP(-LN(2)/2))/(LN(2)/2)*V135*Y135*VLOOKUP('Données projet'!$B$9,Paramètres!$A$1:$I$89,3,0)*0.475*44/12</f>
        <v>5.1956963405808606E-15</v>
      </c>
      <c r="AC135" s="22">
        <f t="shared" si="111"/>
        <v>2.1554728293925303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175.05987582828078</v>
      </c>
      <c r="AO135" s="59">
        <f t="shared" si="144"/>
        <v>268.54782308462387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0.69836528969428757</v>
      </c>
      <c r="AV135" s="21">
        <f>EXP(-LN(2)/25)*AV134+(1-EXP(-LN(2)/25))/(LN(2)/25)*Calculateur!AQ135*Calculateur!AS135*VLOOKUP('Données projet'!$B$10,Paramètres!$A$1:$I$89,3,0)*0.475*44/12</f>
        <v>1.0738561870471679</v>
      </c>
      <c r="AW135" s="21">
        <f>EXP(-LN(2)/2)*AW134+(1-EXP(-LN(2)/2))/(LN(2)/2)*AQ135*AT135*VLOOKUP('Données projet'!$B$10,Paramètres!$A$1:$I$89,3,0)*0.475*44/12</f>
        <v>4.5962089857271175E-15</v>
      </c>
      <c r="AX135" s="21">
        <f t="shared" si="114"/>
        <v>1.7722214767414601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5.6843418860808015E-13</v>
      </c>
      <c r="BE135" s="13">
        <f>BD135*VLOOKUP('Données projet'!$B$11,Paramètres!$A$1:$I$89,3,0)*VLOOKUP('Données projet'!$B$11,Paramètres!$A$1:$I$89,5,0)</f>
        <v>3.39923644787632E-13</v>
      </c>
      <c r="BF135" s="13">
        <f t="shared" si="145"/>
        <v>4.4287447204943725E-12</v>
      </c>
      <c r="BG135" s="20">
        <f t="shared" si="115"/>
        <v>8.3054307361994904E-12</v>
      </c>
      <c r="BH135" s="59">
        <f t="shared" si="116"/>
        <v>293.33333333334161</v>
      </c>
      <c r="BI135" s="59">
        <f ca="1">AVERAGE(OFFSET($BH$3,0,0,'Données projet'!$E$11+1,1))-AVERAGE(OFFSET($H$3,0,0,'Données projet'!$E$11+1,1))</f>
        <v>381.78368385345919</v>
      </c>
      <c r="BJ135" s="59">
        <f t="shared" si="146"/>
        <v>257.35575295655639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0.90168019664719901</v>
      </c>
      <c r="BR135" s="21">
        <f>EXP(-LN(2)/2)*BR134+(1-EXP(-LN(2)/2))/(LN(2)/2)*BL135*BO135*VLOOKUP('Données projet'!$B$11,Paramètres!$A$1:$I$89,3,0)*0.475*44/12</f>
        <v>8.0337329589240542E-12</v>
      </c>
      <c r="BS135" s="22">
        <f t="shared" si="117"/>
        <v>0.90168019665523269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1.1368683772161603E-13</v>
      </c>
      <c r="BZ135" s="13">
        <f>BY135*VLOOKUP('Données projet'!$B$12,Paramètres!$A$1:$I$89,3,0)*VLOOKUP('Données projet'!$B$12,Paramètres!$A$1:$I$89,5,0)</f>
        <v>5.4683368944097308E-14</v>
      </c>
      <c r="CA135" s="13">
        <f t="shared" si="147"/>
        <v>8.8129432816788268E-13</v>
      </c>
      <c r="CB135" s="20">
        <f t="shared" si="118"/>
        <v>1.6301611558033651E-12</v>
      </c>
      <c r="CC135" s="59">
        <f t="shared" si="119"/>
        <v>293.33333333333496</v>
      </c>
      <c r="CD135" s="59">
        <f ca="1">AVERAGE(OFFSET($CC$3,0,0,'Données projet'!$E$12+1,1))-AVERAGE(OFFSET($H$3,0,0,'Données projet'!$E$12+1,1))</f>
        <v>415.97633163853953</v>
      </c>
      <c r="CE135" s="59">
        <f t="shared" si="148"/>
        <v>356.23532720804423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0.35845895266197009</v>
      </c>
      <c r="CL135" s="21">
        <f>EXP(-LN(2)/25)*CL134+(1-EXP(-LN(2)/25))/(LN(2)/25)*Calculateur!CG135*Calculateur!CI135*VLOOKUP('Données projet'!$B$12,Paramètres!$A$1:$I$89,3,0)*0.475*44/12</f>
        <v>0.88926617112140216</v>
      </c>
      <c r="CM135" s="21">
        <f>EXP(-LN(2)/2)*CM134+(1-EXP(-LN(2)/2))/(LN(2)/2)*CG135*CJ135*VLOOKUP('Données projet'!$B$12,Paramètres!$A$1:$I$89,3,0)*0.475*44/12</f>
        <v>1.4067224579567333E-14</v>
      </c>
      <c r="CN135" s="22">
        <f t="shared" si="120"/>
        <v>1.2477251237833862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-4.5474735088646412E-13</v>
      </c>
      <c r="O136" s="13">
        <f>N136*VLOOKUP('Données projet'!$B$9,Paramètres!$A$1:$I$89,3,0)*VLOOKUP('Données projet'!$B$9,Paramètres!$A$1:$I$89,5,0)</f>
        <v>-2.5420376914553347E-13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492.3498626914548</v>
      </c>
      <c r="T136" s="59">
        <f t="shared" si="142"/>
        <v>635.90304180030307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0.71075410920219484</v>
      </c>
      <c r="AA136" s="21">
        <f>EXP(-LN(2)/25)*AA135+(1-EXP(-LN(2)/25))/(LN(2)/25)*Calculateur!V136*Calculateur!X136*VLOOKUP('Données projet'!$B$9,Paramètres!$A$1:$I$89,3,0)*0.475*44/12</f>
        <v>1.3913853281754371</v>
      </c>
      <c r="AB136" s="21">
        <f>EXP(-LN(2)/2)*AB135+(1-EXP(-LN(2)/2))/(LN(2)/2)*V136*Y136*VLOOKUP('Données projet'!$B$9,Paramètres!$A$1:$I$89,3,0)*0.475*44/12</f>
        <v>3.6739121154108563E-15</v>
      </c>
      <c r="AC136" s="22">
        <f t="shared" si="111"/>
        <v>2.1021394373776356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175.05987582828078</v>
      </c>
      <c r="AO136" s="59">
        <f t="shared" si="144"/>
        <v>268.54782308462387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0.68467077232414919</v>
      </c>
      <c r="AV136" s="21">
        <f>EXP(-LN(2)/25)*AV135+(1-EXP(-LN(2)/25))/(LN(2)/25)*Calculateur!AQ136*Calculateur!AS136*VLOOKUP('Données projet'!$B$10,Paramètres!$A$1:$I$89,3,0)*0.475*44/12</f>
        <v>1.0444915331407205</v>
      </c>
      <c r="AW136" s="21">
        <f>EXP(-LN(2)/2)*AW135+(1-EXP(-LN(2)/2))/(LN(2)/2)*AQ136*AT136*VLOOKUP('Données projet'!$B$10,Paramètres!$A$1:$I$89,3,0)*0.475*44/12</f>
        <v>3.2500105415581885E-15</v>
      </c>
      <c r="AX136" s="21">
        <f t="shared" si="114"/>
        <v>1.729162305464873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5.6843418860808015E-13</v>
      </c>
      <c r="BE136" s="13">
        <f>BD136*VLOOKUP('Données projet'!$B$11,Paramètres!$A$1:$I$89,3,0)*VLOOKUP('Données projet'!$B$11,Paramètres!$A$1:$I$89,5,0)</f>
        <v>3.39923644787632E-13</v>
      </c>
      <c r="BF136" s="13">
        <f t="shared" si="145"/>
        <v>4.4287447204943725E-12</v>
      </c>
      <c r="BG136" s="20">
        <f t="shared" si="115"/>
        <v>8.3054307361994904E-12</v>
      </c>
      <c r="BH136" s="59">
        <f t="shared" si="116"/>
        <v>293.33333333334161</v>
      </c>
      <c r="BI136" s="59">
        <f ca="1">AVERAGE(OFFSET($BH$3,0,0,'Données projet'!$E$11+1,1))-AVERAGE(OFFSET($H$3,0,0,'Données projet'!$E$11+1,1))</f>
        <v>381.78368385345919</v>
      </c>
      <c r="BJ136" s="59">
        <f t="shared" si="146"/>
        <v>257.35575295655639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0.87702370425258058</v>
      </c>
      <c r="BR136" s="21">
        <f>EXP(-LN(2)/2)*BR135+(1-EXP(-LN(2)/2))/(LN(2)/2)*BL136*BO136*VLOOKUP('Données projet'!$B$11,Paramètres!$A$1:$I$89,3,0)*0.475*44/12</f>
        <v>5.6807070534970662E-12</v>
      </c>
      <c r="BS136" s="22">
        <f t="shared" si="117"/>
        <v>0.87702370425826126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1.1368683772161603E-13</v>
      </c>
      <c r="BZ136" s="13">
        <f>BY136*VLOOKUP('Données projet'!$B$12,Paramètres!$A$1:$I$89,3,0)*VLOOKUP('Données projet'!$B$12,Paramètres!$A$1:$I$89,5,0)</f>
        <v>5.4683368944097308E-14</v>
      </c>
      <c r="CA136" s="13">
        <f t="shared" si="147"/>
        <v>8.8129432816788268E-13</v>
      </c>
      <c r="CB136" s="20">
        <f t="shared" si="118"/>
        <v>1.6301611558033651E-12</v>
      </c>
      <c r="CC136" s="59">
        <f t="shared" si="119"/>
        <v>293.33333333333496</v>
      </c>
      <c r="CD136" s="59">
        <f ca="1">AVERAGE(OFFSET($CC$3,0,0,'Données projet'!$E$12+1,1))-AVERAGE(OFFSET($H$3,0,0,'Données projet'!$E$12+1,1))</f>
        <v>415.97633163853953</v>
      </c>
      <c r="CE136" s="59">
        <f t="shared" si="148"/>
        <v>356.23532720804423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0.35142979123864121</v>
      </c>
      <c r="CL136" s="21">
        <f>EXP(-LN(2)/25)*CL135+(1-EXP(-LN(2)/25))/(LN(2)/25)*Calculateur!CG136*Calculateur!CI136*VLOOKUP('Données projet'!$B$12,Paramètres!$A$1:$I$89,3,0)*0.475*44/12</f>
        <v>0.86494914090761188</v>
      </c>
      <c r="CM136" s="21">
        <f>EXP(-LN(2)/2)*CM135+(1-EXP(-LN(2)/2))/(LN(2)/2)*CG136*CJ136*VLOOKUP('Données projet'!$B$12,Paramètres!$A$1:$I$89,3,0)*0.475*44/12</f>
        <v>9.9470298926861418E-15</v>
      </c>
      <c r="CN136" s="22">
        <f t="shared" si="120"/>
        <v>1.216378932146263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-4.5474735088646412E-13</v>
      </c>
      <c r="O137" s="13">
        <f>N137*VLOOKUP('Données projet'!$B$9,Paramètres!$A$1:$I$89,3,0)*VLOOKUP('Données projet'!$B$9,Paramètres!$A$1:$I$89,5,0)</f>
        <v>-2.5420376914553347E-13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492.3498626914548</v>
      </c>
      <c r="T137" s="59">
        <f t="shared" si="142"/>
        <v>635.90304180030307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0.69681665463794018</v>
      </c>
      <c r="AA137" s="21">
        <f>EXP(-LN(2)/25)*AA136+(1-EXP(-LN(2)/25))/(LN(2)/25)*Calculateur!V137*Calculateur!X137*VLOOKUP('Données projet'!$B$9,Paramètres!$A$1:$I$89,3,0)*0.475*44/12</f>
        <v>1.3533378232067055</v>
      </c>
      <c r="AB137" s="21">
        <f>EXP(-LN(2)/2)*AB136+(1-EXP(-LN(2)/2))/(LN(2)/2)*V137*Y137*VLOOKUP('Données projet'!$B$9,Paramètres!$A$1:$I$89,3,0)*0.475*44/12</f>
        <v>2.5978481702904303E-15</v>
      </c>
      <c r="AC137" s="22">
        <f t="shared" si="111"/>
        <v>2.0501544778446483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175.05987582828078</v>
      </c>
      <c r="AO137" s="59">
        <f t="shared" si="144"/>
        <v>268.54782308462387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0.67124479608680843</v>
      </c>
      <c r="AV137" s="21">
        <f>EXP(-LN(2)/25)*AV136+(1-EXP(-LN(2)/25))/(LN(2)/25)*Calculateur!AQ137*Calculateur!AS137*VLOOKUP('Données projet'!$B$10,Paramètres!$A$1:$I$89,3,0)*0.475*44/12</f>
        <v>1.015929857239565</v>
      </c>
      <c r="AW137" s="21">
        <f>EXP(-LN(2)/2)*AW136+(1-EXP(-LN(2)/2))/(LN(2)/2)*AQ137*AT137*VLOOKUP('Données projet'!$B$10,Paramètres!$A$1:$I$89,3,0)*0.475*44/12</f>
        <v>2.2981044928635588E-15</v>
      </c>
      <c r="AX137" s="21">
        <f t="shared" si="114"/>
        <v>1.6871746533263756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5.6843418860808015E-13</v>
      </c>
      <c r="BE137" s="13">
        <f>BD137*VLOOKUP('Données projet'!$B$11,Paramètres!$A$1:$I$89,3,0)*VLOOKUP('Données projet'!$B$11,Paramètres!$A$1:$I$89,5,0)</f>
        <v>3.39923644787632E-13</v>
      </c>
      <c r="BF137" s="13">
        <f t="shared" si="145"/>
        <v>4.4287447204943725E-12</v>
      </c>
      <c r="BG137" s="20">
        <f t="shared" si="115"/>
        <v>8.3054307361994904E-12</v>
      </c>
      <c r="BH137" s="59">
        <f t="shared" si="116"/>
        <v>293.33333333334161</v>
      </c>
      <c r="BI137" s="59">
        <f ca="1">AVERAGE(OFFSET($BH$3,0,0,'Données projet'!$E$11+1,1))-AVERAGE(OFFSET($H$3,0,0,'Données projet'!$E$11+1,1))</f>
        <v>381.78368385345919</v>
      </c>
      <c r="BJ137" s="59">
        <f t="shared" si="146"/>
        <v>257.35575295655639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0.8530414449391216</v>
      </c>
      <c r="BR137" s="21">
        <f>EXP(-LN(2)/2)*BR136+(1-EXP(-LN(2)/2))/(LN(2)/2)*BL137*BO137*VLOOKUP('Données projet'!$B$11,Paramètres!$A$1:$I$89,3,0)*0.475*44/12</f>
        <v>4.0168664794620271E-12</v>
      </c>
      <c r="BS137" s="22">
        <f t="shared" si="117"/>
        <v>0.85304144494313849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1.1368683772161603E-13</v>
      </c>
      <c r="BZ137" s="13">
        <f>BY137*VLOOKUP('Données projet'!$B$12,Paramètres!$A$1:$I$89,3,0)*VLOOKUP('Données projet'!$B$12,Paramètres!$A$1:$I$89,5,0)</f>
        <v>5.4683368944097308E-14</v>
      </c>
      <c r="CA137" s="13">
        <f t="shared" si="147"/>
        <v>8.8129432816788268E-13</v>
      </c>
      <c r="CB137" s="20">
        <f t="shared" si="118"/>
        <v>1.6301611558033651E-12</v>
      </c>
      <c r="CC137" s="59">
        <f t="shared" si="119"/>
        <v>293.33333333333496</v>
      </c>
      <c r="CD137" s="59">
        <f ca="1">AVERAGE(OFFSET($CC$3,0,0,'Données projet'!$E$12+1,1))-AVERAGE(OFFSET($H$3,0,0,'Données projet'!$E$12+1,1))</f>
        <v>415.97633163853953</v>
      </c>
      <c r="CE137" s="59">
        <f t="shared" si="148"/>
        <v>356.23532720804423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0.34453846738345872</v>
      </c>
      <c r="CL137" s="21">
        <f>EXP(-LN(2)/25)*CL136+(1-EXP(-LN(2)/25))/(LN(2)/25)*Calculateur!CG137*Calculateur!CI137*VLOOKUP('Données projet'!$B$12,Paramètres!$A$1:$I$89,3,0)*0.475*44/12</f>
        <v>0.84129706116379477</v>
      </c>
      <c r="CM137" s="21">
        <f>EXP(-LN(2)/2)*CM136+(1-EXP(-LN(2)/2))/(LN(2)/2)*CG137*CJ137*VLOOKUP('Données projet'!$B$12,Paramètres!$A$1:$I$89,3,0)*0.475*44/12</f>
        <v>7.0336122897836674E-15</v>
      </c>
      <c r="CN137" s="22">
        <f t="shared" si="120"/>
        <v>1.1858355285472606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-4.5474735088646412E-13</v>
      </c>
      <c r="O138" s="13">
        <f>N138*VLOOKUP('Données projet'!$B$9,Paramètres!$A$1:$I$89,3,0)*VLOOKUP('Données projet'!$B$9,Paramètres!$A$1:$I$89,5,0)</f>
        <v>-2.5420376914553347E-13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492.3498626914548</v>
      </c>
      <c r="T138" s="59">
        <f t="shared" si="142"/>
        <v>635.90304180030307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0.68315250505668268</v>
      </c>
      <c r="AA138" s="21">
        <f>EXP(-LN(2)/25)*AA137+(1-EXP(-LN(2)/25))/(LN(2)/25)*Calculateur!V138*Calculateur!X138*VLOOKUP('Données projet'!$B$9,Paramètres!$A$1:$I$89,3,0)*0.475*44/12</f>
        <v>1.3163307292621751</v>
      </c>
      <c r="AB138" s="21">
        <f>EXP(-LN(2)/2)*AB137+(1-EXP(-LN(2)/2))/(LN(2)/2)*V138*Y138*VLOOKUP('Données projet'!$B$9,Paramètres!$A$1:$I$89,3,0)*0.475*44/12</f>
        <v>1.8369560577054282E-15</v>
      </c>
      <c r="AC138" s="22">
        <f t="shared" si="111"/>
        <v>1.9994832343188595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175.05987582828078</v>
      </c>
      <c r="AO138" s="59">
        <f t="shared" si="144"/>
        <v>268.54782308462387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0.65808209505444493</v>
      </c>
      <c r="AV138" s="21">
        <f>EXP(-LN(2)/25)*AV137+(1-EXP(-LN(2)/25))/(LN(2)/25)*Calculateur!AQ138*Calculateur!AS138*VLOOKUP('Données projet'!$B$10,Paramètres!$A$1:$I$89,3,0)*0.475*44/12</f>
        <v>0.98814920186791977</v>
      </c>
      <c r="AW138" s="21">
        <f>EXP(-LN(2)/2)*AW137+(1-EXP(-LN(2)/2))/(LN(2)/2)*AQ138*AT138*VLOOKUP('Données projet'!$B$10,Paramètres!$A$1:$I$89,3,0)*0.475*44/12</f>
        <v>1.6250052707790942E-15</v>
      </c>
      <c r="AX138" s="21">
        <f t="shared" si="114"/>
        <v>1.6462312969223662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5.6843418860808015E-13</v>
      </c>
      <c r="BE138" s="13">
        <f>BD138*VLOOKUP('Données projet'!$B$11,Paramètres!$A$1:$I$89,3,0)*VLOOKUP('Données projet'!$B$11,Paramètres!$A$1:$I$89,5,0)</f>
        <v>3.39923644787632E-13</v>
      </c>
      <c r="BF138" s="13">
        <f t="shared" si="145"/>
        <v>4.4287447204943725E-12</v>
      </c>
      <c r="BG138" s="20">
        <f t="shared" si="115"/>
        <v>8.3054307361994904E-12</v>
      </c>
      <c r="BH138" s="59">
        <f t="shared" si="116"/>
        <v>293.33333333334161</v>
      </c>
      <c r="BI138" s="59">
        <f ca="1">AVERAGE(OFFSET($BH$3,0,0,'Données projet'!$E$11+1,1))-AVERAGE(OFFSET($H$3,0,0,'Données projet'!$E$11+1,1))</f>
        <v>381.78368385345919</v>
      </c>
      <c r="BJ138" s="59">
        <f t="shared" si="146"/>
        <v>257.35575295655639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0.82971498176776137</v>
      </c>
      <c r="BR138" s="21">
        <f>EXP(-LN(2)/2)*BR137+(1-EXP(-LN(2)/2))/(LN(2)/2)*BL138*BO138*VLOOKUP('Données projet'!$B$11,Paramètres!$A$1:$I$89,3,0)*0.475*44/12</f>
        <v>2.8403535267485331E-12</v>
      </c>
      <c r="BS138" s="22">
        <f t="shared" si="117"/>
        <v>0.82971498177060177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1.1368683772161603E-13</v>
      </c>
      <c r="BZ138" s="13">
        <f>BY138*VLOOKUP('Données projet'!$B$12,Paramètres!$A$1:$I$89,3,0)*VLOOKUP('Données projet'!$B$12,Paramètres!$A$1:$I$89,5,0)</f>
        <v>5.4683368944097308E-14</v>
      </c>
      <c r="CA138" s="13">
        <f t="shared" si="147"/>
        <v>8.8129432816788268E-13</v>
      </c>
      <c r="CB138" s="20">
        <f t="shared" si="118"/>
        <v>1.6301611558033651E-12</v>
      </c>
      <c r="CC138" s="59">
        <f t="shared" si="119"/>
        <v>293.33333333333496</v>
      </c>
      <c r="CD138" s="59">
        <f ca="1">AVERAGE(OFFSET($CC$3,0,0,'Données projet'!$E$12+1,1))-AVERAGE(OFFSET($H$3,0,0,'Données projet'!$E$12+1,1))</f>
        <v>415.97633163853953</v>
      </c>
      <c r="CE138" s="59">
        <f t="shared" si="148"/>
        <v>356.23532720804423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0.33778227818578382</v>
      </c>
      <c r="CL138" s="21">
        <f>EXP(-LN(2)/25)*CL137+(1-EXP(-LN(2)/25))/(LN(2)/25)*Calculateur!CG138*Calculateur!CI138*VLOOKUP('Données projet'!$B$12,Paramètres!$A$1:$I$89,3,0)*0.475*44/12</f>
        <v>0.81829174878438116</v>
      </c>
      <c r="CM138" s="21">
        <f>EXP(-LN(2)/2)*CM137+(1-EXP(-LN(2)/2))/(LN(2)/2)*CG138*CJ138*VLOOKUP('Données projet'!$B$12,Paramètres!$A$1:$I$89,3,0)*0.475*44/12</f>
        <v>4.9735149463430717E-15</v>
      </c>
      <c r="CN138" s="22">
        <f t="shared" si="120"/>
        <v>1.1560740269701699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-4.5474735088646412E-13</v>
      </c>
      <c r="O139" s="13">
        <f>N139*VLOOKUP('Données projet'!$B$9,Paramètres!$A$1:$I$89,3,0)*VLOOKUP('Données projet'!$B$9,Paramètres!$A$1:$I$89,5,0)</f>
        <v>-2.5420376914553347E-13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492.3498626914548</v>
      </c>
      <c r="T139" s="59">
        <f t="shared" si="142"/>
        <v>635.90304180030307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0.66975630111440532</v>
      </c>
      <c r="AA139" s="21">
        <f>EXP(-LN(2)/25)*AA138+(1-EXP(-LN(2)/25))/(LN(2)/25)*Calculateur!V139*Calculateur!X139*VLOOKUP('Données projet'!$B$9,Paramètres!$A$1:$I$89,3,0)*0.475*44/12</f>
        <v>1.2803355962476763</v>
      </c>
      <c r="AB139" s="21">
        <f>EXP(-LN(2)/2)*AB138+(1-EXP(-LN(2)/2))/(LN(2)/2)*V139*Y139*VLOOKUP('Données projet'!$B$9,Paramètres!$A$1:$I$89,3,0)*0.475*44/12</f>
        <v>1.2989240851452152E-15</v>
      </c>
      <c r="AC139" s="22">
        <f t="shared" si="111"/>
        <v>1.9500918973620829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175.05987582828078</v>
      </c>
      <c r="AO139" s="59">
        <f t="shared" si="144"/>
        <v>268.54782308462387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0.64517750656087125</v>
      </c>
      <c r="AV139" s="21">
        <f>EXP(-LN(2)/25)*AV138+(1-EXP(-LN(2)/25))/(LN(2)/25)*Calculateur!AQ139*Calculateur!AS139*VLOOKUP('Données projet'!$B$10,Paramètres!$A$1:$I$89,3,0)*0.475*44/12</f>
        <v>0.96112820997833337</v>
      </c>
      <c r="AW139" s="21">
        <f>EXP(-LN(2)/2)*AW138+(1-EXP(-LN(2)/2))/(LN(2)/2)*AQ139*AT139*VLOOKUP('Données projet'!$B$10,Paramètres!$A$1:$I$89,3,0)*0.475*44/12</f>
        <v>1.1490522464317794E-15</v>
      </c>
      <c r="AX139" s="21">
        <f t="shared" si="114"/>
        <v>1.6063057165392058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5.6843418860808015E-13</v>
      </c>
      <c r="BE139" s="13">
        <f>BD139*VLOOKUP('Données projet'!$B$11,Paramètres!$A$1:$I$89,3,0)*VLOOKUP('Données projet'!$B$11,Paramètres!$A$1:$I$89,5,0)</f>
        <v>3.39923644787632E-13</v>
      </c>
      <c r="BF139" s="13">
        <f t="shared" si="145"/>
        <v>4.4287447204943725E-12</v>
      </c>
      <c r="BG139" s="20">
        <f t="shared" si="115"/>
        <v>8.3054307361994904E-12</v>
      </c>
      <c r="BH139" s="59">
        <f t="shared" si="116"/>
        <v>293.33333333334161</v>
      </c>
      <c r="BI139" s="59">
        <f ca="1">AVERAGE(OFFSET($BH$3,0,0,'Données projet'!$E$11+1,1))-AVERAGE(OFFSET($H$3,0,0,'Données projet'!$E$11+1,1))</f>
        <v>381.78368385345919</v>
      </c>
      <c r="BJ139" s="59">
        <f t="shared" si="146"/>
        <v>257.35575295655639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0.8070263819585074</v>
      </c>
      <c r="BR139" s="21">
        <f>EXP(-LN(2)/2)*BR138+(1-EXP(-LN(2)/2))/(LN(2)/2)*BL139*BO139*VLOOKUP('Données projet'!$B$11,Paramètres!$A$1:$I$89,3,0)*0.475*44/12</f>
        <v>2.0084332397310136E-12</v>
      </c>
      <c r="BS139" s="22">
        <f t="shared" si="117"/>
        <v>0.80702638196051579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1.1368683772161603E-13</v>
      </c>
      <c r="BZ139" s="13">
        <f>BY139*VLOOKUP('Données projet'!$B$12,Paramètres!$A$1:$I$89,3,0)*VLOOKUP('Données projet'!$B$12,Paramètres!$A$1:$I$89,5,0)</f>
        <v>5.4683368944097308E-14</v>
      </c>
      <c r="CA139" s="13">
        <f t="shared" si="147"/>
        <v>8.8129432816788268E-13</v>
      </c>
      <c r="CB139" s="20">
        <f t="shared" si="118"/>
        <v>1.6301611558033651E-12</v>
      </c>
      <c r="CC139" s="59">
        <f t="shared" si="119"/>
        <v>293.33333333333496</v>
      </c>
      <c r="CD139" s="59">
        <f ca="1">AVERAGE(OFFSET($CC$3,0,0,'Données projet'!$E$12+1,1))-AVERAGE(OFFSET($H$3,0,0,'Données projet'!$E$12+1,1))</f>
        <v>415.97633163853953</v>
      </c>
      <c r="CE139" s="59">
        <f t="shared" si="148"/>
        <v>356.23532720804423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0.33115857373740681</v>
      </c>
      <c r="CL139" s="21">
        <f>EXP(-LN(2)/25)*CL138+(1-EXP(-LN(2)/25))/(LN(2)/25)*Calculateur!CG139*Calculateur!CI139*VLOOKUP('Données projet'!$B$12,Paramètres!$A$1:$I$89,3,0)*0.475*44/12</f>
        <v>0.79591551788177939</v>
      </c>
      <c r="CM139" s="21">
        <f>EXP(-LN(2)/2)*CM138+(1-EXP(-LN(2)/2))/(LN(2)/2)*CG139*CJ139*VLOOKUP('Données projet'!$B$12,Paramètres!$A$1:$I$89,3,0)*0.475*44/12</f>
        <v>3.5168061448918341E-15</v>
      </c>
      <c r="CN139" s="22">
        <f t="shared" si="120"/>
        <v>1.1270740916191897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-4.5474735088646412E-13</v>
      </c>
      <c r="O140" s="13">
        <f>N140*VLOOKUP('Données projet'!$B$9,Paramètres!$A$1:$I$89,3,0)*VLOOKUP('Données projet'!$B$9,Paramètres!$A$1:$I$89,5,0)</f>
        <v>-2.5420376914553347E-13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492.3498626914548</v>
      </c>
      <c r="T140" s="59">
        <f t="shared" si="142"/>
        <v>635.90304180030307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0.65662278856055845</v>
      </c>
      <c r="AA140" s="21">
        <f>EXP(-LN(2)/25)*AA139+(1-EXP(-LN(2)/25))/(LN(2)/25)*Calculateur!V140*Calculateur!X140*VLOOKUP('Données projet'!$B$9,Paramètres!$A$1:$I$89,3,0)*0.475*44/12</f>
        <v>1.2453247520383608</v>
      </c>
      <c r="AB140" s="21">
        <f>EXP(-LN(2)/2)*AB139+(1-EXP(-LN(2)/2))/(LN(2)/2)*V140*Y140*VLOOKUP('Données projet'!$B$9,Paramètres!$A$1:$I$89,3,0)*0.475*44/12</f>
        <v>9.1847802885271408E-16</v>
      </c>
      <c r="AC140" s="22">
        <f t="shared" si="111"/>
        <v>1.9019475405989201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175.05987582828078</v>
      </c>
      <c r="AO140" s="59">
        <f t="shared" si="144"/>
        <v>268.54782308462387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0.63252596917663473</v>
      </c>
      <c r="AV140" s="21">
        <f>EXP(-LN(2)/25)*AV139+(1-EXP(-LN(2)/25))/(LN(2)/25)*Calculateur!AQ140*Calculateur!AS140*VLOOKUP('Données projet'!$B$10,Paramètres!$A$1:$I$89,3,0)*0.475*44/12</f>
        <v>0.93484610853293992</v>
      </c>
      <c r="AW140" s="21">
        <f>EXP(-LN(2)/2)*AW139+(1-EXP(-LN(2)/2))/(LN(2)/2)*AQ140*AT140*VLOOKUP('Données projet'!$B$10,Paramètres!$A$1:$I$89,3,0)*0.475*44/12</f>
        <v>8.1250263538954712E-16</v>
      </c>
      <c r="AX140" s="21">
        <f t="shared" si="114"/>
        <v>1.5673720777095754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5.6843418860808015E-13</v>
      </c>
      <c r="BE140" s="13">
        <f>BD140*VLOOKUP('Données projet'!$B$11,Paramètres!$A$1:$I$89,3,0)*VLOOKUP('Données projet'!$B$11,Paramètres!$A$1:$I$89,5,0)</f>
        <v>3.39923644787632E-13</v>
      </c>
      <c r="BF140" s="13">
        <f t="shared" si="145"/>
        <v>4.4287447204943725E-12</v>
      </c>
      <c r="BG140" s="20">
        <f t="shared" si="115"/>
        <v>8.3054307361994904E-12</v>
      </c>
      <c r="BH140" s="59">
        <f t="shared" si="116"/>
        <v>293.33333333334161</v>
      </c>
      <c r="BI140" s="59">
        <f ca="1">AVERAGE(OFFSET($BH$3,0,0,'Données projet'!$E$11+1,1))-AVERAGE(OFFSET($H$3,0,0,'Données projet'!$E$11+1,1))</f>
        <v>381.78368385345919</v>
      </c>
      <c r="BJ140" s="59">
        <f t="shared" si="146"/>
        <v>257.35575295655639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0.78495820310417908</v>
      </c>
      <c r="BR140" s="21">
        <f>EXP(-LN(2)/2)*BR139+(1-EXP(-LN(2)/2))/(LN(2)/2)*BL140*BO140*VLOOKUP('Données projet'!$B$11,Paramètres!$A$1:$I$89,3,0)*0.475*44/12</f>
        <v>1.4201767633742666E-12</v>
      </c>
      <c r="BS140" s="22">
        <f t="shared" si="117"/>
        <v>0.78495820310559927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1.1368683772161603E-13</v>
      </c>
      <c r="BZ140" s="13">
        <f>BY140*VLOOKUP('Données projet'!$B$12,Paramètres!$A$1:$I$89,3,0)*VLOOKUP('Données projet'!$B$12,Paramètres!$A$1:$I$89,5,0)</f>
        <v>5.4683368944097308E-14</v>
      </c>
      <c r="CA140" s="13">
        <f t="shared" si="147"/>
        <v>8.8129432816788268E-13</v>
      </c>
      <c r="CB140" s="20">
        <f t="shared" si="118"/>
        <v>1.6301611558033651E-12</v>
      </c>
      <c r="CC140" s="59">
        <f t="shared" si="119"/>
        <v>293.33333333333496</v>
      </c>
      <c r="CD140" s="59">
        <f ca="1">AVERAGE(OFFSET($CC$3,0,0,'Données projet'!$E$12+1,1))-AVERAGE(OFFSET($H$3,0,0,'Données projet'!$E$12+1,1))</f>
        <v>415.97633163853953</v>
      </c>
      <c r="CE140" s="59">
        <f t="shared" si="148"/>
        <v>356.23532720804423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0.32466475609320172</v>
      </c>
      <c r="CL140" s="21">
        <f>EXP(-LN(2)/25)*CL139+(1-EXP(-LN(2)/25))/(LN(2)/25)*Calculateur!CG140*Calculateur!CI140*VLOOKUP('Données projet'!$B$12,Paramètres!$A$1:$I$89,3,0)*0.475*44/12</f>
        <v>0.77415116618992419</v>
      </c>
      <c r="CM140" s="21">
        <f>EXP(-LN(2)/2)*CM139+(1-EXP(-LN(2)/2))/(LN(2)/2)*CG140*CJ140*VLOOKUP('Données projet'!$B$12,Paramètres!$A$1:$I$89,3,0)*0.475*44/12</f>
        <v>2.4867574731715362E-15</v>
      </c>
      <c r="CN140" s="22">
        <f t="shared" si="120"/>
        <v>1.0988159222831284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-4.5474735088646412E-13</v>
      </c>
      <c r="O141" s="13">
        <f>N141*VLOOKUP('Données projet'!$B$9,Paramètres!$A$1:$I$89,3,0)*VLOOKUP('Données projet'!$B$9,Paramètres!$A$1:$I$89,5,0)</f>
        <v>-2.5420376914553347E-13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492.3498626914548</v>
      </c>
      <c r="T141" s="59">
        <f t="shared" si="142"/>
        <v>635.90304180030307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0.64374681617724083</v>
      </c>
      <c r="AA141" s="21">
        <f>EXP(-LN(2)/25)*AA140+(1-EXP(-LN(2)/25))/(LN(2)/25)*Calculateur!V141*Calculateur!X141*VLOOKUP('Données projet'!$B$9,Paramètres!$A$1:$I$89,3,0)*0.475*44/12</f>
        <v>1.2112712812050894</v>
      </c>
      <c r="AB141" s="21">
        <f>EXP(-LN(2)/2)*AB140+(1-EXP(-LN(2)/2))/(LN(2)/2)*V141*Y141*VLOOKUP('Données projet'!$B$9,Paramètres!$A$1:$I$89,3,0)*0.475*44/12</f>
        <v>6.4946204257260758E-16</v>
      </c>
      <c r="AC141" s="22">
        <f t="shared" si="111"/>
        <v>1.8550180973823309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175.05987582828078</v>
      </c>
      <c r="AO141" s="59">
        <f t="shared" si="144"/>
        <v>268.54782308462387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0.62012252072382723</v>
      </c>
      <c r="AV141" s="21">
        <f>EXP(-LN(2)/25)*AV140+(1-EXP(-LN(2)/25))/(LN(2)/25)*Calculateur!AQ141*Calculateur!AS141*VLOOKUP('Données projet'!$B$10,Paramètres!$A$1:$I$89,3,0)*0.475*44/12</f>
        <v>0.90928269253368643</v>
      </c>
      <c r="AW141" s="21">
        <f>EXP(-LN(2)/2)*AW140+(1-EXP(-LN(2)/2))/(LN(2)/2)*AQ141*AT141*VLOOKUP('Données projet'!$B$10,Paramètres!$A$1:$I$89,3,0)*0.475*44/12</f>
        <v>5.7452612321588969E-16</v>
      </c>
      <c r="AX141" s="21">
        <f t="shared" si="114"/>
        <v>1.5294052132575142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5.6843418860808015E-13</v>
      </c>
      <c r="BE141" s="13">
        <f>BD141*VLOOKUP('Données projet'!$B$11,Paramètres!$A$1:$I$89,3,0)*VLOOKUP('Données projet'!$B$11,Paramètres!$A$1:$I$89,5,0)</f>
        <v>3.39923644787632E-13</v>
      </c>
      <c r="BF141" s="13">
        <f t="shared" si="145"/>
        <v>4.4287447204943725E-12</v>
      </c>
      <c r="BG141" s="20">
        <f t="shared" si="115"/>
        <v>8.3054307361994904E-12</v>
      </c>
      <c r="BH141" s="59">
        <f t="shared" si="116"/>
        <v>293.33333333334161</v>
      </c>
      <c r="BI141" s="59">
        <f ca="1">AVERAGE(OFFSET($BH$3,0,0,'Données projet'!$E$11+1,1))-AVERAGE(OFFSET($H$3,0,0,'Données projet'!$E$11+1,1))</f>
        <v>381.78368385345919</v>
      </c>
      <c r="BJ141" s="59">
        <f t="shared" si="146"/>
        <v>257.35575295655639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0.76349347976113746</v>
      </c>
      <c r="BR141" s="21">
        <f>EXP(-LN(2)/2)*BR140+(1-EXP(-LN(2)/2))/(LN(2)/2)*BL141*BO141*VLOOKUP('Données projet'!$B$11,Paramètres!$A$1:$I$89,3,0)*0.475*44/12</f>
        <v>1.0042166198655068E-12</v>
      </c>
      <c r="BS141" s="22">
        <f t="shared" si="117"/>
        <v>0.76349347976214166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1.1368683772161603E-13</v>
      </c>
      <c r="BZ141" s="13">
        <f>BY141*VLOOKUP('Données projet'!$B$12,Paramètres!$A$1:$I$89,3,0)*VLOOKUP('Données projet'!$B$12,Paramètres!$A$1:$I$89,5,0)</f>
        <v>5.4683368944097308E-14</v>
      </c>
      <c r="CA141" s="13">
        <f t="shared" si="147"/>
        <v>8.8129432816788268E-13</v>
      </c>
      <c r="CB141" s="20">
        <f t="shared" si="118"/>
        <v>1.6301611558033651E-12</v>
      </c>
      <c r="CC141" s="59">
        <f t="shared" si="119"/>
        <v>293.33333333333496</v>
      </c>
      <c r="CD141" s="59">
        <f ca="1">AVERAGE(OFFSET($CC$3,0,0,'Données projet'!$E$12+1,1))-AVERAGE(OFFSET($H$3,0,0,'Données projet'!$E$12+1,1))</f>
        <v>415.97633163853953</v>
      </c>
      <c r="CE141" s="59">
        <f t="shared" si="148"/>
        <v>356.23532720804423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0.31829827825216184</v>
      </c>
      <c r="CL141" s="21">
        <f>EXP(-LN(2)/25)*CL140+(1-EXP(-LN(2)/25))/(LN(2)/25)*Calculateur!CG141*Calculateur!CI141*VLOOKUP('Données projet'!$B$12,Paramètres!$A$1:$I$89,3,0)*0.475*44/12</f>
        <v>0.75298196183962018</v>
      </c>
      <c r="CM141" s="21">
        <f>EXP(-LN(2)/2)*CM140+(1-EXP(-LN(2)/2))/(LN(2)/2)*CG141*CJ141*VLOOKUP('Données projet'!$B$12,Paramètres!$A$1:$I$89,3,0)*0.475*44/12</f>
        <v>1.7584030724459174E-15</v>
      </c>
      <c r="CN141" s="22">
        <f t="shared" si="120"/>
        <v>1.0712802400917838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-4.5474735088646412E-13</v>
      </c>
      <c r="O142" s="13">
        <f>N142*VLOOKUP('Données projet'!$B$9,Paramètres!$A$1:$I$89,3,0)*VLOOKUP('Données projet'!$B$9,Paramètres!$A$1:$I$89,5,0)</f>
        <v>-2.5420376914553347E-13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492.3498626914548</v>
      </c>
      <c r="T142" s="59">
        <f t="shared" si="142"/>
        <v>635.90304180030307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0.63112333375879237</v>
      </c>
      <c r="AA142" s="21">
        <f>EXP(-LN(2)/25)*AA141+(1-EXP(-LN(2)/25))/(LN(2)/25)*Calculateur!V142*Calculateur!X142*VLOOKUP('Données projet'!$B$9,Paramètres!$A$1:$I$89,3,0)*0.475*44/12</f>
        <v>1.178149004322548</v>
      </c>
      <c r="AB142" s="21">
        <f>EXP(-LN(2)/2)*AB141+(1-EXP(-LN(2)/2))/(LN(2)/2)*V142*Y142*VLOOKUP('Données projet'!$B$9,Paramètres!$A$1:$I$89,3,0)*0.475*44/12</f>
        <v>4.5923901442635704E-16</v>
      </c>
      <c r="AC142" s="22">
        <f t="shared" si="111"/>
        <v>1.8092723380813407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175.05987582828078</v>
      </c>
      <c r="AO142" s="59">
        <f t="shared" si="144"/>
        <v>268.54782308462387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0.60796229632982279</v>
      </c>
      <c r="AV142" s="21">
        <f>EXP(-LN(2)/25)*AV141+(1-EXP(-LN(2)/25))/(LN(2)/25)*Calculateur!AQ142*Calculateur!AS142*VLOOKUP('Données projet'!$B$10,Paramètres!$A$1:$I$89,3,0)*0.475*44/12</f>
        <v>0.88441830948925415</v>
      </c>
      <c r="AW142" s="21">
        <f>EXP(-LN(2)/2)*AW141+(1-EXP(-LN(2)/2))/(LN(2)/2)*AQ142*AT142*VLOOKUP('Données projet'!$B$10,Paramètres!$A$1:$I$89,3,0)*0.475*44/12</f>
        <v>4.0625131769477356E-16</v>
      </c>
      <c r="AX142" s="21">
        <f t="shared" si="114"/>
        <v>1.4923806058190774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5.6843418860808015E-13</v>
      </c>
      <c r="BE142" s="13">
        <f>BD142*VLOOKUP('Données projet'!$B$11,Paramètres!$A$1:$I$89,3,0)*VLOOKUP('Données projet'!$B$11,Paramètres!$A$1:$I$89,5,0)</f>
        <v>3.39923644787632E-13</v>
      </c>
      <c r="BF142" s="13">
        <f t="shared" si="145"/>
        <v>4.4287447204943725E-12</v>
      </c>
      <c r="BG142" s="20">
        <f t="shared" si="115"/>
        <v>8.3054307361994904E-12</v>
      </c>
      <c r="BH142" s="59">
        <f t="shared" si="116"/>
        <v>293.33333333334161</v>
      </c>
      <c r="BI142" s="59">
        <f ca="1">AVERAGE(OFFSET($BH$3,0,0,'Données projet'!$E$11+1,1))-AVERAGE(OFFSET($H$3,0,0,'Données projet'!$E$11+1,1))</f>
        <v>381.78368385345919</v>
      </c>
      <c r="BJ142" s="59">
        <f t="shared" si="146"/>
        <v>257.35575295655639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0.74261571040669205</v>
      </c>
      <c r="BR142" s="21">
        <f>EXP(-LN(2)/2)*BR141+(1-EXP(-LN(2)/2))/(LN(2)/2)*BL142*BO142*VLOOKUP('Données projet'!$B$11,Paramètres!$A$1:$I$89,3,0)*0.475*44/12</f>
        <v>7.1008838168713328E-13</v>
      </c>
      <c r="BS142" s="22">
        <f t="shared" si="117"/>
        <v>0.74261571040740215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1.1368683772161603E-13</v>
      </c>
      <c r="BZ142" s="13">
        <f>BY142*VLOOKUP('Données projet'!$B$12,Paramètres!$A$1:$I$89,3,0)*VLOOKUP('Données projet'!$B$12,Paramètres!$A$1:$I$89,5,0)</f>
        <v>5.4683368944097308E-14</v>
      </c>
      <c r="CA142" s="13">
        <f t="shared" si="147"/>
        <v>8.8129432816788268E-13</v>
      </c>
      <c r="CB142" s="20">
        <f t="shared" si="118"/>
        <v>1.6301611558033651E-12</v>
      </c>
      <c r="CC142" s="59">
        <f t="shared" si="119"/>
        <v>293.33333333333496</v>
      </c>
      <c r="CD142" s="59">
        <f ca="1">AVERAGE(OFFSET($CC$3,0,0,'Données projet'!$E$12+1,1))-AVERAGE(OFFSET($H$3,0,0,'Données projet'!$E$12+1,1))</f>
        <v>415.97633163853953</v>
      </c>
      <c r="CE142" s="59">
        <f t="shared" si="148"/>
        <v>356.23532720804423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0.31205664315841669</v>
      </c>
      <c r="CL142" s="21">
        <f>EXP(-LN(2)/25)*CL141+(1-EXP(-LN(2)/25))/(LN(2)/25)*Calculateur!CG142*Calculateur!CI142*VLOOKUP('Données projet'!$B$12,Paramètres!$A$1:$I$89,3,0)*0.475*44/12</f>
        <v>0.73239163049551537</v>
      </c>
      <c r="CM142" s="21">
        <f>EXP(-LN(2)/2)*CM141+(1-EXP(-LN(2)/2))/(LN(2)/2)*CG142*CJ142*VLOOKUP('Données projet'!$B$12,Paramètres!$A$1:$I$89,3,0)*0.475*44/12</f>
        <v>1.2433787365857683E-15</v>
      </c>
      <c r="CN142" s="22">
        <f t="shared" si="120"/>
        <v>1.0444482736539333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-4.5474735088646412E-13</v>
      </c>
      <c r="O143" s="13">
        <f>N143*VLOOKUP('Données projet'!$B$9,Paramètres!$A$1:$I$89,3,0)*VLOOKUP('Données projet'!$B$9,Paramètres!$A$1:$I$89,5,0)</f>
        <v>-2.5420376914553347E-13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492.3498626914548</v>
      </c>
      <c r="T143" s="59">
        <f t="shared" si="142"/>
        <v>635.90304180030307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0.61874739013100566</v>
      </c>
      <c r="AA143" s="21">
        <f>EXP(-LN(2)/25)*AA142+(1-EXP(-LN(2)/25))/(LN(2)/25)*Calculateur!V143*Calculateur!X143*VLOOKUP('Données projet'!$B$9,Paramètres!$A$1:$I$89,3,0)*0.475*44/12</f>
        <v>1.1459324578431844</v>
      </c>
      <c r="AB143" s="21">
        <f>EXP(-LN(2)/2)*AB142+(1-EXP(-LN(2)/2))/(LN(2)/2)*V143*Y143*VLOOKUP('Données projet'!$B$9,Paramètres!$A$1:$I$89,3,0)*0.475*44/12</f>
        <v>3.2473102128630379E-16</v>
      </c>
      <c r="AC143" s="22">
        <f t="shared" si="111"/>
        <v>1.7646798479741903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175.05987582828078</v>
      </c>
      <c r="AO143" s="59">
        <f t="shared" si="144"/>
        <v>268.54782308462387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0.59604052651918027</v>
      </c>
      <c r="AV143" s="21">
        <f>EXP(-LN(2)/25)*AV142+(1-EXP(-LN(2)/25))/(LN(2)/25)*Calculateur!AQ143*Calculateur!AS143*VLOOKUP('Données projet'!$B$10,Paramètres!$A$1:$I$89,3,0)*0.475*44/12</f>
        <v>0.860233844306733</v>
      </c>
      <c r="AW143" s="21">
        <f>EXP(-LN(2)/2)*AW142+(1-EXP(-LN(2)/2))/(LN(2)/2)*AQ143*AT143*VLOOKUP('Données projet'!$B$10,Paramètres!$A$1:$I$89,3,0)*0.475*44/12</f>
        <v>2.8726306160794485E-16</v>
      </c>
      <c r="AX143" s="21">
        <f t="shared" si="114"/>
        <v>1.4562743708259134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5.6843418860808015E-13</v>
      </c>
      <c r="BE143" s="13">
        <f>BD143*VLOOKUP('Données projet'!$B$11,Paramètres!$A$1:$I$89,3,0)*VLOOKUP('Données projet'!$B$11,Paramètres!$A$1:$I$89,5,0)</f>
        <v>3.39923644787632E-13</v>
      </c>
      <c r="BF143" s="13">
        <f t="shared" si="145"/>
        <v>4.4287447204943725E-12</v>
      </c>
      <c r="BG143" s="20">
        <f t="shared" si="115"/>
        <v>8.3054307361994904E-12</v>
      </c>
      <c r="BH143" s="59">
        <f t="shared" si="116"/>
        <v>293.33333333334161</v>
      </c>
      <c r="BI143" s="59">
        <f ca="1">AVERAGE(OFFSET($BH$3,0,0,'Données projet'!$E$11+1,1))-AVERAGE(OFFSET($H$3,0,0,'Données projet'!$E$11+1,1))</f>
        <v>381.78368385345919</v>
      </c>
      <c r="BJ143" s="59">
        <f t="shared" si="146"/>
        <v>257.35575295655639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0.72230884475315815</v>
      </c>
      <c r="BR143" s="21">
        <f>EXP(-LN(2)/2)*BR142+(1-EXP(-LN(2)/2))/(LN(2)/2)*BL143*BO143*VLOOKUP('Données projet'!$B$11,Paramètres!$A$1:$I$89,3,0)*0.475*44/12</f>
        <v>5.0210830993275339E-13</v>
      </c>
      <c r="BS143" s="22">
        <f t="shared" si="117"/>
        <v>0.72230884475366031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1.1368683772161603E-13</v>
      </c>
      <c r="BZ143" s="13">
        <f>BY143*VLOOKUP('Données projet'!$B$12,Paramètres!$A$1:$I$89,3,0)*VLOOKUP('Données projet'!$B$12,Paramètres!$A$1:$I$89,5,0)</f>
        <v>5.4683368944097308E-14</v>
      </c>
      <c r="CA143" s="13">
        <f t="shared" si="147"/>
        <v>8.8129432816788268E-13</v>
      </c>
      <c r="CB143" s="20">
        <f t="shared" si="118"/>
        <v>1.6301611558033651E-12</v>
      </c>
      <c r="CC143" s="59">
        <f t="shared" si="119"/>
        <v>293.33333333333496</v>
      </c>
      <c r="CD143" s="59">
        <f ca="1">AVERAGE(OFFSET($CC$3,0,0,'Données projet'!$E$12+1,1))-AVERAGE(OFFSET($H$3,0,0,'Données projet'!$E$12+1,1))</f>
        <v>415.97633163853953</v>
      </c>
      <c r="CE143" s="59">
        <f t="shared" si="148"/>
        <v>356.23532720804423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0.30593740272183839</v>
      </c>
      <c r="CL143" s="21">
        <f>EXP(-LN(2)/25)*CL142+(1-EXP(-LN(2)/25))/(LN(2)/25)*Calculateur!CG143*Calculateur!CI143*VLOOKUP('Données projet'!$B$12,Paramètres!$A$1:$I$89,3,0)*0.475*44/12</f>
        <v>0.71236434284481354</v>
      </c>
      <c r="CM143" s="21">
        <f>EXP(-LN(2)/2)*CM142+(1-EXP(-LN(2)/2))/(LN(2)/2)*CG143*CJ143*VLOOKUP('Données projet'!$B$12,Paramètres!$A$1:$I$89,3,0)*0.475*44/12</f>
        <v>8.7920153622295882E-16</v>
      </c>
      <c r="CN143" s="22">
        <f t="shared" si="120"/>
        <v>1.0183017455666528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-4.5474735088646412E-13</v>
      </c>
      <c r="O144" s="13">
        <f>N144*VLOOKUP('Données projet'!$B$9,Paramètres!$A$1:$I$89,3,0)*VLOOKUP('Données projet'!$B$9,Paramètres!$A$1:$I$89,5,0)</f>
        <v>-2.5420376914553347E-13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492.3498626914548</v>
      </c>
      <c r="T144" s="59">
        <f t="shared" si="142"/>
        <v>635.90304180030307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0.60661413120917962</v>
      </c>
      <c r="AA144" s="21">
        <f>EXP(-LN(2)/25)*AA143+(1-EXP(-LN(2)/25))/(LN(2)/25)*Calculateur!V144*Calculateur!X144*VLOOKUP('Données projet'!$B$9,Paramètres!$A$1:$I$89,3,0)*0.475*44/12</f>
        <v>1.1145968745214936</v>
      </c>
      <c r="AB144" s="21">
        <f>EXP(-LN(2)/2)*AB143+(1-EXP(-LN(2)/2))/(LN(2)/2)*V144*Y144*VLOOKUP('Données projet'!$B$9,Paramètres!$A$1:$I$89,3,0)*0.475*44/12</f>
        <v>2.2961950721317852E-16</v>
      </c>
      <c r="AC144" s="22">
        <f t="shared" si="111"/>
        <v>1.7212110057306733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175.05987582828078</v>
      </c>
      <c r="AO144" s="59">
        <f t="shared" si="144"/>
        <v>268.54782308462387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0.58435253534296283</v>
      </c>
      <c r="AV144" s="21">
        <f>EXP(-LN(2)/25)*AV143+(1-EXP(-LN(2)/25))/(LN(2)/25)*Calculateur!AQ144*Calculateur!AS144*VLOOKUP('Données projet'!$B$10,Paramètres!$A$1:$I$89,3,0)*0.475*44/12</f>
        <v>0.8367107045964336</v>
      </c>
      <c r="AW144" s="21">
        <f>EXP(-LN(2)/2)*AW143+(1-EXP(-LN(2)/2))/(LN(2)/2)*AQ144*AT144*VLOOKUP('Données projet'!$B$10,Paramètres!$A$1:$I$89,3,0)*0.475*44/12</f>
        <v>2.0312565884738678E-16</v>
      </c>
      <c r="AX144" s="21">
        <f t="shared" si="114"/>
        <v>1.4210632399393968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5.6843418860808015E-13</v>
      </c>
      <c r="BE144" s="13">
        <f>BD144*VLOOKUP('Données projet'!$B$11,Paramètres!$A$1:$I$89,3,0)*VLOOKUP('Données projet'!$B$11,Paramètres!$A$1:$I$89,5,0)</f>
        <v>3.39923644787632E-13</v>
      </c>
      <c r="BF144" s="13">
        <f t="shared" si="145"/>
        <v>4.4287447204943725E-12</v>
      </c>
      <c r="BG144" s="20">
        <f t="shared" si="115"/>
        <v>8.3054307361994904E-12</v>
      </c>
      <c r="BH144" s="59">
        <f t="shared" si="116"/>
        <v>293.33333333334161</v>
      </c>
      <c r="BI144" s="59">
        <f ca="1">AVERAGE(OFFSET($BH$3,0,0,'Données projet'!$E$11+1,1))-AVERAGE(OFFSET($H$3,0,0,'Données projet'!$E$11+1,1))</f>
        <v>381.78368385345919</v>
      </c>
      <c r="BJ144" s="59">
        <f t="shared" si="146"/>
        <v>257.35575295655639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0.70255727140881175</v>
      </c>
      <c r="BR144" s="21">
        <f>EXP(-LN(2)/2)*BR143+(1-EXP(-LN(2)/2))/(LN(2)/2)*BL144*BO144*VLOOKUP('Données projet'!$B$11,Paramètres!$A$1:$I$89,3,0)*0.475*44/12</f>
        <v>3.5504419084356664E-13</v>
      </c>
      <c r="BS144" s="22">
        <f t="shared" si="117"/>
        <v>0.70255727140916679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1.1368683772161603E-13</v>
      </c>
      <c r="BZ144" s="13">
        <f>BY144*VLOOKUP('Données projet'!$B$12,Paramètres!$A$1:$I$89,3,0)*VLOOKUP('Données projet'!$B$12,Paramètres!$A$1:$I$89,5,0)</f>
        <v>5.4683368944097308E-14</v>
      </c>
      <c r="CA144" s="13">
        <f t="shared" si="147"/>
        <v>8.8129432816788268E-13</v>
      </c>
      <c r="CB144" s="20">
        <f t="shared" si="118"/>
        <v>1.6301611558033651E-12</v>
      </c>
      <c r="CC144" s="59">
        <f t="shared" si="119"/>
        <v>293.33333333333496</v>
      </c>
      <c r="CD144" s="59">
        <f ca="1">AVERAGE(OFFSET($CC$3,0,0,'Données projet'!$E$12+1,1))-AVERAGE(OFFSET($H$3,0,0,'Données projet'!$E$12+1,1))</f>
        <v>415.97633163853953</v>
      </c>
      <c r="CE144" s="59">
        <f t="shared" si="148"/>
        <v>356.23532720804423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0.29993815685785324</v>
      </c>
      <c r="CL144" s="21">
        <f>EXP(-LN(2)/25)*CL143+(1-EXP(-LN(2)/25))/(LN(2)/25)*Calculateur!CG144*Calculateur!CI144*VLOOKUP('Données projet'!$B$12,Paramètres!$A$1:$I$89,3,0)*0.475*44/12</f>
        <v>0.6928847024281094</v>
      </c>
      <c r="CM144" s="21">
        <f>EXP(-LN(2)/2)*CM143+(1-EXP(-LN(2)/2))/(LN(2)/2)*CG144*CJ144*VLOOKUP('Données projet'!$B$12,Paramètres!$A$1:$I$89,3,0)*0.475*44/12</f>
        <v>6.2168936829288426E-16</v>
      </c>
      <c r="CN144" s="22">
        <f t="shared" si="120"/>
        <v>0.99282285928596337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-4.5474735088646412E-13</v>
      </c>
      <c r="O145" s="13">
        <f>N145*VLOOKUP('Données projet'!$B$9,Paramètres!$A$1:$I$89,3,0)*VLOOKUP('Données projet'!$B$9,Paramètres!$A$1:$I$89,5,0)</f>
        <v>-2.5420376914553347E-13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492.3498626914548</v>
      </c>
      <c r="T145" s="59">
        <f t="shared" si="142"/>
        <v>635.90304180030307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0.59471879809425332</v>
      </c>
      <c r="AA145" s="21">
        <f>EXP(-LN(2)/25)*AA144+(1-EXP(-LN(2)/25))/(LN(2)/25)*Calculateur!V145*Calculateur!X145*VLOOKUP('Données projet'!$B$9,Paramètres!$A$1:$I$89,3,0)*0.475*44/12</f>
        <v>1.0841181643736011</v>
      </c>
      <c r="AB145" s="21">
        <f>EXP(-LN(2)/2)*AB144+(1-EXP(-LN(2)/2))/(LN(2)/2)*V145*Y145*VLOOKUP('Données projet'!$B$9,Paramètres!$A$1:$I$89,3,0)*0.475*44/12</f>
        <v>1.6236551064315189E-16</v>
      </c>
      <c r="AC145" s="22">
        <f t="shared" si="111"/>
        <v>1.6788369624678545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175.05987582828078</v>
      </c>
      <c r="AO145" s="59">
        <f t="shared" si="144"/>
        <v>268.54782308462387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0.57289373854474035</v>
      </c>
      <c r="AV145" s="21">
        <f>EXP(-LN(2)/25)*AV144+(1-EXP(-LN(2)/25))/(LN(2)/25)*Calculateur!AQ145*Calculateur!AS145*VLOOKUP('Données projet'!$B$10,Paramètres!$A$1:$I$89,3,0)*0.475*44/12</f>
        <v>0.81383080637854044</v>
      </c>
      <c r="AW145" s="21">
        <f>EXP(-LN(2)/2)*AW144+(1-EXP(-LN(2)/2))/(LN(2)/2)*AQ145*AT145*VLOOKUP('Données projet'!$B$10,Paramètres!$A$1:$I$89,3,0)*0.475*44/12</f>
        <v>1.4363153080397242E-16</v>
      </c>
      <c r="AX145" s="21">
        <f t="shared" si="114"/>
        <v>1.386724544923281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5.6843418860808015E-13</v>
      </c>
      <c r="BE145" s="13">
        <f>BD145*VLOOKUP('Données projet'!$B$11,Paramètres!$A$1:$I$89,3,0)*VLOOKUP('Données projet'!$B$11,Paramètres!$A$1:$I$89,5,0)</f>
        <v>3.39923644787632E-13</v>
      </c>
      <c r="BF145" s="13">
        <f t="shared" si="145"/>
        <v>4.4287447204943725E-12</v>
      </c>
      <c r="BG145" s="20">
        <f t="shared" si="115"/>
        <v>8.3054307361994904E-12</v>
      </c>
      <c r="BH145" s="59">
        <f t="shared" si="116"/>
        <v>293.33333333334161</v>
      </c>
      <c r="BI145" s="59">
        <f ca="1">AVERAGE(OFFSET($BH$3,0,0,'Données projet'!$E$11+1,1))-AVERAGE(OFFSET($H$3,0,0,'Données projet'!$E$11+1,1))</f>
        <v>381.78368385345919</v>
      </c>
      <c r="BJ145" s="59">
        <f t="shared" si="146"/>
        <v>257.35575295655639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0.6833458058762566</v>
      </c>
      <c r="BR145" s="21">
        <f>EXP(-LN(2)/2)*BR144+(1-EXP(-LN(2)/2))/(LN(2)/2)*BL145*BO145*VLOOKUP('Données projet'!$B$11,Paramètres!$A$1:$I$89,3,0)*0.475*44/12</f>
        <v>2.5105415496637669E-13</v>
      </c>
      <c r="BS145" s="22">
        <f t="shared" si="117"/>
        <v>0.68334580587650762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1.1368683772161603E-13</v>
      </c>
      <c r="BZ145" s="13">
        <f>BY145*VLOOKUP('Données projet'!$B$12,Paramètres!$A$1:$I$89,3,0)*VLOOKUP('Données projet'!$B$12,Paramètres!$A$1:$I$89,5,0)</f>
        <v>5.4683368944097308E-14</v>
      </c>
      <c r="CA145" s="13">
        <f t="shared" si="147"/>
        <v>8.8129432816788268E-13</v>
      </c>
      <c r="CB145" s="20">
        <f t="shared" si="118"/>
        <v>1.6301611558033651E-12</v>
      </c>
      <c r="CC145" s="59">
        <f t="shared" si="119"/>
        <v>293.33333333333496</v>
      </c>
      <c r="CD145" s="59">
        <f ca="1">AVERAGE(OFFSET($CC$3,0,0,'Données projet'!$E$12+1,1))-AVERAGE(OFFSET($H$3,0,0,'Données projet'!$E$12+1,1))</f>
        <v>415.97633163853953</v>
      </c>
      <c r="CE145" s="59">
        <f t="shared" si="148"/>
        <v>356.23532720804423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0.29405655254608221</v>
      </c>
      <c r="CL145" s="21">
        <f>EXP(-LN(2)/25)*CL144+(1-EXP(-LN(2)/25))/(LN(2)/25)*Calculateur!CG145*Calculateur!CI145*VLOOKUP('Données projet'!$B$12,Paramètres!$A$1:$I$89,3,0)*0.475*44/12</f>
        <v>0.67393773380298982</v>
      </c>
      <c r="CM145" s="21">
        <f>EXP(-LN(2)/2)*CM144+(1-EXP(-LN(2)/2))/(LN(2)/2)*CG145*CJ145*VLOOKUP('Données projet'!$B$12,Paramètres!$A$1:$I$89,3,0)*0.475*44/12</f>
        <v>4.3960076811147951E-16</v>
      </c>
      <c r="CN145" s="22">
        <f t="shared" si="120"/>
        <v>0.96799428634907247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-4.5474735088646412E-13</v>
      </c>
      <c r="O146" s="13">
        <f>N146*VLOOKUP('Données projet'!$B$9,Paramètres!$A$1:$I$89,3,0)*VLOOKUP('Données projet'!$B$9,Paramètres!$A$1:$I$89,5,0)</f>
        <v>-2.5420376914553347E-13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492.3498626914548</v>
      </c>
      <c r="T146" s="59">
        <f t="shared" si="142"/>
        <v>635.90304180030307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0.58305672520627394</v>
      </c>
      <c r="AA146" s="21">
        <f>EXP(-LN(2)/25)*AA145+(1-EXP(-LN(2)/25))/(LN(2)/25)*Calculateur!V146*Calculateur!X146*VLOOKUP('Données projet'!$B$9,Paramètres!$A$1:$I$89,3,0)*0.475*44/12</f>
        <v>1.0544728961575085</v>
      </c>
      <c r="AB146" s="21">
        <f>EXP(-LN(2)/2)*AB145+(1-EXP(-LN(2)/2))/(LN(2)/2)*V146*Y146*VLOOKUP('Données projet'!$B$9,Paramètres!$A$1:$I$89,3,0)*0.475*44/12</f>
        <v>1.1480975360658926E-16</v>
      </c>
      <c r="AC146" s="22">
        <f t="shared" si="111"/>
        <v>1.6375296213637827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175.05987582828078</v>
      </c>
      <c r="AO146" s="59">
        <f t="shared" si="144"/>
        <v>268.54782308462387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0.56165964176255512</v>
      </c>
      <c r="AV146" s="21">
        <f>EXP(-LN(2)/25)*AV145+(1-EXP(-LN(2)/25))/(LN(2)/25)*Calculateur!AQ146*Calculateur!AS146*VLOOKUP('Données projet'!$B$10,Paramètres!$A$1:$I$89,3,0)*0.475*44/12</f>
        <v>0.79157656018061717</v>
      </c>
      <c r="AW146" s="21">
        <f>EXP(-LN(2)/2)*AW145+(1-EXP(-LN(2)/2))/(LN(2)/2)*AQ146*AT146*VLOOKUP('Données projet'!$B$10,Paramètres!$A$1:$I$89,3,0)*0.475*44/12</f>
        <v>1.0156282942369339E-16</v>
      </c>
      <c r="AX146" s="21">
        <f t="shared" si="114"/>
        <v>1.3532362019431723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5.6843418860808015E-13</v>
      </c>
      <c r="BE146" s="13">
        <f>BD146*VLOOKUP('Données projet'!$B$11,Paramètres!$A$1:$I$89,3,0)*VLOOKUP('Données projet'!$B$11,Paramètres!$A$1:$I$89,5,0)</f>
        <v>3.39923644787632E-13</v>
      </c>
      <c r="BF146" s="13">
        <f t="shared" si="145"/>
        <v>4.4287447204943725E-12</v>
      </c>
      <c r="BG146" s="20">
        <f t="shared" si="115"/>
        <v>8.3054307361994904E-12</v>
      </c>
      <c r="BH146" s="59">
        <f t="shared" si="116"/>
        <v>293.33333333334161</v>
      </c>
      <c r="BI146" s="59">
        <f ca="1">AVERAGE(OFFSET($BH$3,0,0,'Données projet'!$E$11+1,1))-AVERAGE(OFFSET($H$3,0,0,'Données projet'!$E$11+1,1))</f>
        <v>381.78368385345919</v>
      </c>
      <c r="BJ146" s="59">
        <f t="shared" si="146"/>
        <v>257.35575295655639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0.66465967887897626</v>
      </c>
      <c r="BR146" s="21">
        <f>EXP(-LN(2)/2)*BR145+(1-EXP(-LN(2)/2))/(LN(2)/2)*BL146*BO146*VLOOKUP('Données projet'!$B$11,Paramètres!$A$1:$I$89,3,0)*0.475*44/12</f>
        <v>1.7752209542178332E-13</v>
      </c>
      <c r="BS146" s="22">
        <f t="shared" si="117"/>
        <v>0.66465967887915378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1.1368683772161603E-13</v>
      </c>
      <c r="BZ146" s="13">
        <f>BY146*VLOOKUP('Données projet'!$B$12,Paramètres!$A$1:$I$89,3,0)*VLOOKUP('Données projet'!$B$12,Paramètres!$A$1:$I$89,5,0)</f>
        <v>5.4683368944097308E-14</v>
      </c>
      <c r="CA146" s="13">
        <f t="shared" si="147"/>
        <v>8.8129432816788268E-13</v>
      </c>
      <c r="CB146" s="20">
        <f t="shared" si="118"/>
        <v>1.6301611558033651E-12</v>
      </c>
      <c r="CC146" s="59">
        <f t="shared" si="119"/>
        <v>293.33333333333496</v>
      </c>
      <c r="CD146" s="59">
        <f ca="1">AVERAGE(OFFSET($CC$3,0,0,'Données projet'!$E$12+1,1))-AVERAGE(OFFSET($H$3,0,0,'Données projet'!$E$12+1,1))</f>
        <v>415.97633163853953</v>
      </c>
      <c r="CE146" s="59">
        <f t="shared" si="148"/>
        <v>356.23532720804423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0.28829028290744058</v>
      </c>
      <c r="CL146" s="21">
        <f>EXP(-LN(2)/25)*CL145+(1-EXP(-LN(2)/25))/(LN(2)/25)*Calculateur!CG146*Calculateur!CI146*VLOOKUP('Données projet'!$B$12,Paramètres!$A$1:$I$89,3,0)*0.475*44/12</f>
        <v>0.65550887103130195</v>
      </c>
      <c r="CM146" s="21">
        <f>EXP(-LN(2)/2)*CM145+(1-EXP(-LN(2)/2))/(LN(2)/2)*CG146*CJ146*VLOOKUP('Données projet'!$B$12,Paramètres!$A$1:$I$89,3,0)*0.475*44/12</f>
        <v>3.1084468414644218E-16</v>
      </c>
      <c r="CN146" s="22">
        <f t="shared" si="120"/>
        <v>0.94379915393874281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-4.5474735088646412E-13</v>
      </c>
      <c r="O147" s="13">
        <f>N147*VLOOKUP('Données projet'!$B$9,Paramètres!$A$1:$I$89,3,0)*VLOOKUP('Données projet'!$B$9,Paramètres!$A$1:$I$89,5,0)</f>
        <v>-2.5420376914553347E-13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492.3498626914548</v>
      </c>
      <c r="T147" s="59">
        <f t="shared" si="142"/>
        <v>635.90304180030307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0.57162333845446578</v>
      </c>
      <c r="AA147" s="21">
        <f>EXP(-LN(2)/25)*AA146+(1-EXP(-LN(2)/25))/(LN(2)/25)*Calculateur!V147*Calculateur!X147*VLOOKUP('Données projet'!$B$9,Paramètres!$A$1:$I$89,3,0)*0.475*44/12</f>
        <v>1.0256382793597618</v>
      </c>
      <c r="AB147" s="21">
        <f>EXP(-LN(2)/2)*AB146+(1-EXP(-LN(2)/2))/(LN(2)/2)*V147*Y147*VLOOKUP('Données projet'!$B$9,Paramètres!$A$1:$I$89,3,0)*0.475*44/12</f>
        <v>8.1182755321575947E-17</v>
      </c>
      <c r="AC147" s="22">
        <f t="shared" si="111"/>
        <v>1.5972616178142276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175.05987582828078</v>
      </c>
      <c r="AO147" s="59">
        <f t="shared" si="144"/>
        <v>268.54782308462387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0.55064583876614603</v>
      </c>
      <c r="AV147" s="21">
        <f>EXP(-LN(2)/25)*AV146+(1-EXP(-LN(2)/25))/(LN(2)/25)*Calculateur!AQ147*Calculateur!AS147*VLOOKUP('Données projet'!$B$10,Paramètres!$A$1:$I$89,3,0)*0.475*44/12</f>
        <v>0.76993085751527612</v>
      </c>
      <c r="AW147" s="21">
        <f>EXP(-LN(2)/2)*AW146+(1-EXP(-LN(2)/2))/(LN(2)/2)*AQ147*AT147*VLOOKUP('Données projet'!$B$10,Paramètres!$A$1:$I$89,3,0)*0.475*44/12</f>
        <v>7.1815765401986211E-17</v>
      </c>
      <c r="AX147" s="21">
        <f t="shared" si="114"/>
        <v>1.3205766962814223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5.6843418860808015E-13</v>
      </c>
      <c r="BE147" s="13">
        <f>BD147*VLOOKUP('Données projet'!$B$11,Paramètres!$A$1:$I$89,3,0)*VLOOKUP('Données projet'!$B$11,Paramètres!$A$1:$I$89,5,0)</f>
        <v>3.39923644787632E-13</v>
      </c>
      <c r="BF147" s="13">
        <f t="shared" si="145"/>
        <v>4.4287447204943725E-12</v>
      </c>
      <c r="BG147" s="20">
        <f t="shared" si="115"/>
        <v>8.3054307361994904E-12</v>
      </c>
      <c r="BH147" s="59">
        <f t="shared" si="116"/>
        <v>293.33333333334161</v>
      </c>
      <c r="BI147" s="59">
        <f ca="1">AVERAGE(OFFSET($BH$3,0,0,'Données projet'!$E$11+1,1))-AVERAGE(OFFSET($H$3,0,0,'Données projet'!$E$11+1,1))</f>
        <v>381.78368385345919</v>
      </c>
      <c r="BJ147" s="59">
        <f t="shared" si="146"/>
        <v>257.35575295655639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0.64648452500709719</v>
      </c>
      <c r="BR147" s="21">
        <f>EXP(-LN(2)/2)*BR146+(1-EXP(-LN(2)/2))/(LN(2)/2)*BL147*BO147*VLOOKUP('Données projet'!$B$11,Paramètres!$A$1:$I$89,3,0)*0.475*44/12</f>
        <v>1.2552707748318835E-13</v>
      </c>
      <c r="BS147" s="22">
        <f t="shared" si="117"/>
        <v>0.64648452500722275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1.1368683772161603E-13</v>
      </c>
      <c r="BZ147" s="13">
        <f>BY147*VLOOKUP('Données projet'!$B$12,Paramètres!$A$1:$I$89,3,0)*VLOOKUP('Données projet'!$B$12,Paramètres!$A$1:$I$89,5,0)</f>
        <v>5.4683368944097308E-14</v>
      </c>
      <c r="CA147" s="13">
        <f t="shared" si="147"/>
        <v>8.8129432816788268E-13</v>
      </c>
      <c r="CB147" s="20">
        <f t="shared" si="118"/>
        <v>1.6301611558033651E-12</v>
      </c>
      <c r="CC147" s="59">
        <f t="shared" si="119"/>
        <v>293.33333333333496</v>
      </c>
      <c r="CD147" s="59">
        <f ca="1">AVERAGE(OFFSET($CC$3,0,0,'Données projet'!$E$12+1,1))-AVERAGE(OFFSET($H$3,0,0,'Données projet'!$E$12+1,1))</f>
        <v>415.97633163853953</v>
      </c>
      <c r="CE147" s="59">
        <f t="shared" si="148"/>
        <v>356.23532720804423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0.28263708629933554</v>
      </c>
      <c r="CL147" s="21">
        <f>EXP(-LN(2)/25)*CL146+(1-EXP(-LN(2)/25))/(LN(2)/25)*Calculateur!CG147*Calculateur!CI147*VLOOKUP('Données projet'!$B$12,Paramètres!$A$1:$I$89,3,0)*0.475*44/12</f>
        <v>0.63758394648123762</v>
      </c>
      <c r="CM147" s="21">
        <f>EXP(-LN(2)/2)*CM146+(1-EXP(-LN(2)/2))/(LN(2)/2)*CG147*CJ147*VLOOKUP('Données projet'!$B$12,Paramètres!$A$1:$I$89,3,0)*0.475*44/12</f>
        <v>2.1980038405573978E-16</v>
      </c>
      <c r="CN147" s="22">
        <f t="shared" si="120"/>
        <v>0.92022103278057332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-4.5474735088646412E-13</v>
      </c>
      <c r="O148" s="13">
        <f>N148*VLOOKUP('Données projet'!$B$9,Paramètres!$A$1:$I$89,3,0)*VLOOKUP('Données projet'!$B$9,Paramètres!$A$1:$I$89,5,0)</f>
        <v>-2.5420376914553347E-13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492.3498626914548</v>
      </c>
      <c r="T148" s="59">
        <f t="shared" si="142"/>
        <v>635.90304180030307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0.56041415344318324</v>
      </c>
      <c r="AA148" s="21">
        <f>EXP(-LN(2)/25)*AA147+(1-EXP(-LN(2)/25))/(LN(2)/25)*Calculateur!V148*Calculateur!X148*VLOOKUP('Données projet'!$B$9,Paramètres!$A$1:$I$89,3,0)*0.475*44/12</f>
        <v>0.9975921466746962</v>
      </c>
      <c r="AB148" s="21">
        <f>EXP(-LN(2)/2)*AB147+(1-EXP(-LN(2)/2))/(LN(2)/2)*V148*Y148*VLOOKUP('Données projet'!$B$9,Paramètres!$A$1:$I$89,3,0)*0.475*44/12</f>
        <v>5.740487680329463E-17</v>
      </c>
      <c r="AC148" s="22">
        <f t="shared" si="111"/>
        <v>1.5580063001178794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175.05987582828078</v>
      </c>
      <c r="AO148" s="59">
        <f t="shared" si="144"/>
        <v>268.54782308462387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0.53984800972874003</v>
      </c>
      <c r="AV148" s="21">
        <f>EXP(-LN(2)/25)*AV147+(1-EXP(-LN(2)/25))/(LN(2)/25)*Calculateur!AQ148*Calculateur!AS148*VLOOKUP('Données projet'!$B$10,Paramètres!$A$1:$I$89,3,0)*0.475*44/12</f>
        <v>0.74887705772761681</v>
      </c>
      <c r="AW148" s="21">
        <f>EXP(-LN(2)/2)*AW147+(1-EXP(-LN(2)/2))/(LN(2)/2)*AQ148*AT148*VLOOKUP('Données projet'!$B$10,Paramètres!$A$1:$I$89,3,0)*0.475*44/12</f>
        <v>5.0781414711846695E-17</v>
      </c>
      <c r="AX148" s="21">
        <f t="shared" si="114"/>
        <v>1.2887250674563568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5.6843418860808015E-13</v>
      </c>
      <c r="BE148" s="13">
        <f>BD148*VLOOKUP('Données projet'!$B$11,Paramètres!$A$1:$I$89,3,0)*VLOOKUP('Données projet'!$B$11,Paramètres!$A$1:$I$89,5,0)</f>
        <v>3.39923644787632E-13</v>
      </c>
      <c r="BF148" s="13">
        <f t="shared" si="145"/>
        <v>4.4287447204943725E-12</v>
      </c>
      <c r="BG148" s="20">
        <f t="shared" si="115"/>
        <v>8.3054307361994904E-12</v>
      </c>
      <c r="BH148" s="59">
        <f t="shared" si="116"/>
        <v>293.33333333334161</v>
      </c>
      <c r="BI148" s="59">
        <f ca="1">AVERAGE(OFFSET($BH$3,0,0,'Données projet'!$E$11+1,1))-AVERAGE(OFFSET($H$3,0,0,'Données projet'!$E$11+1,1))</f>
        <v>381.78368385345919</v>
      </c>
      <c r="BJ148" s="59">
        <f t="shared" si="146"/>
        <v>257.35575295655639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0.62880637167363451</v>
      </c>
      <c r="BR148" s="21">
        <f>EXP(-LN(2)/2)*BR147+(1-EXP(-LN(2)/2))/(LN(2)/2)*BL148*BO148*VLOOKUP('Données projet'!$B$11,Paramètres!$A$1:$I$89,3,0)*0.475*44/12</f>
        <v>8.876104771089166E-14</v>
      </c>
      <c r="BS148" s="22">
        <f t="shared" si="117"/>
        <v>0.62880637167372322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1.1368683772161603E-13</v>
      </c>
      <c r="BZ148" s="13">
        <f>BY148*VLOOKUP('Données projet'!$B$12,Paramètres!$A$1:$I$89,3,0)*VLOOKUP('Données projet'!$B$12,Paramètres!$A$1:$I$89,5,0)</f>
        <v>5.4683368944097308E-14</v>
      </c>
      <c r="CA148" s="13">
        <f t="shared" si="147"/>
        <v>8.8129432816788268E-13</v>
      </c>
      <c r="CB148" s="20">
        <f t="shared" si="118"/>
        <v>1.6301611558033651E-12</v>
      </c>
      <c r="CC148" s="59">
        <f t="shared" si="119"/>
        <v>293.33333333333496</v>
      </c>
      <c r="CD148" s="59">
        <f ca="1">AVERAGE(OFFSET($CC$3,0,0,'Données projet'!$E$12+1,1))-AVERAGE(OFFSET($H$3,0,0,'Données projet'!$E$12+1,1))</f>
        <v>415.97633163853953</v>
      </c>
      <c r="CE148" s="59">
        <f t="shared" si="148"/>
        <v>356.23532720804423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0.27709474542860596</v>
      </c>
      <c r="CL148" s="21">
        <f>EXP(-LN(2)/25)*CL147+(1-EXP(-LN(2)/25))/(LN(2)/25)*Calculateur!CG148*Calculateur!CI148*VLOOKUP('Données projet'!$B$12,Paramètres!$A$1:$I$89,3,0)*0.475*44/12</f>
        <v>0.62014917993562568</v>
      </c>
      <c r="CM148" s="21">
        <f>EXP(-LN(2)/2)*CM147+(1-EXP(-LN(2)/2))/(LN(2)/2)*CG148*CJ148*VLOOKUP('Données projet'!$B$12,Paramètres!$A$1:$I$89,3,0)*0.475*44/12</f>
        <v>1.5542234207322111E-16</v>
      </c>
      <c r="CN148" s="22">
        <f t="shared" si="120"/>
        <v>0.89724392536423181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-4.5474735088646412E-13</v>
      </c>
      <c r="O149" s="13">
        <f>N149*VLOOKUP('Données projet'!$B$9,Paramètres!$A$1:$I$89,3,0)*VLOOKUP('Données projet'!$B$9,Paramètres!$A$1:$I$89,5,0)</f>
        <v>-2.5420376914553347E-13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492.3498626914548</v>
      </c>
      <c r="T149" s="59">
        <f t="shared" si="142"/>
        <v>635.90304180030307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0.54942477371304421</v>
      </c>
      <c r="AA149" s="21">
        <f>EXP(-LN(2)/25)*AA148+(1-EXP(-LN(2)/25))/(LN(2)/25)*Calculateur!V149*Calculateur!X149*VLOOKUP('Données projet'!$B$9,Paramètres!$A$1:$I$89,3,0)*0.475*44/12</f>
        <v>0.97031293696278564</v>
      </c>
      <c r="AB149" s="21">
        <f>EXP(-LN(2)/2)*AB148+(1-EXP(-LN(2)/2))/(LN(2)/2)*V149*Y149*VLOOKUP('Données projet'!$B$9,Paramètres!$A$1:$I$89,3,0)*0.475*44/12</f>
        <v>4.0591377660787974E-17</v>
      </c>
      <c r="AC149" s="22">
        <f t="shared" si="111"/>
        <v>1.5197377106758299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175.05987582828078</v>
      </c>
      <c r="AO149" s="59">
        <f t="shared" si="144"/>
        <v>268.54782308462387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0.52926191953273216</v>
      </c>
      <c r="AV149" s="21">
        <f>EXP(-LN(2)/25)*AV148+(1-EXP(-LN(2)/25))/(LN(2)/25)*Calculateur!AQ149*Calculateur!AS149*VLOOKUP('Données projet'!$B$10,Paramètres!$A$1:$I$89,3,0)*0.475*44/12</f>
        <v>0.72839897520232222</v>
      </c>
      <c r="AW149" s="21">
        <f>EXP(-LN(2)/2)*AW148+(1-EXP(-LN(2)/2))/(LN(2)/2)*AQ149*AT149*VLOOKUP('Données projet'!$B$10,Paramètres!$A$1:$I$89,3,0)*0.475*44/12</f>
        <v>3.5907882700993106E-17</v>
      </c>
      <c r="AX149" s="21">
        <f t="shared" si="114"/>
        <v>1.2576608947350545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5.6843418860808015E-13</v>
      </c>
      <c r="BE149" s="13">
        <f>BD149*VLOOKUP('Données projet'!$B$11,Paramètres!$A$1:$I$89,3,0)*VLOOKUP('Données projet'!$B$11,Paramètres!$A$1:$I$89,5,0)</f>
        <v>3.39923644787632E-13</v>
      </c>
      <c r="BF149" s="13">
        <f t="shared" si="145"/>
        <v>4.4287447204943725E-12</v>
      </c>
      <c r="BG149" s="20">
        <f t="shared" si="115"/>
        <v>8.3054307361994904E-12</v>
      </c>
      <c r="BH149" s="59">
        <f t="shared" si="116"/>
        <v>293.33333333334161</v>
      </c>
      <c r="BI149" s="59">
        <f ca="1">AVERAGE(OFFSET($BH$3,0,0,'Données projet'!$E$11+1,1))-AVERAGE(OFFSET($H$3,0,0,'Données projet'!$E$11+1,1))</f>
        <v>381.78368385345919</v>
      </c>
      <c r="BJ149" s="59">
        <f t="shared" si="146"/>
        <v>257.35575295655639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0.61161162837272909</v>
      </c>
      <c r="BR149" s="21">
        <f>EXP(-LN(2)/2)*BR148+(1-EXP(-LN(2)/2))/(LN(2)/2)*BL149*BO149*VLOOKUP('Données projet'!$B$11,Paramètres!$A$1:$I$89,3,0)*0.475*44/12</f>
        <v>6.2763538741594174E-14</v>
      </c>
      <c r="BS149" s="22">
        <f t="shared" si="117"/>
        <v>0.61161162837279182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1.1368683772161603E-13</v>
      </c>
      <c r="BZ149" s="13">
        <f>BY149*VLOOKUP('Données projet'!$B$12,Paramètres!$A$1:$I$89,3,0)*VLOOKUP('Données projet'!$B$12,Paramètres!$A$1:$I$89,5,0)</f>
        <v>5.4683368944097308E-14</v>
      </c>
      <c r="CA149" s="13">
        <f t="shared" si="147"/>
        <v>8.8129432816788268E-13</v>
      </c>
      <c r="CB149" s="20">
        <f t="shared" si="118"/>
        <v>1.6301611558033651E-12</v>
      </c>
      <c r="CC149" s="59">
        <f t="shared" si="119"/>
        <v>293.33333333333496</v>
      </c>
      <c r="CD149" s="59">
        <f ca="1">AVERAGE(OFFSET($CC$3,0,0,'Données projet'!$E$12+1,1))-AVERAGE(OFFSET($H$3,0,0,'Données projet'!$E$12+1,1))</f>
        <v>415.97633163853953</v>
      </c>
      <c r="CE149" s="59">
        <f t="shared" si="148"/>
        <v>356.23532720804423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0.27166108648185727</v>
      </c>
      <c r="CL149" s="21">
        <f>EXP(-LN(2)/25)*CL148+(1-EXP(-LN(2)/25))/(LN(2)/25)*Calculateur!CG149*Calculateur!CI149*VLOOKUP('Données projet'!$B$12,Paramètres!$A$1:$I$89,3,0)*0.475*44/12</f>
        <v>0.60319116799805794</v>
      </c>
      <c r="CM149" s="21">
        <f>EXP(-LN(2)/2)*CM148+(1-EXP(-LN(2)/2))/(LN(2)/2)*CG149*CJ149*VLOOKUP('Données projet'!$B$12,Paramètres!$A$1:$I$89,3,0)*0.475*44/12</f>
        <v>1.0990019202786991E-16</v>
      </c>
      <c r="CN149" s="22">
        <f t="shared" si="120"/>
        <v>0.87485225447991533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-4.5474735088646412E-13</v>
      </c>
      <c r="O150" s="13">
        <f>N150*VLOOKUP('Données projet'!$B$9,Paramètres!$A$1:$I$89,3,0)*VLOOKUP('Données projet'!$B$9,Paramètres!$A$1:$I$89,5,0)</f>
        <v>-2.5420376914553347E-13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492.3498626914548</v>
      </c>
      <c r="T150" s="59">
        <f t="shared" si="142"/>
        <v>635.90304180030307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0.53865088901655345</v>
      </c>
      <c r="AA150" s="21">
        <f>EXP(-LN(2)/25)*AA149+(1-EXP(-LN(2)/25))/(LN(2)/25)*Calculateur!V150*Calculateur!X150*VLOOKUP('Données projet'!$B$9,Paramètres!$A$1:$I$89,3,0)*0.475*44/12</f>
        <v>0.94377967867499857</v>
      </c>
      <c r="AB150" s="21">
        <f>EXP(-LN(2)/2)*AB149+(1-EXP(-LN(2)/2))/(LN(2)/2)*V150*Y150*VLOOKUP('Données projet'!$B$9,Paramètres!$A$1:$I$89,3,0)*0.475*44/12</f>
        <v>2.8702438401647315E-17</v>
      </c>
      <c r="AC150" s="22">
        <f t="shared" si="111"/>
        <v>1.4824305676915519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175.05987582828078</v>
      </c>
      <c r="AO150" s="59">
        <f t="shared" si="144"/>
        <v>268.54782308462387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0.51888341610859057</v>
      </c>
      <c r="AV150" s="21">
        <f>EXP(-LN(2)/25)*AV149+(1-EXP(-LN(2)/25))/(LN(2)/25)*Calculateur!AQ150*Calculateur!AS150*VLOOKUP('Données projet'!$B$10,Paramètres!$A$1:$I$89,3,0)*0.475*44/12</f>
        <v>0.70848086692057743</v>
      </c>
      <c r="AW150" s="21">
        <f>EXP(-LN(2)/2)*AW149+(1-EXP(-LN(2)/2))/(LN(2)/2)*AQ150*AT150*VLOOKUP('Données projet'!$B$10,Paramètres!$A$1:$I$89,3,0)*0.475*44/12</f>
        <v>2.5390707355923347E-17</v>
      </c>
      <c r="AX150" s="21">
        <f t="shared" si="114"/>
        <v>1.227364283029168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5.6843418860808015E-13</v>
      </c>
      <c r="BE150" s="13">
        <f>BD150*VLOOKUP('Données projet'!$B$11,Paramètres!$A$1:$I$89,3,0)*VLOOKUP('Données projet'!$B$11,Paramètres!$A$1:$I$89,5,0)</f>
        <v>3.39923644787632E-13</v>
      </c>
      <c r="BF150" s="13">
        <f t="shared" si="145"/>
        <v>4.4287447204943725E-12</v>
      </c>
      <c r="BG150" s="20">
        <f t="shared" si="115"/>
        <v>8.3054307361994904E-12</v>
      </c>
      <c r="BH150" s="59">
        <f t="shared" si="116"/>
        <v>293.33333333334161</v>
      </c>
      <c r="BI150" s="59">
        <f ca="1">AVERAGE(OFFSET($BH$3,0,0,'Données projet'!$E$11+1,1))-AVERAGE(OFFSET($H$3,0,0,'Données projet'!$E$11+1,1))</f>
        <v>381.78368385345919</v>
      </c>
      <c r="BJ150" s="59">
        <f t="shared" si="146"/>
        <v>257.35575295655639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0.59488707623161918</v>
      </c>
      <c r="BR150" s="21">
        <f>EXP(-LN(2)/2)*BR149+(1-EXP(-LN(2)/2))/(LN(2)/2)*BL150*BO150*VLOOKUP('Données projet'!$B$11,Paramètres!$A$1:$I$89,3,0)*0.475*44/12</f>
        <v>4.438052385544583E-14</v>
      </c>
      <c r="BS150" s="22">
        <f t="shared" si="117"/>
        <v>0.59488707623166359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1.1368683772161603E-13</v>
      </c>
      <c r="BZ150" s="13">
        <f>BY150*VLOOKUP('Données projet'!$B$12,Paramètres!$A$1:$I$89,3,0)*VLOOKUP('Données projet'!$B$12,Paramètres!$A$1:$I$89,5,0)</f>
        <v>5.4683368944097308E-14</v>
      </c>
      <c r="CA150" s="13">
        <f t="shared" si="147"/>
        <v>8.8129432816788268E-13</v>
      </c>
      <c r="CB150" s="20">
        <f t="shared" si="118"/>
        <v>1.6301611558033651E-12</v>
      </c>
      <c r="CC150" s="59">
        <f t="shared" si="119"/>
        <v>293.33333333333496</v>
      </c>
      <c r="CD150" s="59">
        <f ca="1">AVERAGE(OFFSET($CC$3,0,0,'Données projet'!$E$12+1,1))-AVERAGE(OFFSET($H$3,0,0,'Données projet'!$E$12+1,1))</f>
        <v>415.97633163853953</v>
      </c>
      <c r="CE150" s="59">
        <f t="shared" si="148"/>
        <v>356.23532720804423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0.2663339782728496</v>
      </c>
      <c r="CL150" s="21">
        <f>EXP(-LN(2)/25)*CL149+(1-EXP(-LN(2)/25))/(LN(2)/25)*Calculateur!CG150*Calculateur!CI150*VLOOKUP('Données projet'!$B$12,Paramètres!$A$1:$I$89,3,0)*0.475*44/12</f>
        <v>0.58669687378870616</v>
      </c>
      <c r="CM150" s="21">
        <f>EXP(-LN(2)/2)*CM149+(1-EXP(-LN(2)/2))/(LN(2)/2)*CG150*CJ150*VLOOKUP('Données projet'!$B$12,Paramètres!$A$1:$I$89,3,0)*0.475*44/12</f>
        <v>7.7711171036610569E-17</v>
      </c>
      <c r="CN150" s="22">
        <f t="shared" si="120"/>
        <v>0.85303085206155582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-4.5474735088646412E-13</v>
      </c>
      <c r="O151" s="13">
        <f>N151*VLOOKUP('Données projet'!$B$9,Paramètres!$A$1:$I$89,3,0)*VLOOKUP('Données projet'!$B$9,Paramètres!$A$1:$I$89,5,0)</f>
        <v>-2.5420376914553347E-13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492.3498626914548</v>
      </c>
      <c r="T151" s="59">
        <f t="shared" si="142"/>
        <v>635.90304180030307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0.52808827362754007</v>
      </c>
      <c r="AA151" s="21">
        <f>EXP(-LN(2)/25)*AA150+(1-EXP(-LN(2)/25))/(LN(2)/25)*Calculateur!V151*Calculateur!X151*VLOOKUP('Données projet'!$B$9,Paramètres!$A$1:$I$89,3,0)*0.475*44/12</f>
        <v>0.9179719737304145</v>
      </c>
      <c r="AB151" s="21">
        <f>EXP(-LN(2)/2)*AB150+(1-EXP(-LN(2)/2))/(LN(2)/2)*V151*Y151*VLOOKUP('Données projet'!$B$9,Paramètres!$A$1:$I$89,3,0)*0.475*44/12</f>
        <v>2.0295688830393987E-17</v>
      </c>
      <c r="AC151" s="22">
        <f t="shared" si="111"/>
        <v>1.4460602473579547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175.05987582828078</v>
      </c>
      <c r="AO151" s="59">
        <f t="shared" si="144"/>
        <v>268.54782308462387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0.50870842880633438</v>
      </c>
      <c r="AV151" s="21">
        <f>EXP(-LN(2)/25)*AV150+(1-EXP(-LN(2)/25))/(LN(2)/25)*Calculateur!AQ151*Calculateur!AS151*VLOOKUP('Données projet'!$B$10,Paramètres!$A$1:$I$89,3,0)*0.475*44/12</f>
        <v>0.6891074203572447</v>
      </c>
      <c r="AW151" s="21">
        <f>EXP(-LN(2)/2)*AW150+(1-EXP(-LN(2)/2))/(LN(2)/2)*AQ151*AT151*VLOOKUP('Données projet'!$B$10,Paramètres!$A$1:$I$89,3,0)*0.475*44/12</f>
        <v>1.7953941350496553E-17</v>
      </c>
      <c r="AX151" s="21">
        <f t="shared" si="114"/>
        <v>1.1978158491635791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5.6843418860808015E-13</v>
      </c>
      <c r="BE151" s="13">
        <f>BD151*VLOOKUP('Données projet'!$B$11,Paramètres!$A$1:$I$89,3,0)*VLOOKUP('Données projet'!$B$11,Paramètres!$A$1:$I$89,5,0)</f>
        <v>3.39923644787632E-13</v>
      </c>
      <c r="BF151" s="13">
        <f t="shared" si="145"/>
        <v>4.4287447204943725E-12</v>
      </c>
      <c r="BG151" s="20">
        <f t="shared" si="115"/>
        <v>8.3054307361994904E-12</v>
      </c>
      <c r="BH151" s="59">
        <f t="shared" si="116"/>
        <v>293.33333333334161</v>
      </c>
      <c r="BI151" s="59">
        <f ca="1">AVERAGE(OFFSET($BH$3,0,0,'Données projet'!$E$11+1,1))-AVERAGE(OFFSET($H$3,0,0,'Données projet'!$E$11+1,1))</f>
        <v>381.78368385345919</v>
      </c>
      <c r="BJ151" s="59">
        <f t="shared" si="146"/>
        <v>257.35575295655639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0.57861985784831382</v>
      </c>
      <c r="BR151" s="21">
        <f>EXP(-LN(2)/2)*BR150+(1-EXP(-LN(2)/2))/(LN(2)/2)*BL151*BO151*VLOOKUP('Données projet'!$B$11,Paramètres!$A$1:$I$89,3,0)*0.475*44/12</f>
        <v>3.1381769370797087E-14</v>
      </c>
      <c r="BS151" s="22">
        <f t="shared" si="117"/>
        <v>0.57861985784834524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1.1368683772161603E-13</v>
      </c>
      <c r="BZ151" s="13">
        <f>BY151*VLOOKUP('Données projet'!$B$12,Paramètres!$A$1:$I$89,3,0)*VLOOKUP('Données projet'!$B$12,Paramètres!$A$1:$I$89,5,0)</f>
        <v>5.4683368944097308E-14</v>
      </c>
      <c r="CA151" s="13">
        <f t="shared" si="147"/>
        <v>8.8129432816788268E-13</v>
      </c>
      <c r="CB151" s="20">
        <f t="shared" si="118"/>
        <v>1.6301611558033651E-12</v>
      </c>
      <c r="CC151" s="59">
        <f t="shared" si="119"/>
        <v>293.33333333333496</v>
      </c>
      <c r="CD151" s="59">
        <f ca="1">AVERAGE(OFFSET($CC$3,0,0,'Données projet'!$E$12+1,1))-AVERAGE(OFFSET($H$3,0,0,'Données projet'!$E$12+1,1))</f>
        <v>415.97633163853953</v>
      </c>
      <c r="CE151" s="59">
        <f t="shared" si="148"/>
        <v>356.23532720804423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0.26111133140660542</v>
      </c>
      <c r="CL151" s="21">
        <f>EXP(-LN(2)/25)*CL150+(1-EXP(-LN(2)/25))/(LN(2)/25)*Calculateur!CG151*Calculateur!CI151*VLOOKUP('Données projet'!$B$12,Paramètres!$A$1:$I$89,3,0)*0.475*44/12</f>
        <v>0.5706536169219063</v>
      </c>
      <c r="CM151" s="21">
        <f>EXP(-LN(2)/2)*CM150+(1-EXP(-LN(2)/2))/(LN(2)/2)*CG151*CJ151*VLOOKUP('Données projet'!$B$12,Paramètres!$A$1:$I$89,3,0)*0.475*44/12</f>
        <v>5.4950096013934963E-17</v>
      </c>
      <c r="CN151" s="22">
        <f t="shared" si="120"/>
        <v>0.83176494832851167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-4.5474735088646412E-13</v>
      </c>
      <c r="O152" s="13">
        <f>N152*VLOOKUP('Données projet'!$B$9,Paramètres!$A$1:$I$89,3,0)*VLOOKUP('Données projet'!$B$9,Paramètres!$A$1:$I$89,5,0)</f>
        <v>-2.5420376914553347E-13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492.3498626914548</v>
      </c>
      <c r="T152" s="59">
        <f t="shared" si="142"/>
        <v>635.90304180030307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0.51773278468374595</v>
      </c>
      <c r="AA152" s="21">
        <f>EXP(-LN(2)/25)*AA151+(1-EXP(-LN(2)/25))/(LN(2)/25)*Calculateur!V152*Calculateur!X152*VLOOKUP('Données projet'!$B$9,Paramètres!$A$1:$I$89,3,0)*0.475*44/12</f>
        <v>0.89286998183470823</v>
      </c>
      <c r="AB152" s="21">
        <f>EXP(-LN(2)/2)*AB151+(1-EXP(-LN(2)/2))/(LN(2)/2)*V152*Y152*VLOOKUP('Données projet'!$B$9,Paramètres!$A$1:$I$89,3,0)*0.475*44/12</f>
        <v>1.4351219200823657E-17</v>
      </c>
      <c r="AC152" s="22">
        <f t="shared" si="111"/>
        <v>1.4106027665184542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175.05987582828078</v>
      </c>
      <c r="AO152" s="59">
        <f t="shared" si="144"/>
        <v>268.54782308462387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0.49873296679894596</v>
      </c>
      <c r="AV152" s="21">
        <f>EXP(-LN(2)/25)*AV151+(1-EXP(-LN(2)/25))/(LN(2)/25)*Calculateur!AQ152*Calculateur!AS152*VLOOKUP('Données projet'!$B$10,Paramètres!$A$1:$I$89,3,0)*0.475*44/12</f>
        <v>0.67026374170899161</v>
      </c>
      <c r="AW152" s="21">
        <f>EXP(-LN(2)/2)*AW151+(1-EXP(-LN(2)/2))/(LN(2)/2)*AQ152*AT152*VLOOKUP('Données projet'!$B$10,Paramètres!$A$1:$I$89,3,0)*0.475*44/12</f>
        <v>1.2695353677961674E-17</v>
      </c>
      <c r="AX152" s="21">
        <f t="shared" si="114"/>
        <v>1.1689967085079376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5.6843418860808015E-13</v>
      </c>
      <c r="BE152" s="13">
        <f>BD152*VLOOKUP('Données projet'!$B$11,Paramètres!$A$1:$I$89,3,0)*VLOOKUP('Données projet'!$B$11,Paramètres!$A$1:$I$89,5,0)</f>
        <v>3.39923644787632E-13</v>
      </c>
      <c r="BF152" s="13">
        <f t="shared" si="145"/>
        <v>4.4287447204943725E-12</v>
      </c>
      <c r="BG152" s="20">
        <f t="shared" si="115"/>
        <v>8.3054307361994904E-12</v>
      </c>
      <c r="BH152" s="59">
        <f t="shared" si="116"/>
        <v>293.33333333334161</v>
      </c>
      <c r="BI152" s="59">
        <f ca="1">AVERAGE(OFFSET($BH$3,0,0,'Données projet'!$E$11+1,1))-AVERAGE(OFFSET($H$3,0,0,'Données projet'!$E$11+1,1))</f>
        <v>381.78368385345919</v>
      </c>
      <c r="BJ152" s="59">
        <f t="shared" si="146"/>
        <v>257.35575295655639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0.56279746740715586</v>
      </c>
      <c r="BR152" s="21">
        <f>EXP(-LN(2)/2)*BR151+(1-EXP(-LN(2)/2))/(LN(2)/2)*BL152*BO152*VLOOKUP('Données projet'!$B$11,Paramètres!$A$1:$I$89,3,0)*0.475*44/12</f>
        <v>2.2190261927722915E-14</v>
      </c>
      <c r="BS152" s="22">
        <f t="shared" si="117"/>
        <v>0.56279746740717806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1.1368683772161603E-13</v>
      </c>
      <c r="BZ152" s="13">
        <f>BY152*VLOOKUP('Données projet'!$B$12,Paramètres!$A$1:$I$89,3,0)*VLOOKUP('Données projet'!$B$12,Paramètres!$A$1:$I$89,5,0)</f>
        <v>5.4683368944097308E-14</v>
      </c>
      <c r="CA152" s="13">
        <f t="shared" si="147"/>
        <v>8.8129432816788268E-13</v>
      </c>
      <c r="CB152" s="20">
        <f t="shared" si="118"/>
        <v>1.6301611558033651E-12</v>
      </c>
      <c r="CC152" s="59">
        <f t="shared" si="119"/>
        <v>293.33333333333496</v>
      </c>
      <c r="CD152" s="59">
        <f ca="1">AVERAGE(OFFSET($CC$3,0,0,'Données projet'!$E$12+1,1))-AVERAGE(OFFSET($H$3,0,0,'Données projet'!$E$12+1,1))</f>
        <v>415.97633163853953</v>
      </c>
      <c r="CE152" s="59">
        <f t="shared" si="148"/>
        <v>356.23532720804423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0.25599109745990822</v>
      </c>
      <c r="CL152" s="21">
        <f>EXP(-LN(2)/25)*CL151+(1-EXP(-LN(2)/25))/(LN(2)/25)*Calculateur!CG152*Calculateur!CI152*VLOOKUP('Données projet'!$B$12,Paramètres!$A$1:$I$89,3,0)*0.475*44/12</f>
        <v>0.55504906375780727</v>
      </c>
      <c r="CM152" s="21">
        <f>EXP(-LN(2)/2)*CM151+(1-EXP(-LN(2)/2))/(LN(2)/2)*CG152*CJ152*VLOOKUP('Données projet'!$B$12,Paramètres!$A$1:$I$89,3,0)*0.475*44/12</f>
        <v>3.8855585518305291E-17</v>
      </c>
      <c r="CN152" s="22">
        <f t="shared" si="120"/>
        <v>0.81104016121771549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-4.5474735088646412E-13</v>
      </c>
      <c r="O153" s="13">
        <f>N153*VLOOKUP('Données projet'!$B$9,Paramètres!$A$1:$I$89,3,0)*VLOOKUP('Données projet'!$B$9,Paramètres!$A$1:$I$89,5,0)</f>
        <v>-2.5420376914553347E-13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492.3498626914548</v>
      </c>
      <c r="T153" s="59">
        <f t="shared" si="142"/>
        <v>635.90304180030307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0.50758036056191513</v>
      </c>
      <c r="AA153" s="21">
        <f>EXP(-LN(2)/25)*AA152+(1-EXP(-LN(2)/25))/(LN(2)/25)*Calculateur!V153*Calculateur!X153*VLOOKUP('Données projet'!$B$9,Paramètres!$A$1:$I$89,3,0)*0.475*44/12</f>
        <v>0.86845440522744644</v>
      </c>
      <c r="AB153" s="21">
        <f>EXP(-LN(2)/2)*AB152+(1-EXP(-LN(2)/2))/(LN(2)/2)*V153*Y153*VLOOKUP('Données projet'!$B$9,Paramètres!$A$1:$I$89,3,0)*0.475*44/12</f>
        <v>1.0147844415196993E-17</v>
      </c>
      <c r="AC153" s="22">
        <f t="shared" si="111"/>
        <v>1.3760347657893615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175.05987582828078</v>
      </c>
      <c r="AO153" s="59">
        <f t="shared" si="144"/>
        <v>268.54782308462387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0.48895311751709142</v>
      </c>
      <c r="AV153" s="21">
        <f>EXP(-LN(2)/25)*AV152+(1-EXP(-LN(2)/25))/(LN(2)/25)*Calculateur!AQ153*Calculateur!AS153*VLOOKUP('Données projet'!$B$10,Paramètres!$A$1:$I$89,3,0)*0.475*44/12</f>
        <v>0.651935344444321</v>
      </c>
      <c r="AW153" s="21">
        <f>EXP(-LN(2)/2)*AW152+(1-EXP(-LN(2)/2))/(LN(2)/2)*AQ153*AT153*VLOOKUP('Données projet'!$B$10,Paramètres!$A$1:$I$89,3,0)*0.475*44/12</f>
        <v>8.9769706752482764E-18</v>
      </c>
      <c r="AX153" s="21">
        <f t="shared" si="114"/>
        <v>1.1408884619614124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5.6843418860808015E-13</v>
      </c>
      <c r="BE153" s="13">
        <f>BD153*VLOOKUP('Données projet'!$B$11,Paramètres!$A$1:$I$89,3,0)*VLOOKUP('Données projet'!$B$11,Paramètres!$A$1:$I$89,5,0)</f>
        <v>3.39923644787632E-13</v>
      </c>
      <c r="BF153" s="13">
        <f t="shared" si="145"/>
        <v>4.4287447204943725E-12</v>
      </c>
      <c r="BG153" s="20">
        <f t="shared" si="115"/>
        <v>8.3054307361994904E-12</v>
      </c>
      <c r="BH153" s="59">
        <f t="shared" si="116"/>
        <v>293.33333333334161</v>
      </c>
      <c r="BI153" s="59">
        <f ca="1">AVERAGE(OFFSET($BH$3,0,0,'Données projet'!$E$11+1,1))-AVERAGE(OFFSET($H$3,0,0,'Données projet'!$E$11+1,1))</f>
        <v>381.78368385345919</v>
      </c>
      <c r="BJ153" s="59">
        <f t="shared" si="146"/>
        <v>257.35575295655639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0.54740774106467471</v>
      </c>
      <c r="BR153" s="21">
        <f>EXP(-LN(2)/2)*BR152+(1-EXP(-LN(2)/2))/(LN(2)/2)*BL153*BO153*VLOOKUP('Données projet'!$B$11,Paramètres!$A$1:$I$89,3,0)*0.475*44/12</f>
        <v>1.5690884685398543E-14</v>
      </c>
      <c r="BS153" s="22">
        <f t="shared" si="117"/>
        <v>0.54740774106469037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1.1368683772161603E-13</v>
      </c>
      <c r="BZ153" s="13">
        <f>BY153*VLOOKUP('Données projet'!$B$12,Paramètres!$A$1:$I$89,3,0)*VLOOKUP('Données projet'!$B$12,Paramètres!$A$1:$I$89,5,0)</f>
        <v>5.4683368944097308E-14</v>
      </c>
      <c r="CA153" s="13">
        <f t="shared" si="147"/>
        <v>8.8129432816788268E-13</v>
      </c>
      <c r="CB153" s="20">
        <f t="shared" si="118"/>
        <v>1.6301611558033651E-12</v>
      </c>
      <c r="CC153" s="59">
        <f t="shared" si="119"/>
        <v>293.33333333333496</v>
      </c>
      <c r="CD153" s="59">
        <f ca="1">AVERAGE(OFFSET($CC$3,0,0,'Données projet'!$E$12+1,1))-AVERAGE(OFFSET($H$3,0,0,'Données projet'!$E$12+1,1))</f>
        <v>415.97633163853953</v>
      </c>
      <c r="CE153" s="59">
        <f t="shared" si="148"/>
        <v>356.23532720804423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0.25097126817787141</v>
      </c>
      <c r="CL153" s="21">
        <f>EXP(-LN(2)/25)*CL152+(1-EXP(-LN(2)/25))/(LN(2)/25)*Calculateur!CG153*Calculateur!CI153*VLOOKUP('Données projet'!$B$12,Paramètres!$A$1:$I$89,3,0)*0.475*44/12</f>
        <v>0.53987121792058834</v>
      </c>
      <c r="CM153" s="21">
        <f>EXP(-LN(2)/2)*CM152+(1-EXP(-LN(2)/2))/(LN(2)/2)*CG153*CJ153*VLOOKUP('Données projet'!$B$12,Paramètres!$A$1:$I$89,3,0)*0.475*44/12</f>
        <v>2.7475048006967485E-17</v>
      </c>
      <c r="CN153" s="22">
        <f t="shared" si="120"/>
        <v>0.79084248609845975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-4.5474735088646412E-13</v>
      </c>
      <c r="O154" s="13">
        <f>N154*VLOOKUP('Données projet'!$B$9,Paramètres!$A$1:$I$89,3,0)*VLOOKUP('Données projet'!$B$9,Paramètres!$A$1:$I$89,5,0)</f>
        <v>-2.5420376914553347E-13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492.3498626914548</v>
      </c>
      <c r="T154" s="59">
        <f t="shared" si="142"/>
        <v>635.90304180030307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0.49762701928474612</v>
      </c>
      <c r="AA154" s="21">
        <f>EXP(-LN(2)/25)*AA153+(1-EXP(-LN(2)/25))/(LN(2)/25)*Calculateur!V154*Calculateur!X154*VLOOKUP('Données projet'!$B$9,Paramètres!$A$1:$I$89,3,0)*0.475*44/12</f>
        <v>0.84470647384646957</v>
      </c>
      <c r="AB154" s="21">
        <f>EXP(-LN(2)/2)*AB153+(1-EXP(-LN(2)/2))/(LN(2)/2)*V154*Y154*VLOOKUP('Données projet'!$B$9,Paramètres!$A$1:$I$89,3,0)*0.475*44/12</f>
        <v>7.1756096004118287E-18</v>
      </c>
      <c r="AC154" s="22">
        <f t="shared" ref="AC154:AC203" si="163">SUM(Z154:AB154)</f>
        <v>1.3423334931312156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175.05987582828078</v>
      </c>
      <c r="AO154" s="59">
        <f t="shared" si="144"/>
        <v>268.54782308462387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0.47936504511453498</v>
      </c>
      <c r="AV154" s="21">
        <f>EXP(-LN(2)/25)*AV153+(1-EXP(-LN(2)/25))/(LN(2)/25)*Calculateur!AQ154*Calculateur!AS154*VLOOKUP('Données projet'!$B$10,Paramètres!$A$1:$I$89,3,0)*0.475*44/12</f>
        <v>0.63410813816670131</v>
      </c>
      <c r="AW154" s="21">
        <f>EXP(-LN(2)/2)*AW153+(1-EXP(-LN(2)/2))/(LN(2)/2)*AQ154*AT154*VLOOKUP('Données projet'!$B$10,Paramètres!$A$1:$I$89,3,0)*0.475*44/12</f>
        <v>6.3476768389808368E-18</v>
      </c>
      <c r="AX154" s="21">
        <f t="shared" ref="AX154:AX203" si="166">SUM(AU154:AW154)</f>
        <v>1.1134731832812363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5.6843418860808015E-13</v>
      </c>
      <c r="BE154" s="13">
        <f>BD154*VLOOKUP('Données projet'!$B$11,Paramètres!$A$1:$I$89,3,0)*VLOOKUP('Données projet'!$B$11,Paramètres!$A$1:$I$89,5,0)</f>
        <v>3.39923644787632E-13</v>
      </c>
      <c r="BF154" s="13">
        <f t="shared" ref="BF154:BF203" si="167">EXP(-1.0587+0.8836*LN(BE154)+0.284)</f>
        <v>4.4287447204943725E-12</v>
      </c>
      <c r="BG154" s="20">
        <f t="shared" ref="BG154:BG203" si="168">(BE154+BF154)*0.475*44/12</f>
        <v>8.3054307361994904E-12</v>
      </c>
      <c r="BH154" s="59">
        <f t="shared" si="116"/>
        <v>293.33333333334161</v>
      </c>
      <c r="BI154" s="59">
        <f ca="1">AVERAGE(OFFSET($BH$3,0,0,'Données projet'!$E$11+1,1))-AVERAGE(OFFSET($H$3,0,0,'Données projet'!$E$11+1,1))</f>
        <v>381.78368385345919</v>
      </c>
      <c r="BJ154" s="59">
        <f t="shared" si="146"/>
        <v>257.35575295655639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0.53243884759833915</v>
      </c>
      <c r="BR154" s="21">
        <f>EXP(-LN(2)/2)*BR153+(1-EXP(-LN(2)/2))/(LN(2)/2)*BL154*BO154*VLOOKUP('Données projet'!$B$11,Paramètres!$A$1:$I$89,3,0)*0.475*44/12</f>
        <v>1.1095130963861457E-14</v>
      </c>
      <c r="BS154" s="22">
        <f t="shared" ref="BS154:BS203" si="169">SUM(BP154:BR154)</f>
        <v>0.53243884759835025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1.1368683772161603E-13</v>
      </c>
      <c r="BZ154" s="13">
        <f>BY154*VLOOKUP('Données projet'!$B$12,Paramètres!$A$1:$I$89,3,0)*VLOOKUP('Données projet'!$B$12,Paramètres!$A$1:$I$89,5,0)</f>
        <v>5.4683368944097308E-14</v>
      </c>
      <c r="CA154" s="13">
        <f t="shared" ref="CA154:CA203" si="170">EXP(-1.0587+0.8836*LN(BZ154)+0.284)</f>
        <v>8.8129432816788268E-13</v>
      </c>
      <c r="CB154" s="20">
        <f t="shared" ref="CB154:CB203" si="171">(BZ154+CA154)*0.475*44/12</f>
        <v>1.6301611558033651E-12</v>
      </c>
      <c r="CC154" s="59">
        <f t="shared" si="119"/>
        <v>293.33333333333496</v>
      </c>
      <c r="CD154" s="59">
        <f ca="1">AVERAGE(OFFSET($CC$3,0,0,'Données projet'!$E$12+1,1))-AVERAGE(OFFSET($H$3,0,0,'Données projet'!$E$12+1,1))</f>
        <v>415.97633163853953</v>
      </c>
      <c r="CE154" s="59">
        <f t="shared" si="148"/>
        <v>356.23532720804423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0.2460498746862618</v>
      </c>
      <c r="CL154" s="21">
        <f>EXP(-LN(2)/25)*CL153+(1-EXP(-LN(2)/25))/(LN(2)/25)*Calculateur!CG154*Calculateur!CI154*VLOOKUP('Données projet'!$B$12,Paramètres!$A$1:$I$89,3,0)*0.475*44/12</f>
        <v>0.5251084110759564</v>
      </c>
      <c r="CM154" s="21">
        <f>EXP(-LN(2)/2)*CM153+(1-EXP(-LN(2)/2))/(LN(2)/2)*CG154*CJ154*VLOOKUP('Données projet'!$B$12,Paramètres!$A$1:$I$89,3,0)*0.475*44/12</f>
        <v>1.9427792759152649E-17</v>
      </c>
      <c r="CN154" s="22">
        <f t="shared" ref="CN154:CN203" si="172">SUM(CK154:CM154)</f>
        <v>0.77115828576221823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-4.5474735088646412E-13</v>
      </c>
      <c r="O155" s="13">
        <f>N155*VLOOKUP('Données projet'!$B$9,Paramètres!$A$1:$I$89,3,0)*VLOOKUP('Données projet'!$B$9,Paramètres!$A$1:$I$89,5,0)</f>
        <v>-2.5420376914553347E-13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492.3498626914548</v>
      </c>
      <c r="T155" s="59">
        <f t="shared" si="142"/>
        <v>635.90304180030307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0.48786885695908366</v>
      </c>
      <c r="AA155" s="21">
        <f>EXP(-LN(2)/25)*AA154+(1-EXP(-LN(2)/25))/(LN(2)/25)*Calculateur!V155*Calculateur!X155*VLOOKUP('Données projet'!$B$9,Paramètres!$A$1:$I$89,3,0)*0.475*44/12</f>
        <v>0.82160793089795503</v>
      </c>
      <c r="AB155" s="21">
        <f>EXP(-LN(2)/2)*AB154+(1-EXP(-LN(2)/2))/(LN(2)/2)*V155*Y155*VLOOKUP('Données projet'!$B$9,Paramètres!$A$1:$I$89,3,0)*0.475*44/12</f>
        <v>5.0739222075984967E-18</v>
      </c>
      <c r="AC155" s="22">
        <f t="shared" si="163"/>
        <v>1.3094767878570388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175.05987582828078</v>
      </c>
      <c r="AO155" s="59">
        <f t="shared" si="144"/>
        <v>268.54782308462387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0.46996498896364597</v>
      </c>
      <c r="AV155" s="21">
        <f>EXP(-LN(2)/25)*AV154+(1-EXP(-LN(2)/25))/(LN(2)/25)*Calculateur!AQ155*Calculateur!AS155*VLOOKUP('Données projet'!$B$10,Paramètres!$A$1:$I$89,3,0)*0.475*44/12</f>
        <v>0.61676841778223512</v>
      </c>
      <c r="AW155" s="21">
        <f>EXP(-LN(2)/2)*AW154+(1-EXP(-LN(2)/2))/(LN(2)/2)*AQ155*AT155*VLOOKUP('Données projet'!$B$10,Paramètres!$A$1:$I$89,3,0)*0.475*44/12</f>
        <v>4.4884853376241382E-18</v>
      </c>
      <c r="AX155" s="21">
        <f t="shared" si="166"/>
        <v>1.0867334067458811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5.6843418860808015E-13</v>
      </c>
      <c r="BE155" s="13">
        <f>BD155*VLOOKUP('Données projet'!$B$11,Paramètres!$A$1:$I$89,3,0)*VLOOKUP('Données projet'!$B$11,Paramètres!$A$1:$I$89,5,0)</f>
        <v>3.39923644787632E-13</v>
      </c>
      <c r="BF155" s="13">
        <f t="shared" si="167"/>
        <v>4.4287447204943725E-12</v>
      </c>
      <c r="BG155" s="20">
        <f t="shared" si="168"/>
        <v>8.3054307361994904E-12</v>
      </c>
      <c r="BH155" s="59">
        <f t="shared" si="116"/>
        <v>293.33333333334161</v>
      </c>
      <c r="BI155" s="59">
        <f ca="1">AVERAGE(OFFSET($BH$3,0,0,'Données projet'!$E$11+1,1))-AVERAGE(OFFSET($H$3,0,0,'Données projet'!$E$11+1,1))</f>
        <v>381.78368385345919</v>
      </c>
      <c r="BJ155" s="59">
        <f t="shared" si="146"/>
        <v>257.35575295655639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0.51787927931102051</v>
      </c>
      <c r="BR155" s="21">
        <f>EXP(-LN(2)/2)*BR154+(1-EXP(-LN(2)/2))/(LN(2)/2)*BL155*BO155*VLOOKUP('Données projet'!$B$11,Paramètres!$A$1:$I$89,3,0)*0.475*44/12</f>
        <v>7.8454423426992717E-15</v>
      </c>
      <c r="BS155" s="22">
        <f t="shared" si="169"/>
        <v>0.5178792793110284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1.1368683772161603E-13</v>
      </c>
      <c r="BZ155" s="13">
        <f>BY155*VLOOKUP('Données projet'!$B$12,Paramètres!$A$1:$I$89,3,0)*VLOOKUP('Données projet'!$B$12,Paramètres!$A$1:$I$89,5,0)</f>
        <v>5.4683368944097308E-14</v>
      </c>
      <c r="CA155" s="13">
        <f t="shared" si="170"/>
        <v>8.8129432816788268E-13</v>
      </c>
      <c r="CB155" s="20">
        <f t="shared" si="171"/>
        <v>1.6301611558033651E-12</v>
      </c>
      <c r="CC155" s="59">
        <f t="shared" si="119"/>
        <v>293.33333333333496</v>
      </c>
      <c r="CD155" s="59">
        <f ca="1">AVERAGE(OFFSET($CC$3,0,0,'Données projet'!$E$12+1,1))-AVERAGE(OFFSET($H$3,0,0,'Données projet'!$E$12+1,1))</f>
        <v>415.97633163853953</v>
      </c>
      <c r="CE155" s="59">
        <f t="shared" si="148"/>
        <v>356.23532720804423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0.24122498671926904</v>
      </c>
      <c r="CL155" s="21">
        <f>EXP(-LN(2)/25)*CL154+(1-EXP(-LN(2)/25))/(LN(2)/25)*Calculateur!CG155*Calculateur!CI155*VLOOKUP('Données projet'!$B$12,Paramètres!$A$1:$I$89,3,0)*0.475*44/12</f>
        <v>0.51074929396083324</v>
      </c>
      <c r="CM155" s="21">
        <f>EXP(-LN(2)/2)*CM154+(1-EXP(-LN(2)/2))/(LN(2)/2)*CG155*CJ155*VLOOKUP('Données projet'!$B$12,Paramètres!$A$1:$I$89,3,0)*0.475*44/12</f>
        <v>1.3737524003483745E-17</v>
      </c>
      <c r="CN155" s="22">
        <f t="shared" si="172"/>
        <v>0.7519742806801023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-4.5474735088646412E-13</v>
      </c>
      <c r="O156" s="13">
        <f>N156*VLOOKUP('Données projet'!$B$9,Paramètres!$A$1:$I$89,3,0)*VLOOKUP('Données projet'!$B$9,Paramètres!$A$1:$I$89,5,0)</f>
        <v>-2.5420376914553347E-13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492.3498626914548</v>
      </c>
      <c r="T156" s="59">
        <f t="shared" si="142"/>
        <v>635.90304180030307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0.4783020462447361</v>
      </c>
      <c r="AA156" s="21">
        <f>EXP(-LN(2)/25)*AA155+(1-EXP(-LN(2)/25))/(LN(2)/25)*Calculateur!V156*Calculateur!X156*VLOOKUP('Données projet'!$B$9,Paramètres!$A$1:$I$89,3,0)*0.475*44/12</f>
        <v>0.79914101882106714</v>
      </c>
      <c r="AB156" s="21">
        <f>EXP(-LN(2)/2)*AB155+(1-EXP(-LN(2)/2))/(LN(2)/2)*V156*Y156*VLOOKUP('Données projet'!$B$9,Paramètres!$A$1:$I$89,3,0)*0.475*44/12</f>
        <v>3.5878048002059144E-18</v>
      </c>
      <c r="AC156" s="22">
        <f t="shared" si="163"/>
        <v>1.2774430650658033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175.05987582828078</v>
      </c>
      <c r="AO156" s="59">
        <f t="shared" si="144"/>
        <v>268.54782308462387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0.46074926218040779</v>
      </c>
      <c r="AV156" s="21">
        <f>EXP(-LN(2)/25)*AV155+(1-EXP(-LN(2)/25))/(LN(2)/25)*Calculateur!AQ156*Calculateur!AS156*VLOOKUP('Données projet'!$B$10,Paramètres!$A$1:$I$89,3,0)*0.475*44/12</f>
        <v>0.5999028529635384</v>
      </c>
      <c r="AW156" s="21">
        <f>EXP(-LN(2)/2)*AW155+(1-EXP(-LN(2)/2))/(LN(2)/2)*AQ156*AT156*VLOOKUP('Données projet'!$B$10,Paramètres!$A$1:$I$89,3,0)*0.475*44/12</f>
        <v>3.1738384194904184E-18</v>
      </c>
      <c r="AX156" s="21">
        <f t="shared" si="166"/>
        <v>1.0606521151439461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5.6843418860808015E-13</v>
      </c>
      <c r="BE156" s="13">
        <f>BD156*VLOOKUP('Données projet'!$B$11,Paramètres!$A$1:$I$89,3,0)*VLOOKUP('Données projet'!$B$11,Paramètres!$A$1:$I$89,5,0)</f>
        <v>3.39923644787632E-13</v>
      </c>
      <c r="BF156" s="13">
        <f t="shared" si="167"/>
        <v>4.4287447204943725E-12</v>
      </c>
      <c r="BG156" s="20">
        <f t="shared" si="168"/>
        <v>8.3054307361994904E-12</v>
      </c>
      <c r="BH156" s="59">
        <f t="shared" si="116"/>
        <v>293.33333333334161</v>
      </c>
      <c r="BI156" s="59">
        <f ca="1">AVERAGE(OFFSET($BH$3,0,0,'Données projet'!$E$11+1,1))-AVERAGE(OFFSET($H$3,0,0,'Données projet'!$E$11+1,1))</f>
        <v>381.78368385345919</v>
      </c>
      <c r="BJ156" s="59">
        <f t="shared" si="146"/>
        <v>257.35575295655639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0.50371784318417301</v>
      </c>
      <c r="BR156" s="21">
        <f>EXP(-LN(2)/2)*BR155+(1-EXP(-LN(2)/2))/(LN(2)/2)*BL156*BO156*VLOOKUP('Données projet'!$B$11,Paramètres!$A$1:$I$89,3,0)*0.475*44/12</f>
        <v>5.5475654819307287E-15</v>
      </c>
      <c r="BS156" s="22">
        <f t="shared" si="169"/>
        <v>0.50371784318417856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1.1368683772161603E-13</v>
      </c>
      <c r="BZ156" s="13">
        <f>BY156*VLOOKUP('Données projet'!$B$12,Paramètres!$A$1:$I$89,3,0)*VLOOKUP('Données projet'!$B$12,Paramètres!$A$1:$I$89,5,0)</f>
        <v>5.4683368944097308E-14</v>
      </c>
      <c r="CA156" s="13">
        <f t="shared" si="170"/>
        <v>8.8129432816788268E-13</v>
      </c>
      <c r="CB156" s="20">
        <f t="shared" si="171"/>
        <v>1.6301611558033651E-12</v>
      </c>
      <c r="CC156" s="59">
        <f t="shared" si="119"/>
        <v>293.33333333333496</v>
      </c>
      <c r="CD156" s="59">
        <f ca="1">AVERAGE(OFFSET($CC$3,0,0,'Données projet'!$E$12+1,1))-AVERAGE(OFFSET($H$3,0,0,'Données projet'!$E$12+1,1))</f>
        <v>415.97633163853953</v>
      </c>
      <c r="CE156" s="59">
        <f t="shared" si="148"/>
        <v>356.23532720804423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0.23649471186241791</v>
      </c>
      <c r="CL156" s="21">
        <f>EXP(-LN(2)/25)*CL155+(1-EXP(-LN(2)/25))/(LN(2)/25)*Calculateur!CG156*Calculateur!CI156*VLOOKUP('Données projet'!$B$12,Paramètres!$A$1:$I$89,3,0)*0.475*44/12</f>
        <v>0.4967828276583362</v>
      </c>
      <c r="CM156" s="21">
        <f>EXP(-LN(2)/2)*CM155+(1-EXP(-LN(2)/2))/(LN(2)/2)*CG156*CJ156*VLOOKUP('Données projet'!$B$12,Paramètres!$A$1:$I$89,3,0)*0.475*44/12</f>
        <v>9.7138963795763258E-18</v>
      </c>
      <c r="CN156" s="22">
        <f t="shared" si="172"/>
        <v>0.73327753952075414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-4.5474735088646412E-13</v>
      </c>
      <c r="O157" s="13">
        <f>N157*VLOOKUP('Données projet'!$B$9,Paramètres!$A$1:$I$89,3,0)*VLOOKUP('Données projet'!$B$9,Paramètres!$A$1:$I$89,5,0)</f>
        <v>-2.5420376914553347E-13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492.3498626914548</v>
      </c>
      <c r="T157" s="59">
        <f t="shared" si="142"/>
        <v>635.90304180030307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0.46892283485331854</v>
      </c>
      <c r="AA157" s="21">
        <f>EXP(-LN(2)/25)*AA156+(1-EXP(-LN(2)/25))/(LN(2)/25)*Calculateur!V157*Calculateur!X157*VLOOKUP('Données projet'!$B$9,Paramètres!$A$1:$I$89,3,0)*0.475*44/12</f>
        <v>0.7772884656364053</v>
      </c>
      <c r="AB157" s="21">
        <f>EXP(-LN(2)/2)*AB156+(1-EXP(-LN(2)/2))/(LN(2)/2)*V157*Y157*VLOOKUP('Données projet'!$B$9,Paramètres!$A$1:$I$89,3,0)*0.475*44/12</f>
        <v>2.5369611037992484E-18</v>
      </c>
      <c r="AC157" s="22">
        <f t="shared" si="163"/>
        <v>1.2462113004897239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175.05987582828078</v>
      </c>
      <c r="AO157" s="59">
        <f t="shared" si="144"/>
        <v>268.54782308462387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0.4517142501783506</v>
      </c>
      <c r="AV157" s="21">
        <f>EXP(-LN(2)/25)*AV156+(1-EXP(-LN(2)/25))/(LN(2)/25)*Calculateur!AQ157*Calculateur!AS157*VLOOKUP('Données projet'!$B$10,Paramètres!$A$1:$I$89,3,0)*0.475*44/12</f>
        <v>0.58349847790173048</v>
      </c>
      <c r="AW157" s="21">
        <f>EXP(-LN(2)/2)*AW156+(1-EXP(-LN(2)/2))/(LN(2)/2)*AQ157*AT157*VLOOKUP('Données projet'!$B$10,Paramètres!$A$1:$I$89,3,0)*0.475*44/12</f>
        <v>2.2442426688120691E-18</v>
      </c>
      <c r="AX157" s="21">
        <f t="shared" si="166"/>
        <v>1.0352127280800811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5.6843418860808015E-13</v>
      </c>
      <c r="BE157" s="13">
        <f>BD157*VLOOKUP('Données projet'!$B$11,Paramètres!$A$1:$I$89,3,0)*VLOOKUP('Données projet'!$B$11,Paramètres!$A$1:$I$89,5,0)</f>
        <v>3.39923644787632E-13</v>
      </c>
      <c r="BF157" s="13">
        <f t="shared" si="167"/>
        <v>4.4287447204943725E-12</v>
      </c>
      <c r="BG157" s="20">
        <f t="shared" si="168"/>
        <v>8.3054307361994904E-12</v>
      </c>
      <c r="BH157" s="59">
        <f t="shared" si="116"/>
        <v>293.33333333334161</v>
      </c>
      <c r="BI157" s="59">
        <f ca="1">AVERAGE(OFFSET($BH$3,0,0,'Données projet'!$E$11+1,1))-AVERAGE(OFFSET($H$3,0,0,'Données projet'!$E$11+1,1))</f>
        <v>381.78368385345919</v>
      </c>
      <c r="BJ157" s="59">
        <f t="shared" si="146"/>
        <v>257.35575295655639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0.48994365227293168</v>
      </c>
      <c r="BR157" s="21">
        <f>EXP(-LN(2)/2)*BR156+(1-EXP(-LN(2)/2))/(LN(2)/2)*BL157*BO157*VLOOKUP('Données projet'!$B$11,Paramètres!$A$1:$I$89,3,0)*0.475*44/12</f>
        <v>3.9227211713496358E-15</v>
      </c>
      <c r="BS157" s="22">
        <f t="shared" si="169"/>
        <v>0.48994365227293563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1.1368683772161603E-13</v>
      </c>
      <c r="BZ157" s="13">
        <f>BY157*VLOOKUP('Données projet'!$B$12,Paramètres!$A$1:$I$89,3,0)*VLOOKUP('Données projet'!$B$12,Paramètres!$A$1:$I$89,5,0)</f>
        <v>5.4683368944097308E-14</v>
      </c>
      <c r="CA157" s="13">
        <f t="shared" si="170"/>
        <v>8.8129432816788268E-13</v>
      </c>
      <c r="CB157" s="20">
        <f t="shared" si="171"/>
        <v>1.6301611558033651E-12</v>
      </c>
      <c r="CC157" s="59">
        <f t="shared" si="119"/>
        <v>293.33333333333496</v>
      </c>
      <c r="CD157" s="59">
        <f ca="1">AVERAGE(OFFSET($CC$3,0,0,'Données projet'!$E$12+1,1))-AVERAGE(OFFSET($H$3,0,0,'Données projet'!$E$12+1,1))</f>
        <v>415.97633163853953</v>
      </c>
      <c r="CE157" s="59">
        <f t="shared" si="148"/>
        <v>356.23532720804423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0.23185719481032688</v>
      </c>
      <c r="CL157" s="21">
        <f>EXP(-LN(2)/25)*CL156+(1-EXP(-LN(2)/25))/(LN(2)/25)*Calculateur!CG157*Calculateur!CI157*VLOOKUP('Données projet'!$B$12,Paramètres!$A$1:$I$89,3,0)*0.475*44/12</f>
        <v>0.4831982751113455</v>
      </c>
      <c r="CM157" s="21">
        <f>EXP(-LN(2)/2)*CM156+(1-EXP(-LN(2)/2))/(LN(2)/2)*CG157*CJ157*VLOOKUP('Données projet'!$B$12,Paramètres!$A$1:$I$89,3,0)*0.475*44/12</f>
        <v>6.8687620017418735E-18</v>
      </c>
      <c r="CN157" s="22">
        <f t="shared" si="172"/>
        <v>0.71505546992167235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-4.5474735088646412E-13</v>
      </c>
      <c r="O158" s="13">
        <f>N158*VLOOKUP('Données projet'!$B$9,Paramètres!$A$1:$I$89,3,0)*VLOOKUP('Données projet'!$B$9,Paramètres!$A$1:$I$89,5,0)</f>
        <v>-2.5420376914553347E-13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492.3498626914548</v>
      </c>
      <c r="T158" s="59">
        <f t="shared" si="142"/>
        <v>635.90304180030307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0.4597275440765326</v>
      </c>
      <c r="AA158" s="21">
        <f>EXP(-LN(2)/25)*AA157+(1-EXP(-LN(2)/25))/(LN(2)/25)*Calculateur!V158*Calculateur!X158*VLOOKUP('Données projet'!$B$9,Paramètres!$A$1:$I$89,3,0)*0.475*44/12</f>
        <v>0.75603347166775392</v>
      </c>
      <c r="AB158" s="21">
        <f>EXP(-LN(2)/2)*AB157+(1-EXP(-LN(2)/2))/(LN(2)/2)*V158*Y158*VLOOKUP('Données projet'!$B$9,Paramètres!$A$1:$I$89,3,0)*0.475*44/12</f>
        <v>1.7939024001029572E-18</v>
      </c>
      <c r="AC158" s="22">
        <f t="shared" si="163"/>
        <v>1.2157610157442864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175.05987582828078</v>
      </c>
      <c r="AO158" s="59">
        <f t="shared" si="144"/>
        <v>268.54782308462387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0.44285640925084058</v>
      </c>
      <c r="AV158" s="21">
        <f>EXP(-LN(2)/25)*AV157+(1-EXP(-LN(2)/25))/(LN(2)/25)*Calculateur!AQ158*Calculateur!AS158*VLOOKUP('Données projet'!$B$10,Paramètres!$A$1:$I$89,3,0)*0.475*44/12</f>
        <v>0.56754268133865626</v>
      </c>
      <c r="AW158" s="21">
        <f>EXP(-LN(2)/2)*AW157+(1-EXP(-LN(2)/2))/(LN(2)/2)*AQ158*AT158*VLOOKUP('Données projet'!$B$10,Paramètres!$A$1:$I$89,3,0)*0.475*44/12</f>
        <v>1.5869192097452092E-18</v>
      </c>
      <c r="AX158" s="21">
        <f t="shared" si="166"/>
        <v>1.0103990905894968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5.6843418860808015E-13</v>
      </c>
      <c r="BE158" s="13">
        <f>BD158*VLOOKUP('Données projet'!$B$11,Paramètres!$A$1:$I$89,3,0)*VLOOKUP('Données projet'!$B$11,Paramètres!$A$1:$I$89,5,0)</f>
        <v>3.39923644787632E-13</v>
      </c>
      <c r="BF158" s="13">
        <f t="shared" si="167"/>
        <v>4.4287447204943725E-12</v>
      </c>
      <c r="BG158" s="20">
        <f t="shared" si="168"/>
        <v>8.3054307361994904E-12</v>
      </c>
      <c r="BH158" s="59">
        <f t="shared" si="116"/>
        <v>293.33333333334161</v>
      </c>
      <c r="BI158" s="59">
        <f ca="1">AVERAGE(OFFSET($BH$3,0,0,'Données projet'!$E$11+1,1))-AVERAGE(OFFSET($H$3,0,0,'Données projet'!$E$11+1,1))</f>
        <v>381.78368385345919</v>
      </c>
      <c r="BJ158" s="59">
        <f t="shared" si="146"/>
        <v>257.35575295655639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0.47654611733651148</v>
      </c>
      <c r="BR158" s="21">
        <f>EXP(-LN(2)/2)*BR157+(1-EXP(-LN(2)/2))/(LN(2)/2)*BL158*BO158*VLOOKUP('Données projet'!$B$11,Paramètres!$A$1:$I$89,3,0)*0.475*44/12</f>
        <v>2.7737827409653644E-15</v>
      </c>
      <c r="BS158" s="22">
        <f t="shared" si="169"/>
        <v>0.47654611733651425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1.1368683772161603E-13</v>
      </c>
      <c r="BZ158" s="13">
        <f>BY158*VLOOKUP('Données projet'!$B$12,Paramètres!$A$1:$I$89,3,0)*VLOOKUP('Données projet'!$B$12,Paramètres!$A$1:$I$89,5,0)</f>
        <v>5.4683368944097308E-14</v>
      </c>
      <c r="CA158" s="13">
        <f t="shared" si="170"/>
        <v>8.8129432816788268E-13</v>
      </c>
      <c r="CB158" s="20">
        <f t="shared" si="171"/>
        <v>1.6301611558033651E-12</v>
      </c>
      <c r="CC158" s="59">
        <f t="shared" si="119"/>
        <v>293.33333333333496</v>
      </c>
      <c r="CD158" s="59">
        <f ca="1">AVERAGE(OFFSET($CC$3,0,0,'Données projet'!$E$12+1,1))-AVERAGE(OFFSET($H$3,0,0,'Données projet'!$E$12+1,1))</f>
        <v>415.97633163853953</v>
      </c>
      <c r="CE158" s="59">
        <f t="shared" si="148"/>
        <v>356.23532720804423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0.22731061663902125</v>
      </c>
      <c r="CL158" s="21">
        <f>EXP(-LN(2)/25)*CL157+(1-EXP(-LN(2)/25))/(LN(2)/25)*Calculateur!CG158*Calculateur!CI158*VLOOKUP('Données projet'!$B$12,Paramètres!$A$1:$I$89,3,0)*0.475*44/12</f>
        <v>0.46998519286813284</v>
      </c>
      <c r="CM158" s="21">
        <f>EXP(-LN(2)/2)*CM157+(1-EXP(-LN(2)/2))/(LN(2)/2)*CG158*CJ158*VLOOKUP('Données projet'!$B$12,Paramètres!$A$1:$I$89,3,0)*0.475*44/12</f>
        <v>4.8569481897881637E-18</v>
      </c>
      <c r="CN158" s="22">
        <f t="shared" si="172"/>
        <v>0.69729580950715409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-4.5474735088646412E-13</v>
      </c>
      <c r="O159" s="13">
        <f>N159*VLOOKUP('Données projet'!$B$9,Paramètres!$A$1:$I$89,3,0)*VLOOKUP('Données projet'!$B$9,Paramètres!$A$1:$I$89,5,0)</f>
        <v>-2.5420376914553347E-13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492.3498626914548</v>
      </c>
      <c r="T159" s="59">
        <f t="shared" si="142"/>
        <v>635.90304180030307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0.45071256734330589</v>
      </c>
      <c r="AA159" s="21">
        <f>EXP(-LN(2)/25)*AA158+(1-EXP(-LN(2)/25))/(LN(2)/25)*Calculateur!V159*Calculateur!X159*VLOOKUP('Données projet'!$B$9,Paramètres!$A$1:$I$89,3,0)*0.475*44/12</f>
        <v>0.73535969662692691</v>
      </c>
      <c r="AB159" s="21">
        <f>EXP(-LN(2)/2)*AB158+(1-EXP(-LN(2)/2))/(LN(2)/2)*V159*Y159*VLOOKUP('Données projet'!$B$9,Paramètres!$A$1:$I$89,3,0)*0.475*44/12</f>
        <v>1.2684805518996242E-18</v>
      </c>
      <c r="AC159" s="22">
        <f t="shared" si="163"/>
        <v>1.1860722639702328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175.05987582828078</v>
      </c>
      <c r="AO159" s="59">
        <f t="shared" si="144"/>
        <v>268.54782308462387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0.43417226518116953</v>
      </c>
      <c r="AV159" s="21">
        <f>EXP(-LN(2)/25)*AV158+(1-EXP(-LN(2)/25))/(LN(2)/25)*Calculateur!AQ159*Calculateur!AS159*VLOOKUP('Données projet'!$B$10,Paramètres!$A$1:$I$89,3,0)*0.475*44/12</f>
        <v>0.55202319687167822</v>
      </c>
      <c r="AW159" s="21">
        <f>EXP(-LN(2)/2)*AW158+(1-EXP(-LN(2)/2))/(LN(2)/2)*AQ159*AT159*VLOOKUP('Données projet'!$B$10,Paramètres!$A$1:$I$89,3,0)*0.475*44/12</f>
        <v>1.1221213344060346E-18</v>
      </c>
      <c r="AX159" s="21">
        <f t="shared" si="166"/>
        <v>0.98619546205284769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5.6843418860808015E-13</v>
      </c>
      <c r="BE159" s="13">
        <f>BD159*VLOOKUP('Données projet'!$B$11,Paramètres!$A$1:$I$89,3,0)*VLOOKUP('Données projet'!$B$11,Paramètres!$A$1:$I$89,5,0)</f>
        <v>3.39923644787632E-13</v>
      </c>
      <c r="BF159" s="13">
        <f t="shared" si="167"/>
        <v>4.4287447204943725E-12</v>
      </c>
      <c r="BG159" s="20">
        <f t="shared" si="168"/>
        <v>8.3054307361994904E-12</v>
      </c>
      <c r="BH159" s="59">
        <f t="shared" si="116"/>
        <v>293.33333333334161</v>
      </c>
      <c r="BI159" s="59">
        <f ca="1">AVERAGE(OFFSET($BH$3,0,0,'Données projet'!$E$11+1,1))-AVERAGE(OFFSET($H$3,0,0,'Données projet'!$E$11+1,1))</f>
        <v>381.78368385345919</v>
      </c>
      <c r="BJ159" s="59">
        <f t="shared" si="146"/>
        <v>257.35575295655639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0.4635149386974734</v>
      </c>
      <c r="BR159" s="21">
        <f>EXP(-LN(2)/2)*BR158+(1-EXP(-LN(2)/2))/(LN(2)/2)*BL159*BO159*VLOOKUP('Données projet'!$B$11,Paramètres!$A$1:$I$89,3,0)*0.475*44/12</f>
        <v>1.9613605856748179E-15</v>
      </c>
      <c r="BS159" s="22">
        <f t="shared" si="169"/>
        <v>0.46351493869747534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1.1368683772161603E-13</v>
      </c>
      <c r="BZ159" s="13">
        <f>BY159*VLOOKUP('Données projet'!$B$12,Paramètres!$A$1:$I$89,3,0)*VLOOKUP('Données projet'!$B$12,Paramètres!$A$1:$I$89,5,0)</f>
        <v>5.4683368944097308E-14</v>
      </c>
      <c r="CA159" s="13">
        <f t="shared" si="170"/>
        <v>8.8129432816788268E-13</v>
      </c>
      <c r="CB159" s="20">
        <f t="shared" si="171"/>
        <v>1.6301611558033651E-12</v>
      </c>
      <c r="CC159" s="59">
        <f t="shared" si="119"/>
        <v>293.33333333333496</v>
      </c>
      <c r="CD159" s="59">
        <f ca="1">AVERAGE(OFFSET($CC$3,0,0,'Données projet'!$E$12+1,1))-AVERAGE(OFFSET($H$3,0,0,'Données projet'!$E$12+1,1))</f>
        <v>415.97633163853953</v>
      </c>
      <c r="CE159" s="59">
        <f t="shared" si="148"/>
        <v>356.23532720804423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0.22285319409251605</v>
      </c>
      <c r="CL159" s="21">
        <f>EXP(-LN(2)/25)*CL158+(1-EXP(-LN(2)/25))/(LN(2)/25)*Calculateur!CG159*Calculateur!CI159*VLOOKUP('Données projet'!$B$12,Paramètres!$A$1:$I$89,3,0)*0.475*44/12</f>
        <v>0.45713342305370663</v>
      </c>
      <c r="CM159" s="21">
        <f>EXP(-LN(2)/2)*CM158+(1-EXP(-LN(2)/2))/(LN(2)/2)*CG159*CJ159*VLOOKUP('Données projet'!$B$12,Paramètres!$A$1:$I$89,3,0)*0.475*44/12</f>
        <v>3.4343810008709375E-18</v>
      </c>
      <c r="CN159" s="22">
        <f t="shared" si="172"/>
        <v>0.67998661714622266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-4.5474735088646412E-13</v>
      </c>
      <c r="O160" s="13">
        <f>N160*VLOOKUP('Données projet'!$B$9,Paramètres!$A$1:$I$89,3,0)*VLOOKUP('Données projet'!$B$9,Paramètres!$A$1:$I$89,5,0)</f>
        <v>-2.5420376914553347E-13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492.3498626914548</v>
      </c>
      <c r="T160" s="59">
        <f t="shared" si="142"/>
        <v>635.90304180030307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0.4418743688052249</v>
      </c>
      <c r="AA160" s="21">
        <f>EXP(-LN(2)/25)*AA159+(1-EXP(-LN(2)/25))/(LN(2)/25)*Calculateur!V160*Calculateur!X160*VLOOKUP('Données projet'!$B$9,Paramètres!$A$1:$I$89,3,0)*0.475*44/12</f>
        <v>0.71525124705177778</v>
      </c>
      <c r="AB160" s="21">
        <f>EXP(-LN(2)/2)*AB159+(1-EXP(-LN(2)/2))/(LN(2)/2)*V160*Y160*VLOOKUP('Données projet'!$B$9,Paramètres!$A$1:$I$89,3,0)*0.475*44/12</f>
        <v>8.9695120005147859E-19</v>
      </c>
      <c r="AC160" s="22">
        <f t="shared" si="163"/>
        <v>1.1571256158570027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175.05987582828078</v>
      </c>
      <c r="AO160" s="59">
        <f t="shared" si="144"/>
        <v>268.54782308462387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0.42565841187989983</v>
      </c>
      <c r="AV160" s="21">
        <f>EXP(-LN(2)/25)*AV159+(1-EXP(-LN(2)/25))/(LN(2)/25)*Calculateur!AQ160*Calculateur!AS160*VLOOKUP('Données projet'!$B$10,Paramètres!$A$1:$I$89,3,0)*0.475*44/12</f>
        <v>0.53692809352358395</v>
      </c>
      <c r="AW160" s="21">
        <f>EXP(-LN(2)/2)*AW159+(1-EXP(-LN(2)/2))/(LN(2)/2)*AQ160*AT160*VLOOKUP('Données projet'!$B$10,Paramètres!$A$1:$I$89,3,0)*0.475*44/12</f>
        <v>7.9345960487260461E-19</v>
      </c>
      <c r="AX160" s="21">
        <f t="shared" si="166"/>
        <v>0.96258650540348378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5.6843418860808015E-13</v>
      </c>
      <c r="BE160" s="13">
        <f>BD160*VLOOKUP('Données projet'!$B$11,Paramètres!$A$1:$I$89,3,0)*VLOOKUP('Données projet'!$B$11,Paramètres!$A$1:$I$89,5,0)</f>
        <v>3.39923644787632E-13</v>
      </c>
      <c r="BF160" s="13">
        <f t="shared" si="167"/>
        <v>4.4287447204943725E-12</v>
      </c>
      <c r="BG160" s="20">
        <f t="shared" si="168"/>
        <v>8.3054307361994904E-12</v>
      </c>
      <c r="BH160" s="59">
        <f t="shared" si="116"/>
        <v>293.33333333334161</v>
      </c>
      <c r="BI160" s="59">
        <f ca="1">AVERAGE(OFFSET($BH$3,0,0,'Données projet'!$E$11+1,1))-AVERAGE(OFFSET($H$3,0,0,'Données projet'!$E$11+1,1))</f>
        <v>381.78368385345919</v>
      </c>
      <c r="BJ160" s="59">
        <f t="shared" si="146"/>
        <v>257.35575295655639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0.45084009832359973</v>
      </c>
      <c r="BR160" s="21">
        <f>EXP(-LN(2)/2)*BR159+(1-EXP(-LN(2)/2))/(LN(2)/2)*BL160*BO160*VLOOKUP('Données projet'!$B$11,Paramètres!$A$1:$I$89,3,0)*0.475*44/12</f>
        <v>1.3868913704826822E-15</v>
      </c>
      <c r="BS160" s="22">
        <f t="shared" si="169"/>
        <v>0.45084009832360111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1.1368683772161603E-13</v>
      </c>
      <c r="BZ160" s="13">
        <f>BY160*VLOOKUP('Données projet'!$B$12,Paramètres!$A$1:$I$89,3,0)*VLOOKUP('Données projet'!$B$12,Paramètres!$A$1:$I$89,5,0)</f>
        <v>5.4683368944097308E-14</v>
      </c>
      <c r="CA160" s="13">
        <f t="shared" si="170"/>
        <v>8.8129432816788268E-13</v>
      </c>
      <c r="CB160" s="20">
        <f t="shared" si="171"/>
        <v>1.6301611558033651E-12</v>
      </c>
      <c r="CC160" s="59">
        <f t="shared" si="119"/>
        <v>293.33333333333496</v>
      </c>
      <c r="CD160" s="59">
        <f ca="1">AVERAGE(OFFSET($CC$3,0,0,'Données projet'!$E$12+1,1))-AVERAGE(OFFSET($H$3,0,0,'Données projet'!$E$12+1,1))</f>
        <v>415.97633163853953</v>
      </c>
      <c r="CE160" s="59">
        <f t="shared" si="148"/>
        <v>356.23532720804423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0.21848317888338853</v>
      </c>
      <c r="CL160" s="21">
        <f>EXP(-LN(2)/25)*CL159+(1-EXP(-LN(2)/25))/(LN(2)/25)*Calculateur!CG160*Calculateur!CI160*VLOOKUP('Données projet'!$B$12,Paramètres!$A$1:$I$89,3,0)*0.475*44/12</f>
        <v>0.44463308556070108</v>
      </c>
      <c r="CM160" s="21">
        <f>EXP(-LN(2)/2)*CM159+(1-EXP(-LN(2)/2))/(LN(2)/2)*CG160*CJ160*VLOOKUP('Données projet'!$B$12,Paramètres!$A$1:$I$89,3,0)*0.475*44/12</f>
        <v>2.4284740948940822E-18</v>
      </c>
      <c r="CN160" s="22">
        <f t="shared" si="172"/>
        <v>0.66311626444408955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-4.5474735088646412E-13</v>
      </c>
      <c r="O161" s="13">
        <f>N161*VLOOKUP('Données projet'!$B$9,Paramètres!$A$1:$I$89,3,0)*VLOOKUP('Données projet'!$B$9,Paramètres!$A$1:$I$89,5,0)</f>
        <v>-2.5420376914553347E-13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492.3498626914548</v>
      </c>
      <c r="T161" s="59">
        <f t="shared" si="142"/>
        <v>635.90304180030307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0.43320948194970682</v>
      </c>
      <c r="AA161" s="21">
        <f>EXP(-LN(2)/25)*AA160+(1-EXP(-LN(2)/25))/(LN(2)/25)*Calculateur!V161*Calculateur!X161*VLOOKUP('Données projet'!$B$9,Paramètres!$A$1:$I$89,3,0)*0.475*44/12</f>
        <v>0.69569266408771857</v>
      </c>
      <c r="AB161" s="21">
        <f>EXP(-LN(2)/2)*AB160+(1-EXP(-LN(2)/2))/(LN(2)/2)*V161*Y161*VLOOKUP('Données projet'!$B$9,Paramètres!$A$1:$I$89,3,0)*0.475*44/12</f>
        <v>6.3424027594981209E-19</v>
      </c>
      <c r="AC161" s="22">
        <f t="shared" si="163"/>
        <v>1.1289021460374253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175.05987582828078</v>
      </c>
      <c r="AO161" s="59">
        <f t="shared" si="144"/>
        <v>268.54782308462387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0.4173115100489303</v>
      </c>
      <c r="AV161" s="21">
        <f>EXP(-LN(2)/25)*AV160+(1-EXP(-LN(2)/25))/(LN(2)/25)*Calculateur!AQ161*Calculateur!AS161*VLOOKUP('Données projet'!$B$10,Paramètres!$A$1:$I$89,3,0)*0.475*44/12</f>
        <v>0.52224576657036026</v>
      </c>
      <c r="AW161" s="21">
        <f>EXP(-LN(2)/2)*AW160+(1-EXP(-LN(2)/2))/(LN(2)/2)*AQ161*AT161*VLOOKUP('Données projet'!$B$10,Paramètres!$A$1:$I$89,3,0)*0.475*44/12</f>
        <v>5.6106066720301728E-19</v>
      </c>
      <c r="AX161" s="21">
        <f t="shared" si="166"/>
        <v>0.93955727661929056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5.6843418860808015E-13</v>
      </c>
      <c r="BE161" s="13">
        <f>BD161*VLOOKUP('Données projet'!$B$11,Paramètres!$A$1:$I$89,3,0)*VLOOKUP('Données projet'!$B$11,Paramètres!$A$1:$I$89,5,0)</f>
        <v>3.39923644787632E-13</v>
      </c>
      <c r="BF161" s="13">
        <f t="shared" si="167"/>
        <v>4.4287447204943725E-12</v>
      </c>
      <c r="BG161" s="20">
        <f t="shared" si="168"/>
        <v>8.3054307361994904E-12</v>
      </c>
      <c r="BH161" s="59">
        <f t="shared" si="116"/>
        <v>293.33333333334161</v>
      </c>
      <c r="BI161" s="59">
        <f ca="1">AVERAGE(OFFSET($BH$3,0,0,'Données projet'!$E$11+1,1))-AVERAGE(OFFSET($H$3,0,0,'Données projet'!$E$11+1,1))</f>
        <v>381.78368385345919</v>
      </c>
      <c r="BJ161" s="59">
        <f t="shared" si="146"/>
        <v>257.35575295655639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0.43851185212629051</v>
      </c>
      <c r="BR161" s="21">
        <f>EXP(-LN(2)/2)*BR160+(1-EXP(-LN(2)/2))/(LN(2)/2)*BL161*BO161*VLOOKUP('Données projet'!$B$11,Paramètres!$A$1:$I$89,3,0)*0.475*44/12</f>
        <v>9.8068029283740896E-16</v>
      </c>
      <c r="BS161" s="22">
        <f t="shared" si="169"/>
        <v>0.43851185212629151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1.1368683772161603E-13</v>
      </c>
      <c r="BZ161" s="13">
        <f>BY161*VLOOKUP('Données projet'!$B$12,Paramètres!$A$1:$I$89,3,0)*VLOOKUP('Données projet'!$B$12,Paramètres!$A$1:$I$89,5,0)</f>
        <v>5.4683368944097308E-14</v>
      </c>
      <c r="CA161" s="13">
        <f t="shared" si="170"/>
        <v>8.8129432816788268E-13</v>
      </c>
      <c r="CB161" s="20">
        <f t="shared" si="171"/>
        <v>1.6301611558033651E-12</v>
      </c>
      <c r="CC161" s="59">
        <f t="shared" si="119"/>
        <v>293.33333333333496</v>
      </c>
      <c r="CD161" s="59">
        <f ca="1">AVERAGE(OFFSET($CC$3,0,0,'Données projet'!$E$12+1,1))-AVERAGE(OFFSET($H$3,0,0,'Données projet'!$E$12+1,1))</f>
        <v>415.97633163853953</v>
      </c>
      <c r="CE161" s="59">
        <f t="shared" si="148"/>
        <v>356.23532720804423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0.21419885700706592</v>
      </c>
      <c r="CL161" s="21">
        <f>EXP(-LN(2)/25)*CL160+(1-EXP(-LN(2)/25))/(LN(2)/25)*Calculateur!CG161*Calculateur!CI161*VLOOKUP('Données projet'!$B$12,Paramètres!$A$1:$I$89,3,0)*0.475*44/12</f>
        <v>0.43247457045380594</v>
      </c>
      <c r="CM161" s="21">
        <f>EXP(-LN(2)/2)*CM160+(1-EXP(-LN(2)/2))/(LN(2)/2)*CG161*CJ161*VLOOKUP('Données projet'!$B$12,Paramètres!$A$1:$I$89,3,0)*0.475*44/12</f>
        <v>1.717190500435469E-18</v>
      </c>
      <c r="CN161" s="22">
        <f t="shared" si="172"/>
        <v>0.64667342746087186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-4.5474735088646412E-13</v>
      </c>
      <c r="O162" s="13">
        <f>N162*VLOOKUP('Données projet'!$B$9,Paramètres!$A$1:$I$89,3,0)*VLOOKUP('Données projet'!$B$9,Paramètres!$A$1:$I$89,5,0)</f>
        <v>-2.5420376914553347E-13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492.3498626914548</v>
      </c>
      <c r="T162" s="59">
        <f t="shared" si="142"/>
        <v>635.90304180030307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0.42471450824036633</v>
      </c>
      <c r="AA162" s="21">
        <f>EXP(-LN(2)/25)*AA161+(1-EXP(-LN(2)/25))/(LN(2)/25)*Calculateur!V162*Calculateur!X162*VLOOKUP('Données projet'!$B$9,Paramètres!$A$1:$I$89,3,0)*0.475*44/12</f>
        <v>0.67666891160335274</v>
      </c>
      <c r="AB162" s="21">
        <f>EXP(-LN(2)/2)*AB161+(1-EXP(-LN(2)/2))/(LN(2)/2)*V162*Y162*VLOOKUP('Données projet'!$B$9,Paramètres!$A$1:$I$89,3,0)*0.475*44/12</f>
        <v>4.4847560002573929E-19</v>
      </c>
      <c r="AC162" s="22">
        <f t="shared" si="163"/>
        <v>1.1013834198437191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175.05987582828078</v>
      </c>
      <c r="AO162" s="59">
        <f t="shared" si="144"/>
        <v>268.54782308462387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0.4091282858717587</v>
      </c>
      <c r="AV162" s="21">
        <f>EXP(-LN(2)/25)*AV161+(1-EXP(-LN(2)/25))/(LN(2)/25)*Calculateur!AQ162*Calculateur!AS162*VLOOKUP('Données projet'!$B$10,Paramètres!$A$1:$I$89,3,0)*0.475*44/12</f>
        <v>0.50796492861978249</v>
      </c>
      <c r="AW162" s="21">
        <f>EXP(-LN(2)/2)*AW161+(1-EXP(-LN(2)/2))/(LN(2)/2)*AQ162*AT162*VLOOKUP('Données projet'!$B$10,Paramètres!$A$1:$I$89,3,0)*0.475*44/12</f>
        <v>3.967298024363023E-19</v>
      </c>
      <c r="AX162" s="21">
        <f t="shared" si="166"/>
        <v>0.91709321449154113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5.6843418860808015E-13</v>
      </c>
      <c r="BE162" s="13">
        <f>BD162*VLOOKUP('Données projet'!$B$11,Paramètres!$A$1:$I$89,3,0)*VLOOKUP('Données projet'!$B$11,Paramètres!$A$1:$I$89,5,0)</f>
        <v>3.39923644787632E-13</v>
      </c>
      <c r="BF162" s="13">
        <f t="shared" si="167"/>
        <v>4.4287447204943725E-12</v>
      </c>
      <c r="BG162" s="20">
        <f t="shared" si="168"/>
        <v>8.3054307361994904E-12</v>
      </c>
      <c r="BH162" s="59">
        <f t="shared" si="116"/>
        <v>293.33333333334161</v>
      </c>
      <c r="BI162" s="59">
        <f ca="1">AVERAGE(OFFSET($BH$3,0,0,'Données projet'!$E$11+1,1))-AVERAGE(OFFSET($H$3,0,0,'Données projet'!$E$11+1,1))</f>
        <v>381.78368385345919</v>
      </c>
      <c r="BJ162" s="59">
        <f t="shared" si="146"/>
        <v>257.35575295655639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0.42652072246956102</v>
      </c>
      <c r="BR162" s="21">
        <f>EXP(-LN(2)/2)*BR161+(1-EXP(-LN(2)/2))/(LN(2)/2)*BL162*BO162*VLOOKUP('Données projet'!$B$11,Paramètres!$A$1:$I$89,3,0)*0.475*44/12</f>
        <v>6.9344568524134109E-16</v>
      </c>
      <c r="BS162" s="22">
        <f t="shared" si="169"/>
        <v>0.42652072246956169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1.1368683772161603E-13</v>
      </c>
      <c r="BZ162" s="13">
        <f>BY162*VLOOKUP('Données projet'!$B$12,Paramètres!$A$1:$I$89,3,0)*VLOOKUP('Données projet'!$B$12,Paramètres!$A$1:$I$89,5,0)</f>
        <v>5.4683368944097308E-14</v>
      </c>
      <c r="CA162" s="13">
        <f t="shared" si="170"/>
        <v>8.8129432816788268E-13</v>
      </c>
      <c r="CB162" s="20">
        <f t="shared" si="171"/>
        <v>1.6301611558033651E-12</v>
      </c>
      <c r="CC162" s="59">
        <f t="shared" si="119"/>
        <v>293.33333333333496</v>
      </c>
      <c r="CD162" s="59">
        <f ca="1">AVERAGE(OFFSET($CC$3,0,0,'Données projet'!$E$12+1,1))-AVERAGE(OFFSET($H$3,0,0,'Données projet'!$E$12+1,1))</f>
        <v>415.97633163853953</v>
      </c>
      <c r="CE162" s="59">
        <f t="shared" si="148"/>
        <v>356.23532720804423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0.20999854806955967</v>
      </c>
      <c r="CL162" s="21">
        <f>EXP(-LN(2)/25)*CL161+(1-EXP(-LN(2)/25))/(LN(2)/25)*Calculateur!CG162*Calculateur!CI162*VLOOKUP('Données projet'!$B$12,Paramètres!$A$1:$I$89,3,0)*0.475*44/12</f>
        <v>0.42064853058189738</v>
      </c>
      <c r="CM162" s="21">
        <f>EXP(-LN(2)/2)*CM161+(1-EXP(-LN(2)/2))/(LN(2)/2)*CG162*CJ162*VLOOKUP('Données projet'!$B$12,Paramètres!$A$1:$I$89,3,0)*0.475*44/12</f>
        <v>1.2142370474470413E-18</v>
      </c>
      <c r="CN162" s="22">
        <f t="shared" si="172"/>
        <v>0.63064707865145708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-4.5474735088646412E-13</v>
      </c>
      <c r="O163" s="13">
        <f>N163*VLOOKUP('Données projet'!$B$9,Paramètres!$A$1:$I$89,3,0)*VLOOKUP('Données projet'!$B$9,Paramètres!$A$1:$I$89,5,0)</f>
        <v>-2.5420376914553347E-13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492.3498626914548</v>
      </c>
      <c r="T163" s="59">
        <f t="shared" si="142"/>
        <v>635.90304180030307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0.41638611578404366</v>
      </c>
      <c r="AA163" s="21">
        <f>EXP(-LN(2)/25)*AA162+(1-EXP(-LN(2)/25))/(LN(2)/25)*Calculateur!V163*Calculateur!X163*VLOOKUP('Données projet'!$B$9,Paramètres!$A$1:$I$89,3,0)*0.475*44/12</f>
        <v>0.65816536463108755</v>
      </c>
      <c r="AB163" s="21">
        <f>EXP(-LN(2)/2)*AB162+(1-EXP(-LN(2)/2))/(LN(2)/2)*V163*Y163*VLOOKUP('Données projet'!$B$9,Paramètres!$A$1:$I$89,3,0)*0.475*44/12</f>
        <v>3.1712013797490604E-19</v>
      </c>
      <c r="AC163" s="22">
        <f t="shared" si="163"/>
        <v>1.0745514804151313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175.05987582828078</v>
      </c>
      <c r="AO163" s="59">
        <f t="shared" si="144"/>
        <v>268.54782308462387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0.40110552972942753</v>
      </c>
      <c r="AV163" s="21">
        <f>EXP(-LN(2)/25)*AV162+(1-EXP(-LN(2)/25))/(LN(2)/25)*Calculateur!AQ163*Calculateur!AS163*VLOOKUP('Données projet'!$B$10,Paramètres!$A$1:$I$89,3,0)*0.475*44/12</f>
        <v>0.49407460093395988</v>
      </c>
      <c r="AW163" s="21">
        <f>EXP(-LN(2)/2)*AW162+(1-EXP(-LN(2)/2))/(LN(2)/2)*AQ163*AT163*VLOOKUP('Données projet'!$B$10,Paramètres!$A$1:$I$89,3,0)*0.475*44/12</f>
        <v>2.8053033360150864E-19</v>
      </c>
      <c r="AX163" s="21">
        <f t="shared" si="166"/>
        <v>0.89518013066338742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5.6843418860808015E-13</v>
      </c>
      <c r="BE163" s="13">
        <f>BD163*VLOOKUP('Données projet'!$B$11,Paramètres!$A$1:$I$89,3,0)*VLOOKUP('Données projet'!$B$11,Paramètres!$A$1:$I$89,5,0)</f>
        <v>3.39923644787632E-13</v>
      </c>
      <c r="BF163" s="13">
        <f t="shared" si="167"/>
        <v>4.4287447204943725E-12</v>
      </c>
      <c r="BG163" s="20">
        <f t="shared" si="168"/>
        <v>8.3054307361994904E-12</v>
      </c>
      <c r="BH163" s="59">
        <f t="shared" si="116"/>
        <v>293.33333333334161</v>
      </c>
      <c r="BI163" s="59">
        <f ca="1">AVERAGE(OFFSET($BH$3,0,0,'Données projet'!$E$11+1,1))-AVERAGE(OFFSET($H$3,0,0,'Données projet'!$E$11+1,1))</f>
        <v>381.78368385345919</v>
      </c>
      <c r="BJ163" s="59">
        <f t="shared" si="146"/>
        <v>257.35575295655639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0.41485749088388091</v>
      </c>
      <c r="BR163" s="21">
        <f>EXP(-LN(2)/2)*BR162+(1-EXP(-LN(2)/2))/(LN(2)/2)*BL163*BO163*VLOOKUP('Données projet'!$B$11,Paramètres!$A$1:$I$89,3,0)*0.475*44/12</f>
        <v>4.9034014641870448E-16</v>
      </c>
      <c r="BS163" s="22">
        <f t="shared" si="169"/>
        <v>0.41485749088388141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1.1368683772161603E-13</v>
      </c>
      <c r="BZ163" s="13">
        <f>BY163*VLOOKUP('Données projet'!$B$12,Paramètres!$A$1:$I$89,3,0)*VLOOKUP('Données projet'!$B$12,Paramètres!$A$1:$I$89,5,0)</f>
        <v>5.4683368944097308E-14</v>
      </c>
      <c r="CA163" s="13">
        <f t="shared" si="170"/>
        <v>8.8129432816788268E-13</v>
      </c>
      <c r="CB163" s="20">
        <f t="shared" si="171"/>
        <v>1.6301611558033651E-12</v>
      </c>
      <c r="CC163" s="59">
        <f t="shared" si="119"/>
        <v>293.33333333333496</v>
      </c>
      <c r="CD163" s="59">
        <f ca="1">AVERAGE(OFFSET($CC$3,0,0,'Données projet'!$E$12+1,1))-AVERAGE(OFFSET($H$3,0,0,'Données projet'!$E$12+1,1))</f>
        <v>415.97633163853953</v>
      </c>
      <c r="CE163" s="59">
        <f t="shared" si="148"/>
        <v>356.23532720804423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0.20588060462838245</v>
      </c>
      <c r="CL163" s="21">
        <f>EXP(-LN(2)/25)*CL162+(1-EXP(-LN(2)/25))/(LN(2)/25)*Calculateur!CG163*Calculateur!CI163*VLOOKUP('Données projet'!$B$12,Paramètres!$A$1:$I$89,3,0)*0.475*44/12</f>
        <v>0.40914587439219058</v>
      </c>
      <c r="CM163" s="21">
        <f>EXP(-LN(2)/2)*CM162+(1-EXP(-LN(2)/2))/(LN(2)/2)*CG163*CJ163*VLOOKUP('Données projet'!$B$12,Paramètres!$A$1:$I$89,3,0)*0.475*44/12</f>
        <v>8.5859525021773457E-19</v>
      </c>
      <c r="CN163" s="22">
        <f t="shared" si="172"/>
        <v>0.61502647902057306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-4.5474735088646412E-13</v>
      </c>
      <c r="O164" s="13">
        <f>N164*VLOOKUP('Données projet'!$B$9,Paramètres!$A$1:$I$89,3,0)*VLOOKUP('Données projet'!$B$9,Paramètres!$A$1:$I$89,5,0)</f>
        <v>-2.5420376914553347E-13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492.3498626914548</v>
      </c>
      <c r="T164" s="59">
        <f t="shared" si="142"/>
        <v>635.90304180030307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0.40822103802397169</v>
      </c>
      <c r="AA164" s="21">
        <f>EXP(-LN(2)/25)*AA163+(1-EXP(-LN(2)/25))/(LN(2)/25)*Calculateur!V164*Calculateur!X164*VLOOKUP('Données projet'!$B$9,Paramètres!$A$1:$I$89,3,0)*0.475*44/12</f>
        <v>0.64016779812383817</v>
      </c>
      <c r="AB164" s="21">
        <f>EXP(-LN(2)/2)*AB163+(1-EXP(-LN(2)/2))/(LN(2)/2)*V164*Y164*VLOOKUP('Données projet'!$B$9,Paramètres!$A$1:$I$89,3,0)*0.475*44/12</f>
        <v>2.2423780001286965E-19</v>
      </c>
      <c r="AC164" s="22">
        <f t="shared" si="163"/>
        <v>1.0483888361478098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175.05987582828078</v>
      </c>
      <c r="AO164" s="59">
        <f t="shared" si="144"/>
        <v>268.54782308462387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0.39324009494164941</v>
      </c>
      <c r="AV164" s="21">
        <f>EXP(-LN(2)/25)*AV163+(1-EXP(-LN(2)/25))/(LN(2)/25)*Calculateur!AQ164*Calculateur!AS164*VLOOKUP('Données projet'!$B$10,Paramètres!$A$1:$I$89,3,0)*0.475*44/12</f>
        <v>0.48056410498916668</v>
      </c>
      <c r="AW164" s="21">
        <f>EXP(-LN(2)/2)*AW163+(1-EXP(-LN(2)/2))/(LN(2)/2)*AQ164*AT164*VLOOKUP('Données projet'!$B$10,Paramètres!$A$1:$I$89,3,0)*0.475*44/12</f>
        <v>1.9836490121815115E-19</v>
      </c>
      <c r="AX164" s="21">
        <f t="shared" si="166"/>
        <v>0.87380419993081615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5.6843418860808015E-13</v>
      </c>
      <c r="BE164" s="13">
        <f>BD164*VLOOKUP('Données projet'!$B$11,Paramètres!$A$1:$I$89,3,0)*VLOOKUP('Données projet'!$B$11,Paramètres!$A$1:$I$89,5,0)</f>
        <v>3.39923644787632E-13</v>
      </c>
      <c r="BF164" s="13">
        <f t="shared" si="167"/>
        <v>4.4287447204943725E-12</v>
      </c>
      <c r="BG164" s="20">
        <f t="shared" si="168"/>
        <v>8.3054307361994904E-12</v>
      </c>
      <c r="BH164" s="59">
        <f t="shared" si="116"/>
        <v>293.33333333334161</v>
      </c>
      <c r="BI164" s="59">
        <f ca="1">AVERAGE(OFFSET($BH$3,0,0,'Données projet'!$E$11+1,1))-AVERAGE(OFFSET($H$3,0,0,'Données projet'!$E$11+1,1))</f>
        <v>381.78368385345919</v>
      </c>
      <c r="BJ164" s="59">
        <f t="shared" si="146"/>
        <v>257.35575295655639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0.40351319097925392</v>
      </c>
      <c r="BR164" s="21">
        <f>EXP(-LN(2)/2)*BR163+(1-EXP(-LN(2)/2))/(LN(2)/2)*BL164*BO164*VLOOKUP('Données projet'!$B$11,Paramètres!$A$1:$I$89,3,0)*0.475*44/12</f>
        <v>3.4672284262067055E-16</v>
      </c>
      <c r="BS164" s="22">
        <f t="shared" si="169"/>
        <v>0.40351319097925425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1.1368683772161603E-13</v>
      </c>
      <c r="BZ164" s="13">
        <f>BY164*VLOOKUP('Données projet'!$B$12,Paramètres!$A$1:$I$89,3,0)*VLOOKUP('Données projet'!$B$12,Paramètres!$A$1:$I$89,5,0)</f>
        <v>5.4683368944097308E-14</v>
      </c>
      <c r="CA164" s="13">
        <f t="shared" si="170"/>
        <v>8.8129432816788268E-13</v>
      </c>
      <c r="CB164" s="20">
        <f t="shared" si="171"/>
        <v>1.6301611558033651E-12</v>
      </c>
      <c r="CC164" s="59">
        <f t="shared" si="119"/>
        <v>293.33333333333496</v>
      </c>
      <c r="CD164" s="59">
        <f ca="1">AVERAGE(OFFSET($CC$3,0,0,'Données projet'!$E$12+1,1))-AVERAGE(OFFSET($H$3,0,0,'Données projet'!$E$12+1,1))</f>
        <v>415.97633163853953</v>
      </c>
      <c r="CE164" s="59">
        <f t="shared" si="148"/>
        <v>356.23532720804423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0.20184341154638921</v>
      </c>
      <c r="CL164" s="21">
        <f>EXP(-LN(2)/25)*CL163+(1-EXP(-LN(2)/25))/(LN(2)/25)*Calculateur!CG164*Calculateur!CI164*VLOOKUP('Données projet'!$B$12,Paramètres!$A$1:$I$89,3,0)*0.475*44/12</f>
        <v>0.39795775894088969</v>
      </c>
      <c r="CM164" s="21">
        <f>EXP(-LN(2)/2)*CM163+(1-EXP(-LN(2)/2))/(LN(2)/2)*CG164*CJ164*VLOOKUP('Données projet'!$B$12,Paramètres!$A$1:$I$89,3,0)*0.475*44/12</f>
        <v>6.0711852372352075E-19</v>
      </c>
      <c r="CN164" s="22">
        <f t="shared" si="172"/>
        <v>0.59980117048727888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-2.5420376914553347E-13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492.3498626914548</v>
      </c>
      <c r="T165" s="59">
        <f t="shared" si="142"/>
        <v>635.90304180030307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0.40021607245856905</v>
      </c>
      <c r="AA165" s="21">
        <f>EXP(-LN(2)/25)*AA164+(1-EXP(-LN(2)/25))/(LN(2)/25)*Calculateur!V165*Calculateur!X165*VLOOKUP('Données projet'!$B$9,Paramètres!$A$1:$I$89,3,0)*0.475*44/12</f>
        <v>0.6226623760191804</v>
      </c>
      <c r="AB165" s="21">
        <f>EXP(-LN(2)/2)*AB164+(1-EXP(-LN(2)/2))/(LN(2)/2)*V165*Y165*VLOOKUP('Données projet'!$B$9,Paramètres!$A$1:$I$89,3,0)*0.475*44/12</f>
        <v>1.5856006898745302E-19</v>
      </c>
      <c r="AC165" s="22">
        <f t="shared" si="163"/>
        <v>1.0228784484777496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175.05987582828078</v>
      </c>
      <c r="AO165" s="59">
        <f t="shared" si="144"/>
        <v>268.54782308462387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0.38552889653261807</v>
      </c>
      <c r="AV165" s="21">
        <f>EXP(-LN(2)/25)*AV164+(1-EXP(-LN(2)/25))/(LN(2)/25)*Calculateur!AQ165*Calculateur!AS165*VLOOKUP('Données projet'!$B$10,Paramètres!$A$1:$I$89,3,0)*0.475*44/12</f>
        <v>0.46742305426646996</v>
      </c>
      <c r="AW165" s="21">
        <f>EXP(-LN(2)/2)*AW164+(1-EXP(-LN(2)/2))/(LN(2)/2)*AQ165*AT165*VLOOKUP('Données projet'!$B$10,Paramètres!$A$1:$I$89,3,0)*0.475*44/12</f>
        <v>1.4026516680075432E-19</v>
      </c>
      <c r="AX165" s="21">
        <f t="shared" si="166"/>
        <v>0.85295195079908803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5.6843418860808015E-13</v>
      </c>
      <c r="BE165" s="13">
        <f>BD165*VLOOKUP('Données projet'!$B$11,Paramètres!$A$1:$I$89,3,0)*VLOOKUP('Données projet'!$B$11,Paramètres!$A$1:$I$89,5,0)</f>
        <v>3.39923644787632E-13</v>
      </c>
      <c r="BF165" s="13">
        <f t="shared" si="167"/>
        <v>4.4287447204943725E-12</v>
      </c>
      <c r="BG165" s="20">
        <f t="shared" si="168"/>
        <v>8.3054307361994904E-12</v>
      </c>
      <c r="BH165" s="59">
        <f t="shared" si="116"/>
        <v>293.33333333334161</v>
      </c>
      <c r="BI165" s="59">
        <f ca="1">AVERAGE(OFFSET($BH$3,0,0,'Données projet'!$E$11+1,1))-AVERAGE(OFFSET($H$3,0,0,'Données projet'!$E$11+1,1))</f>
        <v>381.78368385345919</v>
      </c>
      <c r="BJ165" s="59">
        <f t="shared" si="146"/>
        <v>257.35575295655639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0.39247910155208976</v>
      </c>
      <c r="BR165" s="21">
        <f>EXP(-LN(2)/2)*BR164+(1-EXP(-LN(2)/2))/(LN(2)/2)*BL165*BO165*VLOOKUP('Données projet'!$B$11,Paramètres!$A$1:$I$89,3,0)*0.475*44/12</f>
        <v>2.4517007320935224E-16</v>
      </c>
      <c r="BS165" s="22">
        <f t="shared" si="169"/>
        <v>0.39247910155208998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1.1368683772161603E-13</v>
      </c>
      <c r="BZ165" s="13">
        <f>BY165*VLOOKUP('Données projet'!$B$12,Paramètres!$A$1:$I$89,3,0)*VLOOKUP('Données projet'!$B$12,Paramètres!$A$1:$I$89,5,0)</f>
        <v>5.4683368944097308E-14</v>
      </c>
      <c r="CA165" s="13">
        <f t="shared" si="170"/>
        <v>8.8129432816788268E-13</v>
      </c>
      <c r="CB165" s="20">
        <f t="shared" si="171"/>
        <v>1.6301611558033651E-12</v>
      </c>
      <c r="CC165" s="59">
        <f t="shared" si="119"/>
        <v>293.33333333333496</v>
      </c>
      <c r="CD165" s="59">
        <f ca="1">AVERAGE(OFFSET($CC$3,0,0,'Données projet'!$E$12+1,1))-AVERAGE(OFFSET($H$3,0,0,'Données projet'!$E$12+1,1))</f>
        <v>415.97633163853953</v>
      </c>
      <c r="CE165" s="59">
        <f t="shared" si="148"/>
        <v>356.23532720804423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0.19788538535828923</v>
      </c>
      <c r="CL165" s="21">
        <f>EXP(-LN(2)/25)*CL164+(1-EXP(-LN(2)/25))/(LN(2)/25)*Calculateur!CG165*Calculateur!CI165*VLOOKUP('Données projet'!$B$12,Paramètres!$A$1:$I$89,3,0)*0.475*44/12</f>
        <v>0.38707558309496209</v>
      </c>
      <c r="CM165" s="21">
        <f>EXP(-LN(2)/2)*CM164+(1-EXP(-LN(2)/2))/(LN(2)/2)*CG165*CJ165*VLOOKUP('Données projet'!$B$12,Paramètres!$A$1:$I$89,3,0)*0.475*44/12</f>
        <v>4.2929762510886738E-19</v>
      </c>
      <c r="CN165" s="22">
        <f t="shared" si="172"/>
        <v>0.5849609684532513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-2.5420376914553347E-13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492.3498626914548</v>
      </c>
      <c r="T166" s="59">
        <f t="shared" si="142"/>
        <v>635.90304180030307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0.39236807938535706</v>
      </c>
      <c r="AA166" s="21">
        <f>EXP(-LN(2)/25)*AA165+(1-EXP(-LN(2)/25))/(LN(2)/25)*Calculateur!V166*Calculateur!X166*VLOOKUP('Données projet'!$B$9,Paramètres!$A$1:$I$89,3,0)*0.475*44/12</f>
        <v>0.60563564060254471</v>
      </c>
      <c r="AB166" s="21">
        <f>EXP(-LN(2)/2)*AB165+(1-EXP(-LN(2)/2))/(LN(2)/2)*V166*Y166*VLOOKUP('Données projet'!$B$9,Paramètres!$A$1:$I$89,3,0)*0.475*44/12</f>
        <v>1.1211890000643482E-19</v>
      </c>
      <c r="AC166" s="22">
        <f t="shared" si="163"/>
        <v>0.99800371998790172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175.05987582828078</v>
      </c>
      <c r="AO166" s="59">
        <f t="shared" si="144"/>
        <v>268.54782308462387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0.37796891002102123</v>
      </c>
      <c r="AV166" s="21">
        <f>EXP(-LN(2)/25)*AV165+(1-EXP(-LN(2)/25))/(LN(2)/25)*Calculateur!AQ166*Calculateur!AS166*VLOOKUP('Données projet'!$B$10,Paramètres!$A$1:$I$89,3,0)*0.475*44/12</f>
        <v>0.45464134626684322</v>
      </c>
      <c r="AW166" s="21">
        <f>EXP(-LN(2)/2)*AW165+(1-EXP(-LN(2)/2))/(LN(2)/2)*AQ166*AT166*VLOOKUP('Données projet'!$B$10,Paramètres!$A$1:$I$89,3,0)*0.475*44/12</f>
        <v>9.9182450609075576E-20</v>
      </c>
      <c r="AX166" s="21">
        <f t="shared" si="166"/>
        <v>0.83261025628786445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5.6843418860808015E-13</v>
      </c>
      <c r="BE166" s="13">
        <f>BD166*VLOOKUP('Données projet'!$B$11,Paramètres!$A$1:$I$89,3,0)*VLOOKUP('Données projet'!$B$11,Paramètres!$A$1:$I$89,5,0)</f>
        <v>3.39923644787632E-13</v>
      </c>
      <c r="BF166" s="13">
        <f t="shared" si="167"/>
        <v>4.4287447204943725E-12</v>
      </c>
      <c r="BG166" s="20">
        <f t="shared" si="168"/>
        <v>8.3054307361994904E-12</v>
      </c>
      <c r="BH166" s="59">
        <f t="shared" si="116"/>
        <v>293.33333333334161</v>
      </c>
      <c r="BI166" s="59">
        <f ca="1">AVERAGE(OFFSET($BH$3,0,0,'Données projet'!$E$11+1,1))-AVERAGE(OFFSET($H$3,0,0,'Données projet'!$E$11+1,1))</f>
        <v>381.78368385345919</v>
      </c>
      <c r="BJ166" s="59">
        <f t="shared" si="146"/>
        <v>257.35575295655639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0.38174673988056895</v>
      </c>
      <c r="BR166" s="21">
        <f>EXP(-LN(2)/2)*BR165+(1-EXP(-LN(2)/2))/(LN(2)/2)*BL166*BO166*VLOOKUP('Données projet'!$B$11,Paramètres!$A$1:$I$89,3,0)*0.475*44/12</f>
        <v>1.7336142131033527E-16</v>
      </c>
      <c r="BS166" s="22">
        <f t="shared" si="169"/>
        <v>0.38174673988056912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1.1368683772161603E-13</v>
      </c>
      <c r="BZ166" s="13">
        <f>BY166*VLOOKUP('Données projet'!$B$12,Paramètres!$A$1:$I$89,3,0)*VLOOKUP('Données projet'!$B$12,Paramètres!$A$1:$I$89,5,0)</f>
        <v>5.4683368944097308E-14</v>
      </c>
      <c r="CA166" s="13">
        <f t="shared" si="170"/>
        <v>8.8129432816788268E-13</v>
      </c>
      <c r="CB166" s="20">
        <f t="shared" si="171"/>
        <v>1.6301611558033651E-12</v>
      </c>
      <c r="CC166" s="59">
        <f t="shared" si="119"/>
        <v>293.33333333333496</v>
      </c>
      <c r="CD166" s="59">
        <f ca="1">AVERAGE(OFFSET($CC$3,0,0,'Données projet'!$E$12+1,1))-AVERAGE(OFFSET($H$3,0,0,'Données projet'!$E$12+1,1))</f>
        <v>415.97633163853953</v>
      </c>
      <c r="CE166" s="59">
        <f t="shared" si="148"/>
        <v>356.23532720804423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0.1940049736495803</v>
      </c>
      <c r="CL166" s="21">
        <f>EXP(-LN(2)/25)*CL165+(1-EXP(-LN(2)/25))/(LN(2)/25)*Calculateur!CG166*Calculateur!CI166*VLOOKUP('Données projet'!$B$12,Paramètres!$A$1:$I$89,3,0)*0.475*44/12</f>
        <v>0.37649098091981009</v>
      </c>
      <c r="CM166" s="21">
        <f>EXP(-LN(2)/2)*CM165+(1-EXP(-LN(2)/2))/(LN(2)/2)*CG166*CJ166*VLOOKUP('Données projet'!$B$12,Paramètres!$A$1:$I$89,3,0)*0.475*44/12</f>
        <v>3.0355926186176042E-19</v>
      </c>
      <c r="CN166" s="22">
        <f t="shared" si="172"/>
        <v>0.5704959545693904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-2.5420376914553347E-13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492.3498626914548</v>
      </c>
      <c r="T167" s="59">
        <f t="shared" si="142"/>
        <v>635.90304180030307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0.38467398066950764</v>
      </c>
      <c r="AA167" s="21">
        <f>EXP(-LN(2)/25)*AA166+(1-EXP(-LN(2)/25))/(LN(2)/25)*Calculateur!V167*Calculateur!X167*VLOOKUP('Données projet'!$B$9,Paramètres!$A$1:$I$89,3,0)*0.475*44/12</f>
        <v>0.58907450216127399</v>
      </c>
      <c r="AB167" s="21">
        <f>EXP(-LN(2)/2)*AB166+(1-EXP(-LN(2)/2))/(LN(2)/2)*V167*Y167*VLOOKUP('Données projet'!$B$9,Paramètres!$A$1:$I$89,3,0)*0.475*44/12</f>
        <v>7.9280034493726511E-20</v>
      </c>
      <c r="AC167" s="22">
        <f t="shared" si="163"/>
        <v>0.97374848283078164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175.05987582828078</v>
      </c>
      <c r="AO167" s="59">
        <f t="shared" si="144"/>
        <v>268.54782308462387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0.37055717023378038</v>
      </c>
      <c r="AV167" s="21">
        <f>EXP(-LN(2)/25)*AV166+(1-EXP(-LN(2)/25))/(LN(2)/25)*Calculateur!AQ167*Calculateur!AS167*VLOOKUP('Données projet'!$B$10,Paramètres!$A$1:$I$89,3,0)*0.475*44/12</f>
        <v>0.44220915474462708</v>
      </c>
      <c r="AW167" s="21">
        <f>EXP(-LN(2)/2)*AW166+(1-EXP(-LN(2)/2))/(LN(2)/2)*AQ167*AT167*VLOOKUP('Données projet'!$B$10,Paramètres!$A$1:$I$89,3,0)*0.475*44/12</f>
        <v>7.013258340037716E-20</v>
      </c>
      <c r="AX167" s="21">
        <f t="shared" si="166"/>
        <v>0.8127663249784074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5.6843418860808015E-13</v>
      </c>
      <c r="BE167" s="13">
        <f>BD167*VLOOKUP('Données projet'!$B$11,Paramètres!$A$1:$I$89,3,0)*VLOOKUP('Données projet'!$B$11,Paramètres!$A$1:$I$89,5,0)</f>
        <v>3.39923644787632E-13</v>
      </c>
      <c r="BF167" s="13">
        <f t="shared" si="167"/>
        <v>4.4287447204943725E-12</v>
      </c>
      <c r="BG167" s="20">
        <f t="shared" si="168"/>
        <v>8.3054307361994904E-12</v>
      </c>
      <c r="BH167" s="59">
        <f t="shared" si="116"/>
        <v>293.33333333334161</v>
      </c>
      <c r="BI167" s="59">
        <f ca="1">AVERAGE(OFFSET($BH$3,0,0,'Données projet'!$E$11+1,1))-AVERAGE(OFFSET($H$3,0,0,'Données projet'!$E$11+1,1))</f>
        <v>381.78368385345919</v>
      </c>
      <c r="BJ167" s="59">
        <f t="shared" si="146"/>
        <v>257.35575295655639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0.37130785520334625</v>
      </c>
      <c r="BR167" s="21">
        <f>EXP(-LN(2)/2)*BR166+(1-EXP(-LN(2)/2))/(LN(2)/2)*BL167*BO167*VLOOKUP('Données projet'!$B$11,Paramètres!$A$1:$I$89,3,0)*0.475*44/12</f>
        <v>1.2258503660467612E-16</v>
      </c>
      <c r="BS167" s="22">
        <f t="shared" si="169"/>
        <v>0.37130785520334636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1.1368683772161603E-13</v>
      </c>
      <c r="BZ167" s="13">
        <f>BY167*VLOOKUP('Données projet'!$B$12,Paramètres!$A$1:$I$89,3,0)*VLOOKUP('Données projet'!$B$12,Paramètres!$A$1:$I$89,5,0)</f>
        <v>5.4683368944097308E-14</v>
      </c>
      <c r="CA167" s="13">
        <f t="shared" si="170"/>
        <v>8.8129432816788268E-13</v>
      </c>
      <c r="CB167" s="20">
        <f t="shared" si="171"/>
        <v>1.6301611558033651E-12</v>
      </c>
      <c r="CC167" s="59">
        <f t="shared" si="119"/>
        <v>293.33333333333496</v>
      </c>
      <c r="CD167" s="59">
        <f ca="1">AVERAGE(OFFSET($CC$3,0,0,'Données projet'!$E$12+1,1))-AVERAGE(OFFSET($H$3,0,0,'Données projet'!$E$12+1,1))</f>
        <v>415.97633163853953</v>
      </c>
      <c r="CE167" s="59">
        <f t="shared" si="148"/>
        <v>356.23532720804423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0.19020065444766171</v>
      </c>
      <c r="CL167" s="21">
        <f>EXP(-LN(2)/25)*CL166+(1-EXP(-LN(2)/25))/(LN(2)/25)*Calculateur!CG167*Calculateur!CI167*VLOOKUP('Données projet'!$B$12,Paramètres!$A$1:$I$89,3,0)*0.475*44/12</f>
        <v>0.36619581524775768</v>
      </c>
      <c r="CM167" s="21">
        <f>EXP(-LN(2)/2)*CM166+(1-EXP(-LN(2)/2))/(LN(2)/2)*CG167*CJ167*VLOOKUP('Données projet'!$B$12,Paramètres!$A$1:$I$89,3,0)*0.475*44/12</f>
        <v>2.1464881255443372E-19</v>
      </c>
      <c r="CN167" s="22">
        <f t="shared" si="172"/>
        <v>0.55639646969541934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-2.5420376914553347E-13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492.3498626914548</v>
      </c>
      <c r="T168" s="59">
        <f t="shared" si="142"/>
        <v>635.90304180030307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0.37713075853653921</v>
      </c>
      <c r="AA168" s="21">
        <f>EXP(-LN(2)/25)*AA167+(1-EXP(-LN(2)/25))/(LN(2)/25)*Calculateur!V168*Calculateur!X168*VLOOKUP('Données projet'!$B$9,Paramètres!$A$1:$I$89,3,0)*0.475*44/12</f>
        <v>0.57296622892159221</v>
      </c>
      <c r="AB168" s="21">
        <f>EXP(-LN(2)/2)*AB167+(1-EXP(-LN(2)/2))/(LN(2)/2)*V168*Y168*VLOOKUP('Données projet'!$B$9,Paramètres!$A$1:$I$89,3,0)*0.475*44/12</f>
        <v>5.6059450003217412E-20</v>
      </c>
      <c r="AC168" s="22">
        <f t="shared" si="163"/>
        <v>0.95009698745813143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175.05987582828078</v>
      </c>
      <c r="AO168" s="59">
        <f t="shared" si="144"/>
        <v>268.54782308462387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0.36329077014305239</v>
      </c>
      <c r="AV168" s="21">
        <f>EXP(-LN(2)/25)*AV167+(1-EXP(-LN(2)/25))/(LN(2)/25)*Calculateur!AQ168*Calculateur!AS168*VLOOKUP('Données projet'!$B$10,Paramètres!$A$1:$I$89,3,0)*0.475*44/12</f>
        <v>0.4301169221533665</v>
      </c>
      <c r="AW168" s="21">
        <f>EXP(-LN(2)/2)*AW167+(1-EXP(-LN(2)/2))/(LN(2)/2)*AQ168*AT168*VLOOKUP('Données projet'!$B$10,Paramètres!$A$1:$I$89,3,0)*0.475*44/12</f>
        <v>4.9591225304537788E-20</v>
      </c>
      <c r="AX168" s="21">
        <f t="shared" si="166"/>
        <v>0.79340769229641883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5.6843418860808015E-13</v>
      </c>
      <c r="BE168" s="13">
        <f>BD168*VLOOKUP('Données projet'!$B$11,Paramètres!$A$1:$I$89,3,0)*VLOOKUP('Données projet'!$B$11,Paramètres!$A$1:$I$89,5,0)</f>
        <v>3.39923644787632E-13</v>
      </c>
      <c r="BF168" s="13">
        <f t="shared" si="167"/>
        <v>4.4287447204943725E-12</v>
      </c>
      <c r="BG168" s="20">
        <f t="shared" si="168"/>
        <v>8.3054307361994904E-12</v>
      </c>
      <c r="BH168" s="59">
        <f t="shared" si="116"/>
        <v>293.33333333334161</v>
      </c>
      <c r="BI168" s="59">
        <f ca="1">AVERAGE(OFFSET($BH$3,0,0,'Données projet'!$E$11+1,1))-AVERAGE(OFFSET($H$3,0,0,'Données projet'!$E$11+1,1))</f>
        <v>381.78368385345919</v>
      </c>
      <c r="BJ168" s="59">
        <f t="shared" si="146"/>
        <v>257.35575295655639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0.3611544223765793</v>
      </c>
      <c r="BR168" s="21">
        <f>EXP(-LN(2)/2)*BR167+(1-EXP(-LN(2)/2))/(LN(2)/2)*BL168*BO168*VLOOKUP('Données projet'!$B$11,Paramètres!$A$1:$I$89,3,0)*0.475*44/12</f>
        <v>8.6680710655167637E-17</v>
      </c>
      <c r="BS168" s="22">
        <f t="shared" si="169"/>
        <v>0.36115442237657941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1.1368683772161603E-13</v>
      </c>
      <c r="BZ168" s="13">
        <f>BY168*VLOOKUP('Données projet'!$B$12,Paramètres!$A$1:$I$89,3,0)*VLOOKUP('Données projet'!$B$12,Paramètres!$A$1:$I$89,5,0)</f>
        <v>5.4683368944097308E-14</v>
      </c>
      <c r="CA168" s="13">
        <f t="shared" si="170"/>
        <v>8.8129432816788268E-13</v>
      </c>
      <c r="CB168" s="20">
        <f t="shared" si="171"/>
        <v>1.6301611558033651E-12</v>
      </c>
      <c r="CC168" s="59">
        <f t="shared" si="119"/>
        <v>293.33333333333496</v>
      </c>
      <c r="CD168" s="59">
        <f ca="1">AVERAGE(OFFSET($CC$3,0,0,'Données projet'!$E$12+1,1))-AVERAGE(OFFSET($H$3,0,0,'Données projet'!$E$12+1,1))</f>
        <v>415.97633163853953</v>
      </c>
      <c r="CE168" s="59">
        <f t="shared" si="148"/>
        <v>356.23532720804423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0.18647093562488715</v>
      </c>
      <c r="CL168" s="21">
        <f>EXP(-LN(2)/25)*CL167+(1-EXP(-LN(2)/25))/(LN(2)/25)*Calculateur!CG168*Calculateur!CI168*VLOOKUP('Données projet'!$B$12,Paramètres!$A$1:$I$89,3,0)*0.475*44/12</f>
        <v>0.35618217142240677</v>
      </c>
      <c r="CM168" s="21">
        <f>EXP(-LN(2)/2)*CM167+(1-EXP(-LN(2)/2))/(LN(2)/2)*CG168*CJ168*VLOOKUP('Données projet'!$B$12,Paramètres!$A$1:$I$89,3,0)*0.475*44/12</f>
        <v>1.5177963093088024E-19</v>
      </c>
      <c r="CN168" s="22">
        <f t="shared" si="172"/>
        <v>0.54265310704729397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-2.5420376914553347E-13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492.3498626914548</v>
      </c>
      <c r="T169" s="59">
        <f t="shared" si="142"/>
        <v>635.90304180030307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0.3697354543886871</v>
      </c>
      <c r="AA169" s="21">
        <f>EXP(-LN(2)/25)*AA168+(1-EXP(-LN(2)/25))/(LN(2)/25)*Calculateur!V169*Calculateur!X169*VLOOKUP('Données projet'!$B$9,Paramètres!$A$1:$I$89,3,0)*0.475*44/12</f>
        <v>0.55729843726074679</v>
      </c>
      <c r="AB169" s="21">
        <f>EXP(-LN(2)/2)*AB168+(1-EXP(-LN(2)/2))/(LN(2)/2)*V169*Y169*VLOOKUP('Données projet'!$B$9,Paramètres!$A$1:$I$89,3,0)*0.475*44/12</f>
        <v>3.9640017246863256E-20</v>
      </c>
      <c r="AC169" s="22">
        <f t="shared" si="163"/>
        <v>0.92703389164943384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175.05987582828078</v>
      </c>
      <c r="AO169" s="59">
        <f t="shared" si="144"/>
        <v>268.54782308462387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0.35616685972603718</v>
      </c>
      <c r="AV169" s="21">
        <f>EXP(-LN(2)/25)*AV168+(1-EXP(-LN(2)/25))/(LN(2)/25)*Calculateur!AQ169*Calculateur!AS169*VLOOKUP('Données projet'!$B$10,Paramètres!$A$1:$I$89,3,0)*0.475*44/12</f>
        <v>0.4183553522982168</v>
      </c>
      <c r="AW169" s="21">
        <f>EXP(-LN(2)/2)*AW168+(1-EXP(-LN(2)/2))/(LN(2)/2)*AQ169*AT169*VLOOKUP('Données projet'!$B$10,Paramètres!$A$1:$I$89,3,0)*0.475*44/12</f>
        <v>3.506629170018858E-20</v>
      </c>
      <c r="AX169" s="21">
        <f t="shared" si="166"/>
        <v>0.77452221202425398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5.6843418860808015E-13</v>
      </c>
      <c r="BE169" s="13">
        <f>BD169*VLOOKUP('Données projet'!$B$11,Paramètres!$A$1:$I$89,3,0)*VLOOKUP('Données projet'!$B$11,Paramètres!$A$1:$I$89,5,0)</f>
        <v>3.39923644787632E-13</v>
      </c>
      <c r="BF169" s="13">
        <f t="shared" si="167"/>
        <v>4.4287447204943725E-12</v>
      </c>
      <c r="BG169" s="20">
        <f t="shared" si="168"/>
        <v>8.3054307361994904E-12</v>
      </c>
      <c r="BH169" s="59">
        <f t="shared" si="116"/>
        <v>293.33333333334161</v>
      </c>
      <c r="BI169" s="59">
        <f ca="1">AVERAGE(OFFSET($BH$3,0,0,'Données projet'!$E$11+1,1))-AVERAGE(OFFSET($H$3,0,0,'Données projet'!$E$11+1,1))</f>
        <v>381.78368385345919</v>
      </c>
      <c r="BJ169" s="59">
        <f t="shared" si="146"/>
        <v>257.35575295655639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0.35127863570440609</v>
      </c>
      <c r="BR169" s="21">
        <f>EXP(-LN(2)/2)*BR168+(1-EXP(-LN(2)/2))/(LN(2)/2)*BL169*BO169*VLOOKUP('Données projet'!$B$11,Paramètres!$A$1:$I$89,3,0)*0.475*44/12</f>
        <v>6.129251830233806E-17</v>
      </c>
      <c r="BS169" s="22">
        <f t="shared" si="169"/>
        <v>0.35127863570440615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1.1368683772161603E-13</v>
      </c>
      <c r="BZ169" s="13">
        <f>BY169*VLOOKUP('Données projet'!$B$12,Paramètres!$A$1:$I$89,3,0)*VLOOKUP('Données projet'!$B$12,Paramètres!$A$1:$I$89,5,0)</f>
        <v>5.4683368944097308E-14</v>
      </c>
      <c r="CA169" s="13">
        <f t="shared" si="170"/>
        <v>8.8129432816788268E-13</v>
      </c>
      <c r="CB169" s="20">
        <f t="shared" si="171"/>
        <v>1.6301611558033651E-12</v>
      </c>
      <c r="CC169" s="59">
        <f t="shared" si="119"/>
        <v>293.33333333333496</v>
      </c>
      <c r="CD169" s="59">
        <f ca="1">AVERAGE(OFFSET($CC$3,0,0,'Données projet'!$E$12+1,1))-AVERAGE(OFFSET($H$3,0,0,'Données projet'!$E$12+1,1))</f>
        <v>415.97633163853953</v>
      </c>
      <c r="CE169" s="59">
        <f t="shared" si="148"/>
        <v>356.23532720804423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0.18281435431332335</v>
      </c>
      <c r="CL169" s="21">
        <f>EXP(-LN(2)/25)*CL168+(1-EXP(-LN(2)/25))/(LN(2)/25)*Calculateur!CG169*Calculateur!CI169*VLOOKUP('Données projet'!$B$12,Paramètres!$A$1:$I$89,3,0)*0.475*44/12</f>
        <v>0.3464423512140547</v>
      </c>
      <c r="CM169" s="21">
        <f>EXP(-LN(2)/2)*CM168+(1-EXP(-LN(2)/2))/(LN(2)/2)*CG169*CJ169*VLOOKUP('Données projet'!$B$12,Paramètres!$A$1:$I$89,3,0)*0.475*44/12</f>
        <v>1.0732440627721688E-19</v>
      </c>
      <c r="CN169" s="22">
        <f t="shared" si="172"/>
        <v>0.52925670552737802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-2.5420376914553347E-13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492.3498626914548</v>
      </c>
      <c r="T170" s="59">
        <f t="shared" si="142"/>
        <v>635.90304180030307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0.36248516764448424</v>
      </c>
      <c r="AA170" s="21">
        <f>EXP(-LN(2)/25)*AA169+(1-EXP(-LN(2)/25))/(LN(2)/25)*Calculateur!V170*Calculateur!X170*VLOOKUP('Données projet'!$B$9,Paramètres!$A$1:$I$89,3,0)*0.475*44/12</f>
        <v>0.54205908218680054</v>
      </c>
      <c r="AB170" s="21">
        <f>EXP(-LN(2)/2)*AB169+(1-EXP(-LN(2)/2))/(LN(2)/2)*V170*Y170*VLOOKUP('Données projet'!$B$9,Paramètres!$A$1:$I$89,3,0)*0.475*44/12</f>
        <v>2.8029725001608706E-20</v>
      </c>
      <c r="AC170" s="22">
        <f t="shared" si="163"/>
        <v>0.90454424983128479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175.05987582828078</v>
      </c>
      <c r="AO170" s="59">
        <f t="shared" si="144"/>
        <v>268.54782308462387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0.34918264484714334</v>
      </c>
      <c r="AV170" s="21">
        <f>EXP(-LN(2)/25)*AV169+(1-EXP(-LN(2)/25))/(LN(2)/25)*Calculateur!AQ170*Calculateur!AS170*VLOOKUP('Données projet'!$B$10,Paramètres!$A$1:$I$89,3,0)*0.475*44/12</f>
        <v>0.40691540318927022</v>
      </c>
      <c r="AW170" s="21">
        <f>EXP(-LN(2)/2)*AW169+(1-EXP(-LN(2)/2))/(LN(2)/2)*AQ170*AT170*VLOOKUP('Données projet'!$B$10,Paramètres!$A$1:$I$89,3,0)*0.475*44/12</f>
        <v>2.4795612652268894E-20</v>
      </c>
      <c r="AX170" s="21">
        <f t="shared" si="166"/>
        <v>0.75609804803641356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5.6843418860808015E-13</v>
      </c>
      <c r="BE170" s="13">
        <f>BD170*VLOOKUP('Données projet'!$B$11,Paramètres!$A$1:$I$89,3,0)*VLOOKUP('Données projet'!$B$11,Paramètres!$A$1:$I$89,5,0)</f>
        <v>3.39923644787632E-13</v>
      </c>
      <c r="BF170" s="13">
        <f t="shared" si="167"/>
        <v>4.4287447204943725E-12</v>
      </c>
      <c r="BG170" s="20">
        <f t="shared" si="168"/>
        <v>8.3054307361994904E-12</v>
      </c>
      <c r="BH170" s="59">
        <f t="shared" si="116"/>
        <v>293.33333333334161</v>
      </c>
      <c r="BI170" s="59">
        <f ca="1">AVERAGE(OFFSET($BH$3,0,0,'Données projet'!$E$11+1,1))-AVERAGE(OFFSET($H$3,0,0,'Données projet'!$E$11+1,1))</f>
        <v>381.78368385345919</v>
      </c>
      <c r="BJ170" s="59">
        <f t="shared" si="146"/>
        <v>257.35575295655639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0.34167290293812852</v>
      </c>
      <c r="BR170" s="21">
        <f>EXP(-LN(2)/2)*BR169+(1-EXP(-LN(2)/2))/(LN(2)/2)*BL170*BO170*VLOOKUP('Données projet'!$B$11,Paramètres!$A$1:$I$89,3,0)*0.475*44/12</f>
        <v>4.3340355327583818E-17</v>
      </c>
      <c r="BS170" s="22">
        <f t="shared" si="169"/>
        <v>0.34167290293812858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1.1368683772161603E-13</v>
      </c>
      <c r="BZ170" s="13">
        <f>BY170*VLOOKUP('Données projet'!$B$12,Paramètres!$A$1:$I$89,3,0)*VLOOKUP('Données projet'!$B$12,Paramètres!$A$1:$I$89,5,0)</f>
        <v>5.4683368944097308E-14</v>
      </c>
      <c r="CA170" s="13">
        <f t="shared" si="170"/>
        <v>8.8129432816788268E-13</v>
      </c>
      <c r="CB170" s="20">
        <f t="shared" si="171"/>
        <v>1.6301611558033651E-12</v>
      </c>
      <c r="CC170" s="59">
        <f t="shared" si="119"/>
        <v>293.33333333333496</v>
      </c>
      <c r="CD170" s="59">
        <f ca="1">AVERAGE(OFFSET($CC$3,0,0,'Données projet'!$E$12+1,1))-AVERAGE(OFFSET($H$3,0,0,'Données projet'!$E$12+1,1))</f>
        <v>415.97633163853953</v>
      </c>
      <c r="CE170" s="59">
        <f t="shared" si="148"/>
        <v>356.23532720804423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0.17922947633098493</v>
      </c>
      <c r="CL170" s="21">
        <f>EXP(-LN(2)/25)*CL169+(1-EXP(-LN(2)/25))/(LN(2)/25)*Calculateur!CG170*Calculateur!CI170*VLOOKUP('Données projet'!$B$12,Paramètres!$A$1:$I$89,3,0)*0.475*44/12</f>
        <v>0.33696886690149491</v>
      </c>
      <c r="CM170" s="21">
        <f>EXP(-LN(2)/2)*CM169+(1-EXP(-LN(2)/2))/(LN(2)/2)*CG170*CJ170*VLOOKUP('Données projet'!$B$12,Paramètres!$A$1:$I$89,3,0)*0.475*44/12</f>
        <v>7.588981546544013E-20</v>
      </c>
      <c r="CN170" s="22">
        <f t="shared" si="172"/>
        <v>0.51619834323247982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-2.5420376914553347E-13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492.3498626914548</v>
      </c>
      <c r="T171" s="59">
        <f t="shared" si="142"/>
        <v>635.90304180030307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0.35537705460109692</v>
      </c>
      <c r="AA171" s="21">
        <f>EXP(-LN(2)/25)*AA170+(1-EXP(-LN(2)/25))/(LN(2)/25)*Calculateur!V171*Calculateur!X171*VLOOKUP('Données projet'!$B$9,Paramètres!$A$1:$I$89,3,0)*0.475*44/12</f>
        <v>0.52723644807875425</v>
      </c>
      <c r="AB171" s="21">
        <f>EXP(-LN(2)/2)*AB170+(1-EXP(-LN(2)/2))/(LN(2)/2)*V171*Y171*VLOOKUP('Données projet'!$B$9,Paramètres!$A$1:$I$89,3,0)*0.475*44/12</f>
        <v>1.9820008623431628E-20</v>
      </c>
      <c r="AC171" s="22">
        <f t="shared" si="163"/>
        <v>0.88261350267985117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175.05987582828078</v>
      </c>
      <c r="AO171" s="59">
        <f t="shared" si="144"/>
        <v>268.54782308462387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0.34233538616207415</v>
      </c>
      <c r="AV171" s="21">
        <f>EXP(-LN(2)/25)*AV170+(1-EXP(-LN(2)/25))/(LN(2)/25)*Calculateur!AQ171*Calculateur!AS171*VLOOKUP('Données projet'!$B$10,Paramètres!$A$1:$I$89,3,0)*0.475*44/12</f>
        <v>0.39578828009030859</v>
      </c>
      <c r="AW171" s="21">
        <f>EXP(-LN(2)/2)*AW170+(1-EXP(-LN(2)/2))/(LN(2)/2)*AQ171*AT171*VLOOKUP('Données projet'!$B$10,Paramètres!$A$1:$I$89,3,0)*0.475*44/12</f>
        <v>1.753314585009429E-20</v>
      </c>
      <c r="AX171" s="21">
        <f t="shared" si="166"/>
        <v>0.73812366625238268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5.6843418860808015E-13</v>
      </c>
      <c r="BE171" s="13">
        <f>BD171*VLOOKUP('Données projet'!$B$11,Paramètres!$A$1:$I$89,3,0)*VLOOKUP('Données projet'!$B$11,Paramètres!$A$1:$I$89,5,0)</f>
        <v>3.39923644787632E-13</v>
      </c>
      <c r="BF171" s="13">
        <f t="shared" si="167"/>
        <v>4.4287447204943725E-12</v>
      </c>
      <c r="BG171" s="20">
        <f t="shared" si="168"/>
        <v>8.3054307361994904E-12</v>
      </c>
      <c r="BH171" s="59">
        <f t="shared" si="116"/>
        <v>293.33333333334161</v>
      </c>
      <c r="BI171" s="59">
        <f ca="1">AVERAGE(OFFSET($BH$3,0,0,'Données projet'!$E$11+1,1))-AVERAGE(OFFSET($H$3,0,0,'Données projet'!$E$11+1,1))</f>
        <v>381.78368385345919</v>
      </c>
      <c r="BJ171" s="59">
        <f t="shared" si="146"/>
        <v>257.35575295655639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0.33232983943948835</v>
      </c>
      <c r="BR171" s="21">
        <f>EXP(-LN(2)/2)*BR170+(1-EXP(-LN(2)/2))/(LN(2)/2)*BL171*BO171*VLOOKUP('Données projet'!$B$11,Paramètres!$A$1:$I$89,3,0)*0.475*44/12</f>
        <v>3.064625915116903E-17</v>
      </c>
      <c r="BS171" s="22">
        <f t="shared" si="169"/>
        <v>0.33232983943948841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1.1368683772161603E-13</v>
      </c>
      <c r="BZ171" s="13">
        <f>BY171*VLOOKUP('Données projet'!$B$12,Paramètres!$A$1:$I$89,3,0)*VLOOKUP('Données projet'!$B$12,Paramètres!$A$1:$I$89,5,0)</f>
        <v>5.4683368944097308E-14</v>
      </c>
      <c r="CA171" s="13">
        <f t="shared" si="170"/>
        <v>8.8129432816788268E-13</v>
      </c>
      <c r="CB171" s="20">
        <f t="shared" si="171"/>
        <v>1.6301611558033651E-12</v>
      </c>
      <c r="CC171" s="59">
        <f t="shared" si="119"/>
        <v>293.33333333333496</v>
      </c>
      <c r="CD171" s="59">
        <f ca="1">AVERAGE(OFFSET($CC$3,0,0,'Données projet'!$E$12+1,1))-AVERAGE(OFFSET($H$3,0,0,'Données projet'!$E$12+1,1))</f>
        <v>415.97633163853953</v>
      </c>
      <c r="CE171" s="59">
        <f t="shared" si="148"/>
        <v>356.23532720804423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0.17571489561932049</v>
      </c>
      <c r="CL171" s="21">
        <f>EXP(-LN(2)/25)*CL170+(1-EXP(-LN(2)/25))/(LN(2)/25)*Calculateur!CG171*Calculateur!CI171*VLOOKUP('Données projet'!$B$12,Paramètres!$A$1:$I$89,3,0)*0.475*44/12</f>
        <v>0.32775443551565098</v>
      </c>
      <c r="CM171" s="21">
        <f>EXP(-LN(2)/2)*CM170+(1-EXP(-LN(2)/2))/(LN(2)/2)*CG171*CJ171*VLOOKUP('Données projet'!$B$12,Paramètres!$A$1:$I$89,3,0)*0.475*44/12</f>
        <v>5.3662203138608447E-20</v>
      </c>
      <c r="CN171" s="22">
        <f t="shared" si="172"/>
        <v>0.5034693311349715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-2.5420376914553347E-13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492.3498626914548</v>
      </c>
      <c r="T172" s="59">
        <f t="shared" si="142"/>
        <v>635.90304180030307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0.34840832731896959</v>
      </c>
      <c r="AA172" s="21">
        <f>EXP(-LN(2)/25)*AA171+(1-EXP(-LN(2)/25))/(LN(2)/25)*Calculateur!V172*Calculateur!X172*VLOOKUP('Données projet'!$B$9,Paramètres!$A$1:$I$89,3,0)*0.475*44/12</f>
        <v>0.51281913967988091</v>
      </c>
      <c r="AB172" s="21">
        <f>EXP(-LN(2)/2)*AB171+(1-EXP(-LN(2)/2))/(LN(2)/2)*V172*Y172*VLOOKUP('Données projet'!$B$9,Paramètres!$A$1:$I$89,3,0)*0.475*44/12</f>
        <v>1.4014862500804353E-20</v>
      </c>
      <c r="AC172" s="22">
        <f t="shared" si="163"/>
        <v>0.86122746699885044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175.05987582828078</v>
      </c>
      <c r="AO172" s="59">
        <f t="shared" si="144"/>
        <v>268.54782308462387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0.33562239804340377</v>
      </c>
      <c r="AV172" s="21">
        <f>EXP(-LN(2)/25)*AV171+(1-EXP(-LN(2)/25))/(LN(2)/25)*Calculateur!AQ172*Calculateur!AS172*VLOOKUP('Données projet'!$B$10,Paramètres!$A$1:$I$89,3,0)*0.475*44/12</f>
        <v>0.38496542875763806</v>
      </c>
      <c r="AW172" s="21">
        <f>EXP(-LN(2)/2)*AW171+(1-EXP(-LN(2)/2))/(LN(2)/2)*AQ172*AT172*VLOOKUP('Données projet'!$B$10,Paramètres!$A$1:$I$89,3,0)*0.475*44/12</f>
        <v>1.2397806326134447E-20</v>
      </c>
      <c r="AX172" s="21">
        <f t="shared" si="166"/>
        <v>0.72058782680104183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5.6843418860808015E-13</v>
      </c>
      <c r="BE172" s="13">
        <f>BD172*VLOOKUP('Données projet'!$B$11,Paramètres!$A$1:$I$89,3,0)*VLOOKUP('Données projet'!$B$11,Paramètres!$A$1:$I$89,5,0)</f>
        <v>3.39923644787632E-13</v>
      </c>
      <c r="BF172" s="13">
        <f t="shared" si="167"/>
        <v>4.4287447204943725E-12</v>
      </c>
      <c r="BG172" s="20">
        <f t="shared" si="168"/>
        <v>8.3054307361994904E-12</v>
      </c>
      <c r="BH172" s="59">
        <f t="shared" si="116"/>
        <v>293.33333333334161</v>
      </c>
      <c r="BI172" s="59">
        <f ca="1">AVERAGE(OFFSET($BH$3,0,0,'Données projet'!$E$11+1,1))-AVERAGE(OFFSET($H$3,0,0,'Données projet'!$E$11+1,1))</f>
        <v>381.78368385345919</v>
      </c>
      <c r="BJ172" s="59">
        <f t="shared" si="146"/>
        <v>257.35575295655639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0.32324226250354882</v>
      </c>
      <c r="BR172" s="21">
        <f>EXP(-LN(2)/2)*BR171+(1-EXP(-LN(2)/2))/(LN(2)/2)*BL172*BO172*VLOOKUP('Données projet'!$B$11,Paramètres!$A$1:$I$89,3,0)*0.475*44/12</f>
        <v>2.1670177663791909E-17</v>
      </c>
      <c r="BS172" s="22">
        <f t="shared" si="169"/>
        <v>0.32324226250354882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1.1368683772161603E-13</v>
      </c>
      <c r="BZ172" s="13">
        <f>BY172*VLOOKUP('Données projet'!$B$12,Paramètres!$A$1:$I$89,3,0)*VLOOKUP('Données projet'!$B$12,Paramètres!$A$1:$I$89,5,0)</f>
        <v>5.4683368944097308E-14</v>
      </c>
      <c r="CA172" s="13">
        <f t="shared" si="170"/>
        <v>8.8129432816788268E-13</v>
      </c>
      <c r="CB172" s="20">
        <f t="shared" si="171"/>
        <v>1.6301611558033651E-12</v>
      </c>
      <c r="CC172" s="59">
        <f t="shared" si="119"/>
        <v>293.33333333333496</v>
      </c>
      <c r="CD172" s="59">
        <f ca="1">AVERAGE(OFFSET($CC$3,0,0,'Données projet'!$E$12+1,1))-AVERAGE(OFFSET($H$3,0,0,'Données projet'!$E$12+1,1))</f>
        <v>415.97633163853953</v>
      </c>
      <c r="CE172" s="59">
        <f t="shared" si="148"/>
        <v>356.23532720804423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0.17226923369172925</v>
      </c>
      <c r="CL172" s="21">
        <f>EXP(-LN(2)/25)*CL171+(1-EXP(-LN(2)/25))/(LN(2)/25)*Calculateur!CG172*Calculateur!CI172*VLOOKUP('Données projet'!$B$12,Paramètres!$A$1:$I$89,3,0)*0.475*44/12</f>
        <v>0.31879197324061881</v>
      </c>
      <c r="CM172" s="21">
        <f>EXP(-LN(2)/2)*CM171+(1-EXP(-LN(2)/2))/(LN(2)/2)*CG172*CJ172*VLOOKUP('Données projet'!$B$12,Paramètres!$A$1:$I$89,3,0)*0.475*44/12</f>
        <v>3.7944907732720071E-20</v>
      </c>
      <c r="CN172" s="22">
        <f t="shared" si="172"/>
        <v>0.49106120693234806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-2.5420376914553347E-13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492.3498626914548</v>
      </c>
      <c r="T173" s="59">
        <f t="shared" si="142"/>
        <v>635.90304180030307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0.34157625252834084</v>
      </c>
      <c r="AA173" s="21">
        <f>EXP(-LN(2)/25)*AA172+(1-EXP(-LN(2)/25))/(LN(2)/25)*Calculateur!V173*Calculateur!X173*VLOOKUP('Données projet'!$B$9,Paramètres!$A$1:$I$89,3,0)*0.475*44/12</f>
        <v>0.4987960733373481</v>
      </c>
      <c r="AB173" s="21">
        <f>EXP(-LN(2)/2)*AB172+(1-EXP(-LN(2)/2))/(LN(2)/2)*V173*Y173*VLOOKUP('Données projet'!$B$9,Paramètres!$A$1:$I$89,3,0)*0.475*44/12</f>
        <v>9.9100043117158139E-21</v>
      </c>
      <c r="AC173" s="22">
        <f t="shared" si="163"/>
        <v>0.840372325865689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175.05987582828078</v>
      </c>
      <c r="AO173" s="59">
        <f t="shared" si="144"/>
        <v>268.54782308462387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0.32904104752722207</v>
      </c>
      <c r="AV173" s="21">
        <f>EXP(-LN(2)/25)*AV172+(1-EXP(-LN(2)/25))/(LN(2)/25)*Calculateur!AQ173*Calculateur!AS173*VLOOKUP('Données projet'!$B$10,Paramètres!$A$1:$I$89,3,0)*0.475*44/12</f>
        <v>0.37443852886380841</v>
      </c>
      <c r="AW173" s="21">
        <f>EXP(-LN(2)/2)*AW172+(1-EXP(-LN(2)/2))/(LN(2)/2)*AQ173*AT173*VLOOKUP('Données projet'!$B$10,Paramètres!$A$1:$I$89,3,0)*0.475*44/12</f>
        <v>8.7665729250471449E-21</v>
      </c>
      <c r="AX173" s="21">
        <f t="shared" si="166"/>
        <v>0.70347957639103043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5.6843418860808015E-13</v>
      </c>
      <c r="BE173" s="13">
        <f>BD173*VLOOKUP('Données projet'!$B$11,Paramètres!$A$1:$I$89,3,0)*VLOOKUP('Données projet'!$B$11,Paramètres!$A$1:$I$89,5,0)</f>
        <v>3.39923644787632E-13</v>
      </c>
      <c r="BF173" s="13">
        <f t="shared" si="167"/>
        <v>4.4287447204943725E-12</v>
      </c>
      <c r="BG173" s="20">
        <f t="shared" si="168"/>
        <v>8.3054307361994904E-12</v>
      </c>
      <c r="BH173" s="59">
        <f t="shared" si="116"/>
        <v>293.33333333334161</v>
      </c>
      <c r="BI173" s="59">
        <f ca="1">AVERAGE(OFFSET($BH$3,0,0,'Données projet'!$E$11+1,1))-AVERAGE(OFFSET($H$3,0,0,'Données projet'!$E$11+1,1))</f>
        <v>381.78368385345919</v>
      </c>
      <c r="BJ173" s="59">
        <f t="shared" si="146"/>
        <v>257.35575295655639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0.31440318583681748</v>
      </c>
      <c r="BR173" s="21">
        <f>EXP(-LN(2)/2)*BR172+(1-EXP(-LN(2)/2))/(LN(2)/2)*BL173*BO173*VLOOKUP('Données projet'!$B$11,Paramètres!$A$1:$I$89,3,0)*0.475*44/12</f>
        <v>1.5323129575584515E-17</v>
      </c>
      <c r="BS173" s="22">
        <f t="shared" si="169"/>
        <v>0.31440318583681748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1.1368683772161603E-13</v>
      </c>
      <c r="BZ173" s="13">
        <f>BY173*VLOOKUP('Données projet'!$B$12,Paramètres!$A$1:$I$89,3,0)*VLOOKUP('Données projet'!$B$12,Paramètres!$A$1:$I$89,5,0)</f>
        <v>5.4683368944097308E-14</v>
      </c>
      <c r="CA173" s="13">
        <f t="shared" si="170"/>
        <v>8.8129432816788268E-13</v>
      </c>
      <c r="CB173" s="20">
        <f t="shared" si="171"/>
        <v>1.6301611558033651E-12</v>
      </c>
      <c r="CC173" s="59">
        <f t="shared" si="119"/>
        <v>293.33333333333496</v>
      </c>
      <c r="CD173" s="59">
        <f ca="1">AVERAGE(OFFSET($CC$3,0,0,'Données projet'!$E$12+1,1))-AVERAGE(OFFSET($H$3,0,0,'Données projet'!$E$12+1,1))</f>
        <v>415.97633163853953</v>
      </c>
      <c r="CE173" s="59">
        <f t="shared" si="148"/>
        <v>356.23532720804423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0.1688911390928918</v>
      </c>
      <c r="CL173" s="21">
        <f>EXP(-LN(2)/25)*CL172+(1-EXP(-LN(2)/25))/(LN(2)/25)*Calculateur!CG173*Calculateur!CI173*VLOOKUP('Données projet'!$B$12,Paramètres!$A$1:$I$89,3,0)*0.475*44/12</f>
        <v>0.31007458996781284</v>
      </c>
      <c r="CM173" s="21">
        <f>EXP(-LN(2)/2)*CM172+(1-EXP(-LN(2)/2))/(LN(2)/2)*CG173*CJ173*VLOOKUP('Données projet'!$B$12,Paramètres!$A$1:$I$89,3,0)*0.475*44/12</f>
        <v>2.6831101569304229E-20</v>
      </c>
      <c r="CN173" s="22">
        <f t="shared" si="172"/>
        <v>0.47896572906070467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-2.5420376914553347E-13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492.3498626914548</v>
      </c>
      <c r="T174" s="59">
        <f t="shared" si="142"/>
        <v>635.90304180030307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0.33487815055720216</v>
      </c>
      <c r="AA174" s="21">
        <f>EXP(-LN(2)/25)*AA173+(1-EXP(-LN(2)/25))/(LN(2)/25)*Calculateur!V174*Calculateur!X174*VLOOKUP('Données projet'!$B$9,Paramètres!$A$1:$I$89,3,0)*0.475*44/12</f>
        <v>0.48515646848139282</v>
      </c>
      <c r="AB174" s="21">
        <f>EXP(-LN(2)/2)*AB173+(1-EXP(-LN(2)/2))/(LN(2)/2)*V174*Y174*VLOOKUP('Données projet'!$B$9,Paramètres!$A$1:$I$89,3,0)*0.475*44/12</f>
        <v>7.0074312504021765E-21</v>
      </c>
      <c r="AC174" s="22">
        <f t="shared" si="163"/>
        <v>0.82003461903859498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175.05987582828078</v>
      </c>
      <c r="AO174" s="59">
        <f t="shared" si="144"/>
        <v>268.54782308462387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0.32258875328043524</v>
      </c>
      <c r="AV174" s="21">
        <f>EXP(-LN(2)/25)*AV173+(1-EXP(-LN(2)/25))/(LN(2)/25)*Calculateur!AQ174*Calculateur!AS174*VLOOKUP('Données projet'!$B$10,Paramètres!$A$1:$I$89,3,0)*0.475*44/12</f>
        <v>0.36419948760116111</v>
      </c>
      <c r="AW174" s="21">
        <f>EXP(-LN(2)/2)*AW173+(1-EXP(-LN(2)/2))/(LN(2)/2)*AQ174*AT174*VLOOKUP('Données projet'!$B$10,Paramètres!$A$1:$I$89,3,0)*0.475*44/12</f>
        <v>6.1989031630672235E-21</v>
      </c>
      <c r="AX174" s="21">
        <f t="shared" si="166"/>
        <v>0.6867882408815964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5.6843418860808015E-13</v>
      </c>
      <c r="BE174" s="13">
        <f>BD174*VLOOKUP('Données projet'!$B$11,Paramètres!$A$1:$I$89,3,0)*VLOOKUP('Données projet'!$B$11,Paramètres!$A$1:$I$89,5,0)</f>
        <v>3.39923644787632E-13</v>
      </c>
      <c r="BF174" s="13">
        <f t="shared" si="167"/>
        <v>4.4287447204943725E-12</v>
      </c>
      <c r="BG174" s="20">
        <f t="shared" si="168"/>
        <v>8.3054307361994904E-12</v>
      </c>
      <c r="BH174" s="59">
        <f t="shared" si="116"/>
        <v>293.33333333334161</v>
      </c>
      <c r="BI174" s="59">
        <f ca="1">AVERAGE(OFFSET($BH$3,0,0,'Données projet'!$E$11+1,1))-AVERAGE(OFFSET($H$3,0,0,'Données projet'!$E$11+1,1))</f>
        <v>381.78368385345919</v>
      </c>
      <c r="BJ174" s="59">
        <f t="shared" si="146"/>
        <v>257.35575295655639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0.30580581418636477</v>
      </c>
      <c r="BR174" s="21">
        <f>EXP(-LN(2)/2)*BR173+(1-EXP(-LN(2)/2))/(LN(2)/2)*BL174*BO174*VLOOKUP('Données projet'!$B$11,Paramètres!$A$1:$I$89,3,0)*0.475*44/12</f>
        <v>1.0835088831895955E-17</v>
      </c>
      <c r="BS174" s="22">
        <f t="shared" si="169"/>
        <v>0.30580581418636477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1.1368683772161603E-13</v>
      </c>
      <c r="BZ174" s="13">
        <f>BY174*VLOOKUP('Données projet'!$B$12,Paramètres!$A$1:$I$89,3,0)*VLOOKUP('Données projet'!$B$12,Paramètres!$A$1:$I$89,5,0)</f>
        <v>5.4683368944097308E-14</v>
      </c>
      <c r="CA174" s="13">
        <f t="shared" si="170"/>
        <v>8.8129432816788268E-13</v>
      </c>
      <c r="CB174" s="20">
        <f t="shared" si="171"/>
        <v>1.6301611558033651E-12</v>
      </c>
      <c r="CC174" s="59">
        <f t="shared" si="119"/>
        <v>293.33333333333496</v>
      </c>
      <c r="CD174" s="59">
        <f ca="1">AVERAGE(OFFSET($CC$3,0,0,'Données projet'!$E$12+1,1))-AVERAGE(OFFSET($H$3,0,0,'Données projet'!$E$12+1,1))</f>
        <v>415.97633163853953</v>
      </c>
      <c r="CE174" s="59">
        <f t="shared" si="148"/>
        <v>356.23532720804423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0.1655792868687033</v>
      </c>
      <c r="CL174" s="21">
        <f>EXP(-LN(2)/25)*CL173+(1-EXP(-LN(2)/25))/(LN(2)/25)*Calculateur!CG174*Calculateur!CI174*VLOOKUP('Données projet'!$B$12,Paramètres!$A$1:$I$89,3,0)*0.475*44/12</f>
        <v>0.30159558399902897</v>
      </c>
      <c r="CM174" s="21">
        <f>EXP(-LN(2)/2)*CM173+(1-EXP(-LN(2)/2))/(LN(2)/2)*CG174*CJ174*VLOOKUP('Données projet'!$B$12,Paramètres!$A$1:$I$89,3,0)*0.475*44/12</f>
        <v>1.8972453866360038E-20</v>
      </c>
      <c r="CN174" s="22">
        <f t="shared" si="172"/>
        <v>0.46717487086773224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-2.5420376914553347E-13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492.3498626914548</v>
      </c>
      <c r="T175" s="59">
        <f t="shared" si="142"/>
        <v>635.90304180030307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0.32831139428027872</v>
      </c>
      <c r="AA175" s="21">
        <f>EXP(-LN(2)/25)*AA174+(1-EXP(-LN(2)/25))/(LN(2)/25)*Calculateur!V175*Calculateur!X175*VLOOKUP('Données projet'!$B$9,Paramètres!$A$1:$I$89,3,0)*0.475*44/12</f>
        <v>0.47188983933749928</v>
      </c>
      <c r="AB175" s="21">
        <f>EXP(-LN(2)/2)*AB174+(1-EXP(-LN(2)/2))/(LN(2)/2)*V175*Y175*VLOOKUP('Données projet'!$B$9,Paramètres!$A$1:$I$89,3,0)*0.475*44/12</f>
        <v>4.9550021558579069E-21</v>
      </c>
      <c r="AC175" s="22">
        <f t="shared" si="163"/>
        <v>0.80020123361777795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175.05987582828078</v>
      </c>
      <c r="AO175" s="59">
        <f t="shared" si="144"/>
        <v>268.54782308462387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0.31626298458831698</v>
      </c>
      <c r="AV175" s="21">
        <f>EXP(-LN(2)/25)*AV174+(1-EXP(-LN(2)/25))/(LN(2)/25)*Calculateur!AQ175*Calculateur!AS175*VLOOKUP('Données projet'!$B$10,Paramètres!$A$1:$I$89,3,0)*0.475*44/12</f>
        <v>0.35424043346028872</v>
      </c>
      <c r="AW175" s="21">
        <f>EXP(-LN(2)/2)*AW174+(1-EXP(-LN(2)/2))/(LN(2)/2)*AQ175*AT175*VLOOKUP('Données projet'!$B$10,Paramètres!$A$1:$I$89,3,0)*0.475*44/12</f>
        <v>4.3832864625235725E-21</v>
      </c>
      <c r="AX175" s="21">
        <f t="shared" si="166"/>
        <v>0.67050341804860569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5.6843418860808015E-13</v>
      </c>
      <c r="BE175" s="13">
        <f>BD175*VLOOKUP('Données projet'!$B$11,Paramètres!$A$1:$I$89,3,0)*VLOOKUP('Données projet'!$B$11,Paramètres!$A$1:$I$89,5,0)</f>
        <v>3.39923644787632E-13</v>
      </c>
      <c r="BF175" s="13">
        <f t="shared" si="167"/>
        <v>4.4287447204943725E-12</v>
      </c>
      <c r="BG175" s="20">
        <f t="shared" si="168"/>
        <v>8.3054307361994904E-12</v>
      </c>
      <c r="BH175" s="59">
        <f t="shared" si="116"/>
        <v>293.33333333334161</v>
      </c>
      <c r="BI175" s="59">
        <f ca="1">AVERAGE(OFFSET($BH$3,0,0,'Données projet'!$E$11+1,1))-AVERAGE(OFFSET($H$3,0,0,'Données projet'!$E$11+1,1))</f>
        <v>381.78368385345919</v>
      </c>
      <c r="BJ175" s="59">
        <f t="shared" si="146"/>
        <v>257.35575295655639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0.29744353811580976</v>
      </c>
      <c r="BR175" s="21">
        <f>EXP(-LN(2)/2)*BR174+(1-EXP(-LN(2)/2))/(LN(2)/2)*BL175*BO175*VLOOKUP('Données projet'!$B$11,Paramètres!$A$1:$I$89,3,0)*0.475*44/12</f>
        <v>7.6615647877922575E-18</v>
      </c>
      <c r="BS175" s="22">
        <f t="shared" si="169"/>
        <v>0.29744353811580976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1.1368683772161603E-13</v>
      </c>
      <c r="BZ175" s="13">
        <f>BY175*VLOOKUP('Données projet'!$B$12,Paramètres!$A$1:$I$89,3,0)*VLOOKUP('Données projet'!$B$12,Paramètres!$A$1:$I$89,5,0)</f>
        <v>5.4683368944097308E-14</v>
      </c>
      <c r="CA175" s="13">
        <f t="shared" si="170"/>
        <v>8.8129432816788268E-13</v>
      </c>
      <c r="CB175" s="20">
        <f t="shared" si="171"/>
        <v>1.6301611558033651E-12</v>
      </c>
      <c r="CC175" s="59">
        <f t="shared" si="119"/>
        <v>293.33333333333496</v>
      </c>
      <c r="CD175" s="59">
        <f ca="1">AVERAGE(OFFSET($CC$3,0,0,'Données projet'!$E$12+1,1))-AVERAGE(OFFSET($H$3,0,0,'Données projet'!$E$12+1,1))</f>
        <v>415.97633163853953</v>
      </c>
      <c r="CE175" s="59">
        <f t="shared" si="148"/>
        <v>356.23532720804423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0.16233237804660075</v>
      </c>
      <c r="CL175" s="21">
        <f>EXP(-LN(2)/25)*CL174+(1-EXP(-LN(2)/25))/(LN(2)/25)*Calculateur!CG175*Calculateur!CI175*VLOOKUP('Données projet'!$B$12,Paramètres!$A$1:$I$89,3,0)*0.475*44/12</f>
        <v>0.29334843689435308</v>
      </c>
      <c r="CM175" s="21">
        <f>EXP(-LN(2)/2)*CM174+(1-EXP(-LN(2)/2))/(LN(2)/2)*CG175*CJ175*VLOOKUP('Données projet'!$B$12,Paramètres!$A$1:$I$89,3,0)*0.475*44/12</f>
        <v>1.3415550784652116E-20</v>
      </c>
      <c r="CN175" s="22">
        <f t="shared" si="172"/>
        <v>0.4556808149409538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-2.5420376914553347E-13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492.3498626914548</v>
      </c>
      <c r="T176" s="59">
        <f t="shared" si="142"/>
        <v>635.90304180030307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0.32187340808861992</v>
      </c>
      <c r="AA176" s="21">
        <f>EXP(-LN(2)/25)*AA175+(1-EXP(-LN(2)/25))/(LN(2)/25)*Calculateur!V176*Calculateur!X176*VLOOKUP('Données projet'!$B$9,Paramètres!$A$1:$I$89,3,0)*0.475*44/12</f>
        <v>0.45898598686520725</v>
      </c>
      <c r="AB176" s="21">
        <f>EXP(-LN(2)/2)*AB175+(1-EXP(-LN(2)/2))/(LN(2)/2)*V176*Y176*VLOOKUP('Données projet'!$B$9,Paramètres!$A$1:$I$89,3,0)*0.475*44/12</f>
        <v>3.5037156252010882E-21</v>
      </c>
      <c r="AC176" s="22">
        <f t="shared" si="163"/>
        <v>0.78085939495382717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175.05987582828078</v>
      </c>
      <c r="AO176" s="59">
        <f t="shared" si="144"/>
        <v>268.54782308462387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0.31006126036191323</v>
      </c>
      <c r="AV176" s="21">
        <f>EXP(-LN(2)/25)*AV175+(1-EXP(-LN(2)/25))/(LN(2)/25)*Calculateur!AQ176*Calculateur!AS176*VLOOKUP('Données projet'!$B$10,Paramètres!$A$1:$I$89,3,0)*0.475*44/12</f>
        <v>0.34455371017862235</v>
      </c>
      <c r="AW176" s="21">
        <f>EXP(-LN(2)/2)*AW175+(1-EXP(-LN(2)/2))/(LN(2)/2)*AQ176*AT176*VLOOKUP('Données projet'!$B$10,Paramètres!$A$1:$I$89,3,0)*0.475*44/12</f>
        <v>3.0994515815336117E-21</v>
      </c>
      <c r="AX176" s="21">
        <f t="shared" si="166"/>
        <v>0.65461497054053552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5.6843418860808015E-13</v>
      </c>
      <c r="BE176" s="13">
        <f>BD176*VLOOKUP('Données projet'!$B$11,Paramètres!$A$1:$I$89,3,0)*VLOOKUP('Données projet'!$B$11,Paramètres!$A$1:$I$89,5,0)</f>
        <v>3.39923644787632E-13</v>
      </c>
      <c r="BF176" s="13">
        <f t="shared" si="167"/>
        <v>4.4287447204943725E-12</v>
      </c>
      <c r="BG176" s="20">
        <f t="shared" si="168"/>
        <v>8.3054307361994904E-12</v>
      </c>
      <c r="BH176" s="59">
        <f t="shared" si="116"/>
        <v>293.33333333334161</v>
      </c>
      <c r="BI176" s="59">
        <f ca="1">AVERAGE(OFFSET($BH$3,0,0,'Données projet'!$E$11+1,1))-AVERAGE(OFFSET($H$3,0,0,'Données projet'!$E$11+1,1))</f>
        <v>381.78368385345919</v>
      </c>
      <c r="BJ176" s="59">
        <f t="shared" si="146"/>
        <v>257.35575295655639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0.28930992892415708</v>
      </c>
      <c r="BR176" s="21">
        <f>EXP(-LN(2)/2)*BR175+(1-EXP(-LN(2)/2))/(LN(2)/2)*BL176*BO176*VLOOKUP('Données projet'!$B$11,Paramètres!$A$1:$I$89,3,0)*0.475*44/12</f>
        <v>5.4175444159479773E-18</v>
      </c>
      <c r="BS176" s="22">
        <f t="shared" si="169"/>
        <v>0.28930992892415708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1.1368683772161603E-13</v>
      </c>
      <c r="BZ176" s="13">
        <f>BY176*VLOOKUP('Données projet'!$B$12,Paramètres!$A$1:$I$89,3,0)*VLOOKUP('Données projet'!$B$12,Paramètres!$A$1:$I$89,5,0)</f>
        <v>5.4683368944097308E-14</v>
      </c>
      <c r="CA176" s="13">
        <f t="shared" si="170"/>
        <v>8.8129432816788268E-13</v>
      </c>
      <c r="CB176" s="20">
        <f t="shared" si="171"/>
        <v>1.6301611558033651E-12</v>
      </c>
      <c r="CC176" s="59">
        <f t="shared" si="119"/>
        <v>293.33333333333496</v>
      </c>
      <c r="CD176" s="59">
        <f ca="1">AVERAGE(OFFSET($CC$3,0,0,'Données projet'!$E$12+1,1))-AVERAGE(OFFSET($H$3,0,0,'Données projet'!$E$12+1,1))</f>
        <v>415.97633163853953</v>
      </c>
      <c r="CE176" s="59">
        <f t="shared" si="148"/>
        <v>356.23532720804423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0.15914913912608081</v>
      </c>
      <c r="CL176" s="21">
        <f>EXP(-LN(2)/25)*CL175+(1-EXP(-LN(2)/25))/(LN(2)/25)*Calculateur!CG176*Calculateur!CI176*VLOOKUP('Données projet'!$B$12,Paramètres!$A$1:$I$89,3,0)*0.475*44/12</f>
        <v>0.28532680846095315</v>
      </c>
      <c r="CM176" s="21">
        <f>EXP(-LN(2)/2)*CM175+(1-EXP(-LN(2)/2))/(LN(2)/2)*CG176*CJ176*VLOOKUP('Données projet'!$B$12,Paramètres!$A$1:$I$89,3,0)*0.475*44/12</f>
        <v>9.4862269331800207E-21</v>
      </c>
      <c r="CN176" s="22">
        <f t="shared" si="172"/>
        <v>0.44447594758703396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-2.5420376914553347E-13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492.3498626914548</v>
      </c>
      <c r="T177" s="59">
        <f t="shared" si="142"/>
        <v>635.90304180030307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0.31556166687939569</v>
      </c>
      <c r="AA177" s="21">
        <f>EXP(-LN(2)/25)*AA176+(1-EXP(-LN(2)/25))/(LN(2)/25)*Calculateur!V177*Calculateur!X177*VLOOKUP('Données projet'!$B$9,Paramètres!$A$1:$I$89,3,0)*0.475*44/12</f>
        <v>0.44643499091735411</v>
      </c>
      <c r="AB177" s="21">
        <f>EXP(-LN(2)/2)*AB176+(1-EXP(-LN(2)/2))/(LN(2)/2)*V177*Y177*VLOOKUP('Données projet'!$B$9,Paramètres!$A$1:$I$89,3,0)*0.475*44/12</f>
        <v>2.4775010779289535E-21</v>
      </c>
      <c r="AC177" s="22">
        <f t="shared" si="163"/>
        <v>0.76199665779674985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175.05987582828078</v>
      </c>
      <c r="AO177" s="59">
        <f t="shared" si="144"/>
        <v>268.54782308462387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0.30398114816491101</v>
      </c>
      <c r="AV177" s="21">
        <f>EXP(-LN(2)/25)*AV176+(1-EXP(-LN(2)/25))/(LN(2)/25)*Calculateur!AQ177*Calculateur!AS177*VLOOKUP('Données projet'!$B$10,Paramètres!$A$1:$I$89,3,0)*0.475*44/12</f>
        <v>0.33513187085449581</v>
      </c>
      <c r="AW177" s="21">
        <f>EXP(-LN(2)/2)*AW176+(1-EXP(-LN(2)/2))/(LN(2)/2)*AQ177*AT177*VLOOKUP('Données projet'!$B$10,Paramètres!$A$1:$I$89,3,0)*0.475*44/12</f>
        <v>2.1916432312617862E-21</v>
      </c>
      <c r="AX177" s="21">
        <f t="shared" si="166"/>
        <v>0.63911301901940676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5.6843418860808015E-13</v>
      </c>
      <c r="BE177" s="13">
        <f>BD177*VLOOKUP('Données projet'!$B$11,Paramètres!$A$1:$I$89,3,0)*VLOOKUP('Données projet'!$B$11,Paramètres!$A$1:$I$89,5,0)</f>
        <v>3.39923644787632E-13</v>
      </c>
      <c r="BF177" s="13">
        <f t="shared" si="167"/>
        <v>4.4287447204943725E-12</v>
      </c>
      <c r="BG177" s="20">
        <f t="shared" si="168"/>
        <v>8.3054307361994904E-12</v>
      </c>
      <c r="BH177" s="59">
        <f t="shared" si="116"/>
        <v>293.33333333334161</v>
      </c>
      <c r="BI177" s="59">
        <f ca="1">AVERAGE(OFFSET($BH$3,0,0,'Données projet'!$E$11+1,1))-AVERAGE(OFFSET($H$3,0,0,'Données projet'!$E$11+1,1))</f>
        <v>381.78368385345919</v>
      </c>
      <c r="BJ177" s="59">
        <f t="shared" si="146"/>
        <v>257.35575295655639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0.28139873370357804</v>
      </c>
      <c r="BR177" s="21">
        <f>EXP(-LN(2)/2)*BR176+(1-EXP(-LN(2)/2))/(LN(2)/2)*BL177*BO177*VLOOKUP('Données projet'!$B$11,Paramètres!$A$1:$I$89,3,0)*0.475*44/12</f>
        <v>3.8307823938961288E-18</v>
      </c>
      <c r="BS177" s="22">
        <f t="shared" si="169"/>
        <v>0.28139873370357804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1.1368683772161603E-13</v>
      </c>
      <c r="BZ177" s="13">
        <f>BY177*VLOOKUP('Données projet'!$B$12,Paramètres!$A$1:$I$89,3,0)*VLOOKUP('Données projet'!$B$12,Paramètres!$A$1:$I$89,5,0)</f>
        <v>5.4683368944097308E-14</v>
      </c>
      <c r="CA177" s="13">
        <f t="shared" si="170"/>
        <v>8.8129432816788268E-13</v>
      </c>
      <c r="CB177" s="20">
        <f t="shared" si="171"/>
        <v>1.6301611558033651E-12</v>
      </c>
      <c r="CC177" s="59">
        <f t="shared" si="119"/>
        <v>293.33333333333496</v>
      </c>
      <c r="CD177" s="59">
        <f ca="1">AVERAGE(OFFSET($CC$3,0,0,'Données projet'!$E$12+1,1))-AVERAGE(OFFSET($H$3,0,0,'Données projet'!$E$12+1,1))</f>
        <v>415.97633163853953</v>
      </c>
      <c r="CE177" s="59">
        <f t="shared" si="148"/>
        <v>356.23532720804423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0.15602832157920823</v>
      </c>
      <c r="CL177" s="21">
        <f>EXP(-LN(2)/25)*CL176+(1-EXP(-LN(2)/25))/(LN(2)/25)*Calculateur!CG177*Calculateur!CI177*VLOOKUP('Données projet'!$B$12,Paramètres!$A$1:$I$89,3,0)*0.475*44/12</f>
        <v>0.27752453187890364</v>
      </c>
      <c r="CM177" s="21">
        <f>EXP(-LN(2)/2)*CM176+(1-EXP(-LN(2)/2))/(LN(2)/2)*CG177*CJ177*VLOOKUP('Données projet'!$B$12,Paramètres!$A$1:$I$89,3,0)*0.475*44/12</f>
        <v>6.7077753923260589E-21</v>
      </c>
      <c r="CN177" s="22">
        <f t="shared" si="172"/>
        <v>0.4335528534581119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-2.5420376914553347E-13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492.3498626914548</v>
      </c>
      <c r="T178" s="59">
        <f t="shared" si="142"/>
        <v>635.90304180030307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0.30937369506550233</v>
      </c>
      <c r="AA178" s="21">
        <f>EXP(-LN(2)/25)*AA177+(1-EXP(-LN(2)/25))/(LN(2)/25)*Calculateur!V178*Calculateur!X178*VLOOKUP('Données projet'!$B$9,Paramètres!$A$1:$I$89,3,0)*0.475*44/12</f>
        <v>0.43422720261372322</v>
      </c>
      <c r="AB178" s="21">
        <f>EXP(-LN(2)/2)*AB177+(1-EXP(-LN(2)/2))/(LN(2)/2)*V178*Y178*VLOOKUP('Données projet'!$B$9,Paramètres!$A$1:$I$89,3,0)*0.475*44/12</f>
        <v>1.7518578126005441E-21</v>
      </c>
      <c r="AC178" s="22">
        <f t="shared" si="163"/>
        <v>0.74360089767922555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175.05987582828078</v>
      </c>
      <c r="AO178" s="59">
        <f t="shared" si="144"/>
        <v>268.54782308462387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0.29802026325958975</v>
      </c>
      <c r="AV178" s="21">
        <f>EXP(-LN(2)/25)*AV177+(1-EXP(-LN(2)/25))/(LN(2)/25)*Calculateur!AQ178*Calculateur!AS178*VLOOKUP('Données projet'!$B$10,Paramètres!$A$1:$I$89,3,0)*0.475*44/12</f>
        <v>0.3259676722221605</v>
      </c>
      <c r="AW178" s="21">
        <f>EXP(-LN(2)/2)*AW177+(1-EXP(-LN(2)/2))/(LN(2)/2)*AQ178*AT178*VLOOKUP('Données projet'!$B$10,Paramètres!$A$1:$I$89,3,0)*0.475*44/12</f>
        <v>1.5497257907668059E-21</v>
      </c>
      <c r="AX178" s="21">
        <f t="shared" si="166"/>
        <v>0.62398793548175024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5.6843418860808015E-13</v>
      </c>
      <c r="BE178" s="13">
        <f>BD178*VLOOKUP('Données projet'!$B$11,Paramètres!$A$1:$I$89,3,0)*VLOOKUP('Données projet'!$B$11,Paramètres!$A$1:$I$89,5,0)</f>
        <v>3.39923644787632E-13</v>
      </c>
      <c r="BF178" s="13">
        <f t="shared" si="167"/>
        <v>4.4287447204943725E-12</v>
      </c>
      <c r="BG178" s="20">
        <f t="shared" si="168"/>
        <v>8.3054307361994904E-12</v>
      </c>
      <c r="BH178" s="59">
        <f t="shared" si="116"/>
        <v>293.33333333334161</v>
      </c>
      <c r="BI178" s="59">
        <f ca="1">AVERAGE(OFFSET($BH$3,0,0,'Données projet'!$E$11+1,1))-AVERAGE(OFFSET($H$3,0,0,'Données projet'!$E$11+1,1))</f>
        <v>381.78368385345919</v>
      </c>
      <c r="BJ178" s="59">
        <f t="shared" si="146"/>
        <v>257.35575295655639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0.27370387053233741</v>
      </c>
      <c r="BR178" s="21">
        <f>EXP(-LN(2)/2)*BR177+(1-EXP(-LN(2)/2))/(LN(2)/2)*BL178*BO178*VLOOKUP('Données projet'!$B$11,Paramètres!$A$1:$I$89,3,0)*0.475*44/12</f>
        <v>2.7087722079739886E-18</v>
      </c>
      <c r="BS178" s="22">
        <f t="shared" si="169"/>
        <v>0.27370387053233741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1.1368683772161603E-13</v>
      </c>
      <c r="BZ178" s="13">
        <f>BY178*VLOOKUP('Données projet'!$B$12,Paramètres!$A$1:$I$89,3,0)*VLOOKUP('Données projet'!$B$12,Paramètres!$A$1:$I$89,5,0)</f>
        <v>5.4683368944097308E-14</v>
      </c>
      <c r="CA178" s="13">
        <f t="shared" si="170"/>
        <v>8.8129432816788268E-13</v>
      </c>
      <c r="CB178" s="20">
        <f t="shared" si="171"/>
        <v>1.6301611558033651E-12</v>
      </c>
      <c r="CC178" s="59">
        <f t="shared" si="119"/>
        <v>293.33333333333496</v>
      </c>
      <c r="CD178" s="59">
        <f ca="1">AVERAGE(OFFSET($CC$3,0,0,'Données projet'!$E$12+1,1))-AVERAGE(OFFSET($H$3,0,0,'Données projet'!$E$12+1,1))</f>
        <v>415.97633163853953</v>
      </c>
      <c r="CE178" s="59">
        <f t="shared" si="148"/>
        <v>356.23532720804423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0.15296870136091908</v>
      </c>
      <c r="CL178" s="21">
        <f>EXP(-LN(2)/25)*CL177+(1-EXP(-LN(2)/25))/(LN(2)/25)*Calculateur!CG178*Calculateur!CI178*VLOOKUP('Données projet'!$B$12,Paramètres!$A$1:$I$89,3,0)*0.475*44/12</f>
        <v>0.26993560896029417</v>
      </c>
      <c r="CM178" s="21">
        <f>EXP(-LN(2)/2)*CM177+(1-EXP(-LN(2)/2))/(LN(2)/2)*CG178*CJ178*VLOOKUP('Données projet'!$B$12,Paramètres!$A$1:$I$89,3,0)*0.475*44/12</f>
        <v>4.7431134665900111E-21</v>
      </c>
      <c r="CN178" s="22">
        <f t="shared" si="172"/>
        <v>0.42290431032121323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-2.5420376914553347E-13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492.3498626914548</v>
      </c>
      <c r="T179" s="59">
        <f t="shared" si="142"/>
        <v>635.90304180030307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0.30330706560458931</v>
      </c>
      <c r="AA179" s="21">
        <f>EXP(-LN(2)/25)*AA178+(1-EXP(-LN(2)/25))/(LN(2)/25)*Calculateur!V179*Calculateur!X179*VLOOKUP('Données projet'!$B$9,Paramètres!$A$1:$I$89,3,0)*0.475*44/12</f>
        <v>0.42235323692323479</v>
      </c>
      <c r="AB179" s="21">
        <f>EXP(-LN(2)/2)*AB178+(1-EXP(-LN(2)/2))/(LN(2)/2)*V179*Y179*VLOOKUP('Données projet'!$B$9,Paramètres!$A$1:$I$89,3,0)*0.475*44/12</f>
        <v>1.2387505389644767E-21</v>
      </c>
      <c r="AC179" s="22">
        <f t="shared" si="163"/>
        <v>0.7256603025278241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175.05987582828078</v>
      </c>
      <c r="AO179" s="59">
        <f t="shared" si="144"/>
        <v>268.54782308462387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0.29217626767148103</v>
      </c>
      <c r="AV179" s="21">
        <f>EXP(-LN(2)/25)*AV178+(1-EXP(-LN(2)/25))/(LN(2)/25)*Calculateur!AQ179*Calculateur!AS179*VLOOKUP('Données projet'!$B$10,Paramètres!$A$1:$I$89,3,0)*0.475*44/12</f>
        <v>0.31705406908335065</v>
      </c>
      <c r="AW179" s="21">
        <f>EXP(-LN(2)/2)*AW178+(1-EXP(-LN(2)/2))/(LN(2)/2)*AQ179*AT179*VLOOKUP('Données projet'!$B$10,Paramètres!$A$1:$I$89,3,0)*0.475*44/12</f>
        <v>1.0958216156308931E-21</v>
      </c>
      <c r="AX179" s="21">
        <f t="shared" si="166"/>
        <v>0.60923033675483174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5.6843418860808015E-13</v>
      </c>
      <c r="BE179" s="13">
        <f>BD179*VLOOKUP('Données projet'!$B$11,Paramètres!$A$1:$I$89,3,0)*VLOOKUP('Données projet'!$B$11,Paramètres!$A$1:$I$89,5,0)</f>
        <v>3.39923644787632E-13</v>
      </c>
      <c r="BF179" s="13">
        <f t="shared" si="167"/>
        <v>4.4287447204943725E-12</v>
      </c>
      <c r="BG179" s="20">
        <f t="shared" si="168"/>
        <v>8.3054307361994904E-12</v>
      </c>
      <c r="BH179" s="59">
        <f t="shared" si="116"/>
        <v>293.33333333334161</v>
      </c>
      <c r="BI179" s="59">
        <f ca="1">AVERAGE(OFFSET($BH$3,0,0,'Données projet'!$E$11+1,1))-AVERAGE(OFFSET($H$3,0,0,'Données projet'!$E$11+1,1))</f>
        <v>381.78368385345919</v>
      </c>
      <c r="BJ179" s="59">
        <f t="shared" si="146"/>
        <v>257.35575295655639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0.26621942379916963</v>
      </c>
      <c r="BR179" s="21">
        <f>EXP(-LN(2)/2)*BR178+(1-EXP(-LN(2)/2))/(LN(2)/2)*BL179*BO179*VLOOKUP('Données projet'!$B$11,Paramètres!$A$1:$I$89,3,0)*0.475*44/12</f>
        <v>1.9153911969480644E-18</v>
      </c>
      <c r="BS179" s="22">
        <f t="shared" si="169"/>
        <v>0.26621942379916963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1.1368683772161603E-13</v>
      </c>
      <c r="BZ179" s="13">
        <f>BY179*VLOOKUP('Données projet'!$B$12,Paramètres!$A$1:$I$89,3,0)*VLOOKUP('Données projet'!$B$12,Paramètres!$A$1:$I$89,5,0)</f>
        <v>5.4683368944097308E-14</v>
      </c>
      <c r="CA179" s="13">
        <f t="shared" si="170"/>
        <v>8.8129432816788268E-13</v>
      </c>
      <c r="CB179" s="20">
        <f t="shared" si="171"/>
        <v>1.6301611558033651E-12</v>
      </c>
      <c r="CC179" s="59">
        <f t="shared" si="119"/>
        <v>293.33333333333496</v>
      </c>
      <c r="CD179" s="59">
        <f ca="1">AVERAGE(OFFSET($CC$3,0,0,'Données projet'!$E$12+1,1))-AVERAGE(OFFSET($H$3,0,0,'Données projet'!$E$12+1,1))</f>
        <v>415.97633163853953</v>
      </c>
      <c r="CE179" s="59">
        <f t="shared" si="148"/>
        <v>356.23532720804423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0.14996907842892651</v>
      </c>
      <c r="CL179" s="21">
        <f>EXP(-LN(2)/25)*CL178+(1-EXP(-LN(2)/25))/(LN(2)/25)*Calculateur!CG179*Calculateur!CI179*VLOOKUP('Données projet'!$B$12,Paramètres!$A$1:$I$89,3,0)*0.475*44/12</f>
        <v>0.2625542055379782</v>
      </c>
      <c r="CM179" s="21">
        <f>EXP(-LN(2)/2)*CM178+(1-EXP(-LN(2)/2))/(LN(2)/2)*CG179*CJ179*VLOOKUP('Données projet'!$B$12,Paramètres!$A$1:$I$89,3,0)*0.475*44/12</f>
        <v>3.3538876961630302E-21</v>
      </c>
      <c r="CN179" s="22">
        <f t="shared" si="172"/>
        <v>0.41252328396690474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-2.5420376914553347E-13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492.3498626914548</v>
      </c>
      <c r="T180" s="59">
        <f t="shared" si="142"/>
        <v>635.90304180030307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0.29735939904712622</v>
      </c>
      <c r="AA180" s="21">
        <f>EXP(-LN(2)/25)*AA179+(1-EXP(-LN(2)/25))/(LN(2)/25)*Calculateur!V180*Calculateur!X180*VLOOKUP('Données projet'!$B$9,Paramètres!$A$1:$I$89,3,0)*0.475*44/12</f>
        <v>0.41080396544897751</v>
      </c>
      <c r="AB180" s="21">
        <f>EXP(-LN(2)/2)*AB179+(1-EXP(-LN(2)/2))/(LN(2)/2)*V180*Y180*VLOOKUP('Données projet'!$B$9,Paramètres!$A$1:$I$89,3,0)*0.475*44/12</f>
        <v>8.7592890630027206E-22</v>
      </c>
      <c r="AC180" s="22">
        <f t="shared" si="163"/>
        <v>0.70816336449610373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175.05987582828078</v>
      </c>
      <c r="AO180" s="59">
        <f t="shared" si="144"/>
        <v>268.54782308462387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0.28644686927236979</v>
      </c>
      <c r="AV180" s="21">
        <f>EXP(-LN(2)/25)*AV179+(1-EXP(-LN(2)/25))/(LN(2)/25)*Calculateur!AQ180*Calculateur!AS180*VLOOKUP('Données projet'!$B$10,Paramètres!$A$1:$I$89,3,0)*0.475*44/12</f>
        <v>0.30838420889111756</v>
      </c>
      <c r="AW180" s="21">
        <f>EXP(-LN(2)/2)*AW179+(1-EXP(-LN(2)/2))/(LN(2)/2)*AQ180*AT180*VLOOKUP('Données projet'!$B$10,Paramètres!$A$1:$I$89,3,0)*0.475*44/12</f>
        <v>7.7486289538340293E-22</v>
      </c>
      <c r="AX180" s="21">
        <f t="shared" si="166"/>
        <v>0.59483107816348735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5.6843418860808015E-13</v>
      </c>
      <c r="BE180" s="13">
        <f>BD180*VLOOKUP('Données projet'!$B$11,Paramètres!$A$1:$I$89,3,0)*VLOOKUP('Données projet'!$B$11,Paramètres!$A$1:$I$89,5,0)</f>
        <v>3.39923644787632E-13</v>
      </c>
      <c r="BF180" s="13">
        <f t="shared" si="167"/>
        <v>4.4287447204943725E-12</v>
      </c>
      <c r="BG180" s="20">
        <f t="shared" si="168"/>
        <v>8.3054307361994904E-12</v>
      </c>
      <c r="BH180" s="59">
        <f t="shared" si="116"/>
        <v>293.33333333334161</v>
      </c>
      <c r="BI180" s="59">
        <f ca="1">AVERAGE(OFFSET($BH$3,0,0,'Données projet'!$E$11+1,1))-AVERAGE(OFFSET($H$3,0,0,'Données projet'!$E$11+1,1))</f>
        <v>381.78368385345919</v>
      </c>
      <c r="BJ180" s="59">
        <f t="shared" si="146"/>
        <v>257.35575295655639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0.25893963965551031</v>
      </c>
      <c r="BR180" s="21">
        <f>EXP(-LN(2)/2)*BR179+(1-EXP(-LN(2)/2))/(LN(2)/2)*BL180*BO180*VLOOKUP('Données projet'!$B$11,Paramètres!$A$1:$I$89,3,0)*0.475*44/12</f>
        <v>1.3543861039869943E-18</v>
      </c>
      <c r="BS180" s="22">
        <f t="shared" si="169"/>
        <v>0.25893963965551031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1.1368683772161603E-13</v>
      </c>
      <c r="BZ180" s="13">
        <f>BY180*VLOOKUP('Données projet'!$B$12,Paramètres!$A$1:$I$89,3,0)*VLOOKUP('Données projet'!$B$12,Paramètres!$A$1:$I$89,5,0)</f>
        <v>5.4683368944097308E-14</v>
      </c>
      <c r="CA180" s="13">
        <f t="shared" si="170"/>
        <v>8.8129432816788268E-13</v>
      </c>
      <c r="CB180" s="20">
        <f t="shared" si="171"/>
        <v>1.6301611558033651E-12</v>
      </c>
      <c r="CC180" s="59">
        <f t="shared" si="119"/>
        <v>293.33333333333496</v>
      </c>
      <c r="CD180" s="59">
        <f ca="1">AVERAGE(OFFSET($CC$3,0,0,'Données projet'!$E$12+1,1))-AVERAGE(OFFSET($H$3,0,0,'Données projet'!$E$12+1,1))</f>
        <v>415.97633163853953</v>
      </c>
      <c r="CE180" s="59">
        <f t="shared" si="148"/>
        <v>356.23532720804423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0.14702827627304099</v>
      </c>
      <c r="CL180" s="21">
        <f>EXP(-LN(2)/25)*CL179+(1-EXP(-LN(2)/25))/(LN(2)/25)*Calculateur!CG180*Calculateur!CI180*VLOOKUP('Données projet'!$B$12,Paramètres!$A$1:$I$89,3,0)*0.475*44/12</f>
        <v>0.25537464698041662</v>
      </c>
      <c r="CM180" s="21">
        <f>EXP(-LN(2)/2)*CM179+(1-EXP(-LN(2)/2))/(LN(2)/2)*CG180*CJ180*VLOOKUP('Données projet'!$B$12,Paramètres!$A$1:$I$89,3,0)*0.475*44/12</f>
        <v>2.3715567332950059E-21</v>
      </c>
      <c r="CN180" s="22">
        <f t="shared" si="172"/>
        <v>0.40240292325345761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-2.5420376914553347E-13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492.3498626914548</v>
      </c>
      <c r="T181" s="59">
        <f t="shared" si="142"/>
        <v>635.90304180030307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0.29152836260313658</v>
      </c>
      <c r="AA181" s="21">
        <f>EXP(-LN(2)/25)*AA180+(1-EXP(-LN(2)/25))/(LN(2)/25)*Calculateur!V181*Calculateur!X181*VLOOKUP('Données projet'!$B$9,Paramètres!$A$1:$I$89,3,0)*0.475*44/12</f>
        <v>0.39957050941053357</v>
      </c>
      <c r="AB181" s="21">
        <f>EXP(-LN(2)/2)*AB180+(1-EXP(-LN(2)/2))/(LN(2)/2)*V181*Y181*VLOOKUP('Données projet'!$B$9,Paramètres!$A$1:$I$89,3,0)*0.475*44/12</f>
        <v>6.1937526948223837E-22</v>
      </c>
      <c r="AC181" s="22">
        <f t="shared" si="163"/>
        <v>0.69109887201367015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175.05987582828078</v>
      </c>
      <c r="AO181" s="59">
        <f t="shared" si="144"/>
        <v>268.54782308462387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0.28082982088127717</v>
      </c>
      <c r="AV181" s="21">
        <f>EXP(-LN(2)/25)*AV180+(1-EXP(-LN(2)/25))/(LN(2)/25)*Calculateur!AQ181*Calculateur!AS181*VLOOKUP('Données projet'!$B$10,Paramètres!$A$1:$I$89,3,0)*0.475*44/12</f>
        <v>0.2999514264817692</v>
      </c>
      <c r="AW181" s="21">
        <f>EXP(-LN(2)/2)*AW180+(1-EXP(-LN(2)/2))/(LN(2)/2)*AQ181*AT181*VLOOKUP('Données projet'!$B$10,Paramètres!$A$1:$I$89,3,0)*0.475*44/12</f>
        <v>5.4791080781544656E-22</v>
      </c>
      <c r="AX181" s="21">
        <f t="shared" si="166"/>
        <v>0.58078124736304637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5.6843418860808015E-13</v>
      </c>
      <c r="BE181" s="13">
        <f>BD181*VLOOKUP('Données projet'!$B$11,Paramètres!$A$1:$I$89,3,0)*VLOOKUP('Données projet'!$B$11,Paramètres!$A$1:$I$89,5,0)</f>
        <v>3.39923644787632E-13</v>
      </c>
      <c r="BF181" s="13">
        <f t="shared" si="167"/>
        <v>4.4287447204943725E-12</v>
      </c>
      <c r="BG181" s="20">
        <f t="shared" si="168"/>
        <v>8.3054307361994904E-12</v>
      </c>
      <c r="BH181" s="59">
        <f t="shared" si="116"/>
        <v>293.33333333334161</v>
      </c>
      <c r="BI181" s="59">
        <f ca="1">AVERAGE(OFFSET($BH$3,0,0,'Données projet'!$E$11+1,1))-AVERAGE(OFFSET($H$3,0,0,'Données projet'!$E$11+1,1))</f>
        <v>381.78368385345919</v>
      </c>
      <c r="BJ181" s="59">
        <f t="shared" si="146"/>
        <v>257.35575295655639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0.25185892159208656</v>
      </c>
      <c r="BR181" s="21">
        <f>EXP(-LN(2)/2)*BR180+(1-EXP(-LN(2)/2))/(LN(2)/2)*BL181*BO181*VLOOKUP('Données projet'!$B$11,Paramètres!$A$1:$I$89,3,0)*0.475*44/12</f>
        <v>9.5769559847403219E-19</v>
      </c>
      <c r="BS181" s="22">
        <f t="shared" si="169"/>
        <v>0.25185892159208656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1.1368683772161603E-13</v>
      </c>
      <c r="BZ181" s="13">
        <f>BY181*VLOOKUP('Données projet'!$B$12,Paramètres!$A$1:$I$89,3,0)*VLOOKUP('Données projet'!$B$12,Paramètres!$A$1:$I$89,5,0)</f>
        <v>5.4683368944097308E-14</v>
      </c>
      <c r="CA181" s="13">
        <f t="shared" si="170"/>
        <v>8.8129432816788268E-13</v>
      </c>
      <c r="CB181" s="20">
        <f t="shared" si="171"/>
        <v>1.6301611558033651E-12</v>
      </c>
      <c r="CC181" s="59">
        <f t="shared" si="119"/>
        <v>293.33333333333496</v>
      </c>
      <c r="CD181" s="59">
        <f ca="1">AVERAGE(OFFSET($CC$3,0,0,'Données projet'!$E$12+1,1))-AVERAGE(OFFSET($H$3,0,0,'Données projet'!$E$12+1,1))</f>
        <v>415.97633163853953</v>
      </c>
      <c r="CE181" s="59">
        <f t="shared" si="148"/>
        <v>356.23532720804423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0.14414514145372018</v>
      </c>
      <c r="CL181" s="21">
        <f>EXP(-LN(2)/25)*CL180+(1-EXP(-LN(2)/25))/(LN(2)/25)*Calculateur!CG181*Calculateur!CI181*VLOOKUP('Données projet'!$B$12,Paramètres!$A$1:$I$89,3,0)*0.475*44/12</f>
        <v>0.2483914138291681</v>
      </c>
      <c r="CM181" s="21">
        <f>EXP(-LN(2)/2)*CM180+(1-EXP(-LN(2)/2))/(LN(2)/2)*CG181*CJ181*VLOOKUP('Données projet'!$B$12,Paramètres!$A$1:$I$89,3,0)*0.475*44/12</f>
        <v>1.6769438480815153E-21</v>
      </c>
      <c r="CN181" s="22">
        <f t="shared" si="172"/>
        <v>0.39253655528288828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-2.5420376914553347E-13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492.3498626914548</v>
      </c>
      <c r="T182" s="59">
        <f t="shared" si="142"/>
        <v>635.90304180030307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0.2858116692272325</v>
      </c>
      <c r="AA182" s="21">
        <f>EXP(-LN(2)/25)*AA181+(1-EXP(-LN(2)/25))/(LN(2)/25)*Calculateur!V182*Calculateur!X182*VLOOKUP('Données projet'!$B$9,Paramètres!$A$1:$I$89,3,0)*0.475*44/12</f>
        <v>0.38864423281820265</v>
      </c>
      <c r="AB182" s="21">
        <f>EXP(-LN(2)/2)*AB181+(1-EXP(-LN(2)/2))/(LN(2)/2)*V182*Y182*VLOOKUP('Données projet'!$B$9,Paramètres!$A$1:$I$89,3,0)*0.475*44/12</f>
        <v>4.3796445315013603E-22</v>
      </c>
      <c r="AC182" s="22">
        <f t="shared" si="163"/>
        <v>0.67445590204543515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175.05987582828078</v>
      </c>
      <c r="AO182" s="59">
        <f t="shared" si="144"/>
        <v>268.54782308462387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0.27532291938307263</v>
      </c>
      <c r="AV182" s="21">
        <f>EXP(-LN(2)/25)*AV181+(1-EXP(-LN(2)/25))/(LN(2)/25)*Calculateur!AQ182*Calculateur!AS182*VLOOKUP('Données projet'!$B$10,Paramètres!$A$1:$I$89,3,0)*0.475*44/12</f>
        <v>0.29174923895086524</v>
      </c>
      <c r="AW182" s="21">
        <f>EXP(-LN(2)/2)*AW181+(1-EXP(-LN(2)/2))/(LN(2)/2)*AQ182*AT182*VLOOKUP('Données projet'!$B$10,Paramètres!$A$1:$I$89,3,0)*0.475*44/12</f>
        <v>3.8743144769170147E-22</v>
      </c>
      <c r="AX182" s="21">
        <f t="shared" si="166"/>
        <v>0.56707215833393787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5.6843418860808015E-13</v>
      </c>
      <c r="BE182" s="13">
        <f>BD182*VLOOKUP('Données projet'!$B$11,Paramètres!$A$1:$I$89,3,0)*VLOOKUP('Données projet'!$B$11,Paramètres!$A$1:$I$89,5,0)</f>
        <v>3.39923644787632E-13</v>
      </c>
      <c r="BF182" s="13">
        <f t="shared" si="167"/>
        <v>4.4287447204943725E-12</v>
      </c>
      <c r="BG182" s="20">
        <f t="shared" si="168"/>
        <v>8.3054307361994904E-12</v>
      </c>
      <c r="BH182" s="59">
        <f t="shared" si="116"/>
        <v>293.33333333334161</v>
      </c>
      <c r="BI182" s="59">
        <f ca="1">AVERAGE(OFFSET($BH$3,0,0,'Données projet'!$E$11+1,1))-AVERAGE(OFFSET($H$3,0,0,'Données projet'!$E$11+1,1))</f>
        <v>381.78368385345919</v>
      </c>
      <c r="BJ182" s="59">
        <f t="shared" si="146"/>
        <v>257.35575295655639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0.2449718261364659</v>
      </c>
      <c r="BR182" s="21">
        <f>EXP(-LN(2)/2)*BR181+(1-EXP(-LN(2)/2))/(LN(2)/2)*BL182*BO182*VLOOKUP('Données projet'!$B$11,Paramètres!$A$1:$I$89,3,0)*0.475*44/12</f>
        <v>6.7719305199349716E-19</v>
      </c>
      <c r="BS182" s="22">
        <f t="shared" si="169"/>
        <v>0.2449718261364659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1.1368683772161603E-13</v>
      </c>
      <c r="BZ182" s="13">
        <f>BY182*VLOOKUP('Données projet'!$B$12,Paramètres!$A$1:$I$89,3,0)*VLOOKUP('Données projet'!$B$12,Paramètres!$A$1:$I$89,5,0)</f>
        <v>5.4683368944097308E-14</v>
      </c>
      <c r="CA182" s="13">
        <f t="shared" si="170"/>
        <v>8.8129432816788268E-13</v>
      </c>
      <c r="CB182" s="20">
        <f t="shared" si="171"/>
        <v>1.6301611558033651E-12</v>
      </c>
      <c r="CC182" s="59">
        <f t="shared" si="119"/>
        <v>293.33333333333496</v>
      </c>
      <c r="CD182" s="59">
        <f ca="1">AVERAGE(OFFSET($CC$3,0,0,'Données projet'!$E$12+1,1))-AVERAGE(OFFSET($H$3,0,0,'Données projet'!$E$12+1,1))</f>
        <v>415.97633163853953</v>
      </c>
      <c r="CE182" s="59">
        <f t="shared" si="148"/>
        <v>356.23532720804423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0.14131854314966766</v>
      </c>
      <c r="CL182" s="21">
        <f>EXP(-LN(2)/25)*CL181+(1-EXP(-LN(2)/25))/(LN(2)/25)*Calculateur!CG182*Calculateur!CI182*VLOOKUP('Données projet'!$B$12,Paramètres!$A$1:$I$89,3,0)*0.475*44/12</f>
        <v>0.24159913755567275</v>
      </c>
      <c r="CM182" s="21">
        <f>EXP(-LN(2)/2)*CM181+(1-EXP(-LN(2)/2))/(LN(2)/2)*CG182*CJ182*VLOOKUP('Données projet'!$B$12,Paramètres!$A$1:$I$89,3,0)*0.475*44/12</f>
        <v>1.1857783666475032E-21</v>
      </c>
      <c r="CN182" s="22">
        <f t="shared" si="172"/>
        <v>0.38291768070534038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-2.5420376914553347E-13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492.3498626914548</v>
      </c>
      <c r="T183" s="59">
        <f t="shared" si="142"/>
        <v>635.90304180030307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0.28020707672159123</v>
      </c>
      <c r="AA183" s="21">
        <f>EXP(-LN(2)/25)*AA182+(1-EXP(-LN(2)/25))/(LN(2)/25)*Calculateur!V183*Calculateur!X183*VLOOKUP('Données projet'!$B$9,Paramètres!$A$1:$I$89,3,0)*0.475*44/12</f>
        <v>0.37801673583387696</v>
      </c>
      <c r="AB183" s="21">
        <f>EXP(-LN(2)/2)*AB182+(1-EXP(-LN(2)/2))/(LN(2)/2)*V183*Y183*VLOOKUP('Données projet'!$B$9,Paramètres!$A$1:$I$89,3,0)*0.475*44/12</f>
        <v>3.0968763474111918E-22</v>
      </c>
      <c r="AC183" s="22">
        <f t="shared" si="163"/>
        <v>0.65822381255546825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175.05987582828078</v>
      </c>
      <c r="AO183" s="59">
        <f t="shared" si="144"/>
        <v>268.54782308462387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0.26992400486436963</v>
      </c>
      <c r="AV183" s="21">
        <f>EXP(-LN(2)/25)*AV182+(1-EXP(-LN(2)/25))/(LN(2)/25)*Calculateur!AQ183*Calculateur!AS183*VLOOKUP('Données projet'!$B$10,Paramètres!$A$1:$I$89,3,0)*0.475*44/12</f>
        <v>0.28377134066932813</v>
      </c>
      <c r="AW183" s="21">
        <f>EXP(-LN(2)/2)*AW182+(1-EXP(-LN(2)/2))/(LN(2)/2)*AQ183*AT183*VLOOKUP('Données projet'!$B$10,Paramètres!$A$1:$I$89,3,0)*0.475*44/12</f>
        <v>2.7395540390772328E-22</v>
      </c>
      <c r="AX183" s="21">
        <f t="shared" si="166"/>
        <v>0.5536953455336977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5.6843418860808015E-13</v>
      </c>
      <c r="BE183" s="13">
        <f>BD183*VLOOKUP('Données projet'!$B$11,Paramètres!$A$1:$I$89,3,0)*VLOOKUP('Données projet'!$B$11,Paramètres!$A$1:$I$89,5,0)</f>
        <v>3.39923644787632E-13</v>
      </c>
      <c r="BF183" s="13">
        <f t="shared" si="167"/>
        <v>4.4287447204943725E-12</v>
      </c>
      <c r="BG183" s="20">
        <f t="shared" si="168"/>
        <v>8.3054307361994904E-12</v>
      </c>
      <c r="BH183" s="59">
        <f t="shared" si="116"/>
        <v>293.33333333334161</v>
      </c>
      <c r="BI183" s="59">
        <f ca="1">AVERAGE(OFFSET($BH$3,0,0,'Données projet'!$E$11+1,1))-AVERAGE(OFFSET($H$3,0,0,'Données projet'!$E$11+1,1))</f>
        <v>381.78368385345919</v>
      </c>
      <c r="BJ183" s="59">
        <f t="shared" si="146"/>
        <v>257.35575295655639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0.23827305866825579</v>
      </c>
      <c r="BR183" s="21">
        <f>EXP(-LN(2)/2)*BR182+(1-EXP(-LN(2)/2))/(LN(2)/2)*BL183*BO183*VLOOKUP('Données projet'!$B$11,Paramètres!$A$1:$I$89,3,0)*0.475*44/12</f>
        <v>4.7884779923701609E-19</v>
      </c>
      <c r="BS183" s="22">
        <f t="shared" si="169"/>
        <v>0.23827305866825579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1.1368683772161603E-13</v>
      </c>
      <c r="BZ183" s="13">
        <f>BY183*VLOOKUP('Données projet'!$B$12,Paramètres!$A$1:$I$89,3,0)*VLOOKUP('Données projet'!$B$12,Paramètres!$A$1:$I$89,5,0)</f>
        <v>5.4683368944097308E-14</v>
      </c>
      <c r="CA183" s="13">
        <f t="shared" si="170"/>
        <v>8.8129432816788268E-13</v>
      </c>
      <c r="CB183" s="20">
        <f t="shared" si="171"/>
        <v>1.6301611558033651E-12</v>
      </c>
      <c r="CC183" s="59">
        <f t="shared" si="119"/>
        <v>293.33333333333496</v>
      </c>
      <c r="CD183" s="59">
        <f ca="1">AVERAGE(OFFSET($CC$3,0,0,'Données projet'!$E$12+1,1))-AVERAGE(OFFSET($H$3,0,0,'Données projet'!$E$12+1,1))</f>
        <v>415.97633163853953</v>
      </c>
      <c r="CE183" s="59">
        <f t="shared" si="148"/>
        <v>356.23532720804423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0.13854737271430287</v>
      </c>
      <c r="CL183" s="21">
        <f>EXP(-LN(2)/25)*CL182+(1-EXP(-LN(2)/25))/(LN(2)/25)*Calculateur!CG183*Calculateur!CI183*VLOOKUP('Données projet'!$B$12,Paramètres!$A$1:$I$89,3,0)*0.475*44/12</f>
        <v>0.23499259643406642</v>
      </c>
      <c r="CM183" s="21">
        <f>EXP(-LN(2)/2)*CM182+(1-EXP(-LN(2)/2))/(LN(2)/2)*CG183*CJ183*VLOOKUP('Données projet'!$B$12,Paramètres!$A$1:$I$89,3,0)*0.475*44/12</f>
        <v>8.3847192404075783E-22</v>
      </c>
      <c r="CN183" s="22">
        <f t="shared" si="172"/>
        <v>0.37353996914836929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-2.5420376914553347E-13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492.3498626914548</v>
      </c>
      <c r="T184" s="59">
        <f t="shared" si="142"/>
        <v>635.90304180030307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0.27471238685652172</v>
      </c>
      <c r="AA184" s="21">
        <f>EXP(-LN(2)/25)*AA183+(1-EXP(-LN(2)/25))/(LN(2)/25)*Calculateur!V184*Calculateur!X184*VLOOKUP('Données projet'!$B$9,Paramètres!$A$1:$I$89,3,0)*0.475*44/12</f>
        <v>0.36767984831346345</v>
      </c>
      <c r="AB184" s="21">
        <f>EXP(-LN(2)/2)*AB183+(1-EXP(-LN(2)/2))/(LN(2)/2)*V184*Y184*VLOOKUP('Données projet'!$B$9,Paramètres!$A$1:$I$89,3,0)*0.475*44/12</f>
        <v>2.1898222657506801E-22</v>
      </c>
      <c r="AC184" s="22">
        <f t="shared" si="163"/>
        <v>0.64239223516998512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175.05987582828078</v>
      </c>
      <c r="AO184" s="59">
        <f t="shared" si="144"/>
        <v>268.54782308462387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0.26463095976636569</v>
      </c>
      <c r="AV184" s="21">
        <f>EXP(-LN(2)/25)*AV183+(1-EXP(-LN(2)/25))/(LN(2)/25)*Calculateur!AQ184*Calculateur!AS184*VLOOKUP('Données projet'!$B$10,Paramètres!$A$1:$I$89,3,0)*0.475*44/12</f>
        <v>0.27601159843583911</v>
      </c>
      <c r="AW184" s="21">
        <f>EXP(-LN(2)/2)*AW183+(1-EXP(-LN(2)/2))/(LN(2)/2)*AQ184*AT184*VLOOKUP('Données projet'!$B$10,Paramètres!$A$1:$I$89,3,0)*0.475*44/12</f>
        <v>1.9371572384585073E-22</v>
      </c>
      <c r="AX184" s="21">
        <f t="shared" si="166"/>
        <v>0.54064255820220475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5.6843418860808015E-13</v>
      </c>
      <c r="BE184" s="13">
        <f>BD184*VLOOKUP('Données projet'!$B$11,Paramètres!$A$1:$I$89,3,0)*VLOOKUP('Données projet'!$B$11,Paramètres!$A$1:$I$89,5,0)</f>
        <v>3.39923644787632E-13</v>
      </c>
      <c r="BF184" s="13">
        <f t="shared" si="167"/>
        <v>4.4287447204943725E-12</v>
      </c>
      <c r="BG184" s="20">
        <f t="shared" si="168"/>
        <v>8.3054307361994904E-12</v>
      </c>
      <c r="BH184" s="59">
        <f t="shared" si="116"/>
        <v>293.33333333334161</v>
      </c>
      <c r="BI184" s="59">
        <f ca="1">AVERAGE(OFFSET($BH$3,0,0,'Données projet'!$E$11+1,1))-AVERAGE(OFFSET($H$3,0,0,'Données projet'!$E$11+1,1))</f>
        <v>381.78368385345919</v>
      </c>
      <c r="BJ184" s="59">
        <f t="shared" si="146"/>
        <v>257.35575295655639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0.23175746934873676</v>
      </c>
      <c r="BR184" s="21">
        <f>EXP(-LN(2)/2)*BR183+(1-EXP(-LN(2)/2))/(LN(2)/2)*BL184*BO184*VLOOKUP('Données projet'!$B$11,Paramètres!$A$1:$I$89,3,0)*0.475*44/12</f>
        <v>3.3859652599674858E-19</v>
      </c>
      <c r="BS184" s="22">
        <f t="shared" si="169"/>
        <v>0.23175746934873676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1.1368683772161603E-13</v>
      </c>
      <c r="BZ184" s="13">
        <f>BY184*VLOOKUP('Données projet'!$B$12,Paramètres!$A$1:$I$89,3,0)*VLOOKUP('Données projet'!$B$12,Paramètres!$A$1:$I$89,5,0)</f>
        <v>5.4683368944097308E-14</v>
      </c>
      <c r="CA184" s="13">
        <f t="shared" si="170"/>
        <v>8.8129432816788268E-13</v>
      </c>
      <c r="CB184" s="20">
        <f t="shared" si="171"/>
        <v>1.6301611558033651E-12</v>
      </c>
      <c r="CC184" s="59">
        <f t="shared" si="119"/>
        <v>293.33333333333496</v>
      </c>
      <c r="CD184" s="59">
        <f ca="1">AVERAGE(OFFSET($CC$3,0,0,'Données projet'!$E$12+1,1))-AVERAGE(OFFSET($H$3,0,0,'Données projet'!$E$12+1,1))</f>
        <v>415.97633163853953</v>
      </c>
      <c r="CE184" s="59">
        <f t="shared" si="148"/>
        <v>356.23532720804423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0.13583054324092853</v>
      </c>
      <c r="CL184" s="21">
        <f>EXP(-LN(2)/25)*CL183+(1-EXP(-LN(2)/25))/(LN(2)/25)*Calculateur!CG184*Calculateur!CI184*VLOOKUP('Données projet'!$B$12,Paramètres!$A$1:$I$89,3,0)*0.475*44/12</f>
        <v>0.22856671152685332</v>
      </c>
      <c r="CM184" s="21">
        <f>EXP(-LN(2)/2)*CM183+(1-EXP(-LN(2)/2))/(LN(2)/2)*CG184*CJ184*VLOOKUP('Données projet'!$B$12,Paramètres!$A$1:$I$89,3,0)*0.475*44/12</f>
        <v>5.9288918332375167E-22</v>
      </c>
      <c r="CN184" s="22">
        <f t="shared" si="172"/>
        <v>0.36439725476778184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-2.5420376914553347E-13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492.3498626914548</v>
      </c>
      <c r="T185" s="59">
        <f t="shared" si="142"/>
        <v>635.90304180030307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0.26932544450827633</v>
      </c>
      <c r="AA185" s="21">
        <f>EXP(-LN(2)/25)*AA184+(1-EXP(-LN(2)/25))/(LN(2)/25)*Calculateur!V185*Calculateur!X185*VLOOKUP('Données projet'!$B$9,Paramètres!$A$1:$I$89,3,0)*0.475*44/12</f>
        <v>0.35762562352588889</v>
      </c>
      <c r="AB185" s="21">
        <f>EXP(-LN(2)/2)*AB184+(1-EXP(-LN(2)/2))/(LN(2)/2)*V185*Y185*VLOOKUP('Données projet'!$B$9,Paramètres!$A$1:$I$89,3,0)*0.475*44/12</f>
        <v>1.5484381737055959E-22</v>
      </c>
      <c r="AC185" s="22">
        <f t="shared" si="163"/>
        <v>0.62695106803416523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175.05987582828078</v>
      </c>
      <c r="AO185" s="59">
        <f t="shared" si="144"/>
        <v>268.54782308462387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0.2594417080542949</v>
      </c>
      <c r="AV185" s="21">
        <f>EXP(-LN(2)/25)*AV184+(1-EXP(-LN(2)/25))/(LN(2)/25)*Calculateur!AQ185*Calculateur!AS185*VLOOKUP('Données projet'!$B$10,Paramètres!$A$1:$I$89,3,0)*0.475*44/12</f>
        <v>0.26846404676179197</v>
      </c>
      <c r="AW185" s="21">
        <f>EXP(-LN(2)/2)*AW184+(1-EXP(-LN(2)/2))/(LN(2)/2)*AQ185*AT185*VLOOKUP('Données projet'!$B$10,Paramètres!$A$1:$I$89,3,0)*0.475*44/12</f>
        <v>1.3697770195386164E-22</v>
      </c>
      <c r="AX185" s="21">
        <f t="shared" si="166"/>
        <v>0.52790575481608681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5.6843418860808015E-13</v>
      </c>
      <c r="BE185" s="13">
        <f>BD185*VLOOKUP('Données projet'!$B$11,Paramètres!$A$1:$I$89,3,0)*VLOOKUP('Données projet'!$B$11,Paramètres!$A$1:$I$89,5,0)</f>
        <v>3.39923644787632E-13</v>
      </c>
      <c r="BF185" s="13">
        <f t="shared" si="167"/>
        <v>4.4287447204943725E-12</v>
      </c>
      <c r="BG185" s="20">
        <f t="shared" si="168"/>
        <v>8.3054307361994904E-12</v>
      </c>
      <c r="BH185" s="59">
        <f t="shared" si="116"/>
        <v>293.33333333334161</v>
      </c>
      <c r="BI185" s="59">
        <f ca="1">AVERAGE(OFFSET($BH$3,0,0,'Données projet'!$E$11+1,1))-AVERAGE(OFFSET($H$3,0,0,'Données projet'!$E$11+1,1))</f>
        <v>381.78368385345919</v>
      </c>
      <c r="BJ185" s="59">
        <f t="shared" si="146"/>
        <v>257.35575295655639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0.22542004916179992</v>
      </c>
      <c r="BR185" s="21">
        <f>EXP(-LN(2)/2)*BR184+(1-EXP(-LN(2)/2))/(LN(2)/2)*BL185*BO185*VLOOKUP('Données projet'!$B$11,Paramètres!$A$1:$I$89,3,0)*0.475*44/12</f>
        <v>2.3942389961850805E-19</v>
      </c>
      <c r="BS185" s="22">
        <f t="shared" si="169"/>
        <v>0.22542004916179992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1.1368683772161603E-13</v>
      </c>
      <c r="BZ185" s="13">
        <f>BY185*VLOOKUP('Données projet'!$B$12,Paramètres!$A$1:$I$89,3,0)*VLOOKUP('Données projet'!$B$12,Paramètres!$A$1:$I$89,5,0)</f>
        <v>5.4683368944097308E-14</v>
      </c>
      <c r="CA185" s="13">
        <f t="shared" si="170"/>
        <v>8.8129432816788268E-13</v>
      </c>
      <c r="CB185" s="20">
        <f t="shared" si="171"/>
        <v>1.6301611558033651E-12</v>
      </c>
      <c r="CC185" s="59">
        <f t="shared" si="119"/>
        <v>293.33333333333496</v>
      </c>
      <c r="CD185" s="59">
        <f ca="1">AVERAGE(OFFSET($CC$3,0,0,'Données projet'!$E$12+1,1))-AVERAGE(OFFSET($H$3,0,0,'Données projet'!$E$12+1,1))</f>
        <v>415.97633163853953</v>
      </c>
      <c r="CE185" s="59">
        <f t="shared" si="148"/>
        <v>356.23532720804423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0.13316698913642469</v>
      </c>
      <c r="CL185" s="21">
        <f>EXP(-LN(2)/25)*CL184+(1-EXP(-LN(2)/25))/(LN(2)/25)*Calculateur!CG185*Calculateur!CI185*VLOOKUP('Données projet'!$B$12,Paramètres!$A$1:$I$89,3,0)*0.475*44/12</f>
        <v>0.22231654278035054</v>
      </c>
      <c r="CM185" s="21">
        <f>EXP(-LN(2)/2)*CM184+(1-EXP(-LN(2)/2))/(LN(2)/2)*CG185*CJ185*VLOOKUP('Données projet'!$B$12,Paramètres!$A$1:$I$89,3,0)*0.475*44/12</f>
        <v>4.1923596202037896E-22</v>
      </c>
      <c r="CN185" s="22">
        <f t="shared" si="172"/>
        <v>0.35548353191677523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-2.5420376914553347E-13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492.3498626914548</v>
      </c>
      <c r="T186" s="59">
        <f t="shared" si="142"/>
        <v>635.90304180030307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0.26404413681376965</v>
      </c>
      <c r="AA186" s="21">
        <f>EXP(-LN(2)/25)*AA185+(1-EXP(-LN(2)/25))/(LN(2)/25)*Calculateur!V186*Calculateur!X186*VLOOKUP('Données projet'!$B$9,Paramètres!$A$1:$I$89,3,0)*0.475*44/12</f>
        <v>0.34784633204385929</v>
      </c>
      <c r="AB186" s="21">
        <f>EXP(-LN(2)/2)*AB185+(1-EXP(-LN(2)/2))/(LN(2)/2)*V186*Y186*VLOOKUP('Données projet'!$B$9,Paramètres!$A$1:$I$89,3,0)*0.475*44/12</f>
        <v>1.0949111328753401E-22</v>
      </c>
      <c r="AC186" s="22">
        <f t="shared" si="163"/>
        <v>0.61189046885762899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175.05987582828078</v>
      </c>
      <c r="AO186" s="59">
        <f t="shared" si="144"/>
        <v>268.54782308462387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0.2543542144031668</v>
      </c>
      <c r="AV186" s="21">
        <f>EXP(-LN(2)/25)*AV185+(1-EXP(-LN(2)/25))/(LN(2)/25)*Calculateur!AQ186*Calculateur!AS186*VLOOKUP('Données projet'!$B$10,Paramètres!$A$1:$I$89,3,0)*0.475*44/12</f>
        <v>0.26112288328518013</v>
      </c>
      <c r="AW186" s="21">
        <f>EXP(-LN(2)/2)*AW185+(1-EXP(-LN(2)/2))/(LN(2)/2)*AQ186*AT186*VLOOKUP('Données projet'!$B$10,Paramètres!$A$1:$I$89,3,0)*0.475*44/12</f>
        <v>9.6857861922925367E-23</v>
      </c>
      <c r="AX186" s="21">
        <f t="shared" si="166"/>
        <v>0.51547709768834693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5.6843418860808015E-13</v>
      </c>
      <c r="BE186" s="13">
        <f>BD186*VLOOKUP('Données projet'!$B$11,Paramètres!$A$1:$I$89,3,0)*VLOOKUP('Données projet'!$B$11,Paramètres!$A$1:$I$89,5,0)</f>
        <v>3.39923644787632E-13</v>
      </c>
      <c r="BF186" s="13">
        <f t="shared" si="167"/>
        <v>4.4287447204943725E-12</v>
      </c>
      <c r="BG186" s="20">
        <f t="shared" si="168"/>
        <v>8.3054307361994904E-12</v>
      </c>
      <c r="BH186" s="59">
        <f t="shared" si="116"/>
        <v>293.33333333334161</v>
      </c>
      <c r="BI186" s="59">
        <f ca="1">AVERAGE(OFFSET($BH$3,0,0,'Données projet'!$E$11+1,1))-AVERAGE(OFFSET($H$3,0,0,'Données projet'!$E$11+1,1))</f>
        <v>381.78368385345919</v>
      </c>
      <c r="BJ186" s="59">
        <f t="shared" si="146"/>
        <v>257.35575295655639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0.21925592606314531</v>
      </c>
      <c r="BR186" s="21">
        <f>EXP(-LN(2)/2)*BR185+(1-EXP(-LN(2)/2))/(LN(2)/2)*BL186*BO186*VLOOKUP('Données projet'!$B$11,Paramètres!$A$1:$I$89,3,0)*0.475*44/12</f>
        <v>1.6929826299837429E-19</v>
      </c>
      <c r="BS186" s="22">
        <f t="shared" si="169"/>
        <v>0.21925592606314531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1.1368683772161603E-13</v>
      </c>
      <c r="BZ186" s="13">
        <f>BY186*VLOOKUP('Données projet'!$B$12,Paramètres!$A$1:$I$89,3,0)*VLOOKUP('Données projet'!$B$12,Paramètres!$A$1:$I$89,5,0)</f>
        <v>5.4683368944097308E-14</v>
      </c>
      <c r="CA186" s="13">
        <f t="shared" si="170"/>
        <v>8.8129432816788268E-13</v>
      </c>
      <c r="CB186" s="20">
        <f t="shared" si="171"/>
        <v>1.6301611558033651E-12</v>
      </c>
      <c r="CC186" s="59">
        <f t="shared" si="119"/>
        <v>293.33333333333496</v>
      </c>
      <c r="CD186" s="59">
        <f ca="1">AVERAGE(OFFSET($CC$3,0,0,'Données projet'!$E$12+1,1))-AVERAGE(OFFSET($H$3,0,0,'Données projet'!$E$12+1,1))</f>
        <v>415.97633163853953</v>
      </c>
      <c r="CE186" s="59">
        <f t="shared" si="148"/>
        <v>356.23532720804423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0.1305556657033026</v>
      </c>
      <c r="CL186" s="21">
        <f>EXP(-LN(2)/25)*CL185+(1-EXP(-LN(2)/25))/(LN(2)/25)*Calculateur!CG186*Calculateur!CI186*VLOOKUP('Données projet'!$B$12,Paramètres!$A$1:$I$89,3,0)*0.475*44/12</f>
        <v>0.21623728522690297</v>
      </c>
      <c r="CM186" s="21">
        <f>EXP(-LN(2)/2)*CM185+(1-EXP(-LN(2)/2))/(LN(2)/2)*CG186*CJ186*VLOOKUP('Données projet'!$B$12,Paramètres!$A$1:$I$89,3,0)*0.475*44/12</f>
        <v>2.9644459166187588E-22</v>
      </c>
      <c r="CN186" s="22">
        <f t="shared" si="172"/>
        <v>0.34679295093020557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-2.5420376914553347E-13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492.3498626914548</v>
      </c>
      <c r="T187" s="59">
        <f t="shared" si="142"/>
        <v>635.90304180030307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0.25886639234187259</v>
      </c>
      <c r="AA187" s="21">
        <f>EXP(-LN(2)/25)*AA186+(1-EXP(-LN(2)/25))/(LN(2)/25)*Calculateur!V187*Calculateur!X187*VLOOKUP('Données projet'!$B$9,Paramètres!$A$1:$I$89,3,0)*0.475*44/12</f>
        <v>0.33833445580167637</v>
      </c>
      <c r="AB187" s="21">
        <f>EXP(-LN(2)/2)*AB186+(1-EXP(-LN(2)/2))/(LN(2)/2)*V187*Y187*VLOOKUP('Données projet'!$B$9,Paramètres!$A$1:$I$89,3,0)*0.475*44/12</f>
        <v>7.7421908685279796E-23</v>
      </c>
      <c r="AC187" s="22">
        <f t="shared" si="163"/>
        <v>0.5972008481435489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175.05987582828078</v>
      </c>
      <c r="AO187" s="59">
        <f t="shared" si="144"/>
        <v>268.54782308462387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0.24936648339947262</v>
      </c>
      <c r="AV187" s="21">
        <f>EXP(-LN(2)/25)*AV186+(1-EXP(-LN(2)/25))/(LN(2)/25)*Calculateur!AQ187*Calculateur!AS187*VLOOKUP('Données projet'!$B$10,Paramètres!$A$1:$I$89,3,0)*0.475*44/12</f>
        <v>0.25398246430989124</v>
      </c>
      <c r="AW187" s="21">
        <f>EXP(-LN(2)/2)*AW186+(1-EXP(-LN(2)/2))/(LN(2)/2)*AQ187*AT187*VLOOKUP('Données projet'!$B$10,Paramètres!$A$1:$I$89,3,0)*0.475*44/12</f>
        <v>6.848885097693082E-23</v>
      </c>
      <c r="AX187" s="21">
        <f t="shared" si="166"/>
        <v>0.50334894770936389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5.6843418860808015E-13</v>
      </c>
      <c r="BE187" s="13">
        <f>BD187*VLOOKUP('Données projet'!$B$11,Paramètres!$A$1:$I$89,3,0)*VLOOKUP('Données projet'!$B$11,Paramètres!$A$1:$I$89,5,0)</f>
        <v>3.39923644787632E-13</v>
      </c>
      <c r="BF187" s="13">
        <f t="shared" si="167"/>
        <v>4.4287447204943725E-12</v>
      </c>
      <c r="BG187" s="20">
        <f t="shared" si="168"/>
        <v>8.3054307361994904E-12</v>
      </c>
      <c r="BH187" s="59">
        <f t="shared" si="116"/>
        <v>293.33333333334161</v>
      </c>
      <c r="BI187" s="59">
        <f ca="1">AVERAGE(OFFSET($BH$3,0,0,'Données projet'!$E$11+1,1))-AVERAGE(OFFSET($H$3,0,0,'Données projet'!$E$11+1,1))</f>
        <v>381.78368385345919</v>
      </c>
      <c r="BJ187" s="59">
        <f t="shared" si="146"/>
        <v>257.35575295655639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0.21326036123478057</v>
      </c>
      <c r="BR187" s="21">
        <f>EXP(-LN(2)/2)*BR186+(1-EXP(-LN(2)/2))/(LN(2)/2)*BL187*BO187*VLOOKUP('Données projet'!$B$11,Paramètres!$A$1:$I$89,3,0)*0.475*44/12</f>
        <v>1.1971194980925402E-19</v>
      </c>
      <c r="BS187" s="22">
        <f t="shared" si="169"/>
        <v>0.21326036123478057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1.1368683772161603E-13</v>
      </c>
      <c r="BZ187" s="13">
        <f>BY187*VLOOKUP('Données projet'!$B$12,Paramètres!$A$1:$I$89,3,0)*VLOOKUP('Données projet'!$B$12,Paramètres!$A$1:$I$89,5,0)</f>
        <v>5.4683368944097308E-14</v>
      </c>
      <c r="CA187" s="13">
        <f t="shared" si="170"/>
        <v>8.8129432816788268E-13</v>
      </c>
      <c r="CB187" s="20">
        <f t="shared" si="171"/>
        <v>1.6301611558033651E-12</v>
      </c>
      <c r="CC187" s="59">
        <f t="shared" si="119"/>
        <v>293.33333333333496</v>
      </c>
      <c r="CD187" s="59">
        <f ca="1">AVERAGE(OFFSET($CC$3,0,0,'Données projet'!$E$12+1,1))-AVERAGE(OFFSET($H$3,0,0,'Données projet'!$E$12+1,1))</f>
        <v>415.97633163853953</v>
      </c>
      <c r="CE187" s="59">
        <f t="shared" si="148"/>
        <v>356.23532720804423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0.127995548729954</v>
      </c>
      <c r="CL187" s="21">
        <f>EXP(-LN(2)/25)*CL186+(1-EXP(-LN(2)/25))/(LN(2)/25)*Calculateur!CG187*Calculateur!CI187*VLOOKUP('Données projet'!$B$12,Paramètres!$A$1:$I$89,3,0)*0.475*44/12</f>
        <v>0.21032426529094869</v>
      </c>
      <c r="CM187" s="21">
        <f>EXP(-LN(2)/2)*CM186+(1-EXP(-LN(2)/2))/(LN(2)/2)*CG187*CJ187*VLOOKUP('Données projet'!$B$12,Paramètres!$A$1:$I$89,3,0)*0.475*44/12</f>
        <v>2.096179810101895E-22</v>
      </c>
      <c r="CN187" s="22">
        <f t="shared" si="172"/>
        <v>0.33831981402090272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-2.5420376914553347E-13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492.3498626914548</v>
      </c>
      <c r="T188" s="59">
        <f t="shared" si="142"/>
        <v>635.90304180030307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0.25379018028095718</v>
      </c>
      <c r="AA188" s="21">
        <f>EXP(-LN(2)/25)*AA187+(1-EXP(-LN(2)/25))/(LN(2)/25)*Calculateur!V188*Calculateur!X188*VLOOKUP('Données projet'!$B$9,Paramètres!$A$1:$I$89,3,0)*0.475*44/12</f>
        <v>0.32908268231554377</v>
      </c>
      <c r="AB188" s="21">
        <f>EXP(-LN(2)/2)*AB187+(1-EXP(-LN(2)/2))/(LN(2)/2)*V188*Y188*VLOOKUP('Données projet'!$B$9,Paramètres!$A$1:$I$89,3,0)*0.475*44/12</f>
        <v>5.4745556643767004E-23</v>
      </c>
      <c r="AC188" s="22">
        <f t="shared" si="163"/>
        <v>0.58287286259650095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175.05987582828078</v>
      </c>
      <c r="AO188" s="59">
        <f t="shared" si="144"/>
        <v>268.54782308462387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0.24447655875854535</v>
      </c>
      <c r="AV188" s="21">
        <f>EXP(-LN(2)/25)*AV187+(1-EXP(-LN(2)/25))/(LN(2)/25)*Calculateur!AQ188*Calculateur!AS188*VLOOKUP('Données projet'!$B$10,Paramètres!$A$1:$I$89,3,0)*0.475*44/12</f>
        <v>0.24703730046697994</v>
      </c>
      <c r="AW188" s="21">
        <f>EXP(-LN(2)/2)*AW187+(1-EXP(-LN(2)/2))/(LN(2)/2)*AQ188*AT188*VLOOKUP('Données projet'!$B$10,Paramètres!$A$1:$I$89,3,0)*0.475*44/12</f>
        <v>4.8428930961462683E-23</v>
      </c>
      <c r="AX188" s="21">
        <f t="shared" si="166"/>
        <v>0.49151385922552526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5.6843418860808015E-13</v>
      </c>
      <c r="BE188" s="13">
        <f>BD188*VLOOKUP('Données projet'!$B$11,Paramètres!$A$1:$I$89,3,0)*VLOOKUP('Données projet'!$B$11,Paramètres!$A$1:$I$89,5,0)</f>
        <v>3.39923644787632E-13</v>
      </c>
      <c r="BF188" s="13">
        <f t="shared" si="167"/>
        <v>4.4287447204943725E-12</v>
      </c>
      <c r="BG188" s="20">
        <f t="shared" si="168"/>
        <v>8.3054307361994904E-12</v>
      </c>
      <c r="BH188" s="59">
        <f t="shared" si="116"/>
        <v>293.33333333334161</v>
      </c>
      <c r="BI188" s="59">
        <f ca="1">AVERAGE(OFFSET($BH$3,0,0,'Données projet'!$E$11+1,1))-AVERAGE(OFFSET($H$3,0,0,'Données projet'!$E$11+1,1))</f>
        <v>381.78368385345919</v>
      </c>
      <c r="BJ188" s="59">
        <f t="shared" si="146"/>
        <v>257.35575295655639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0.20742874544194051</v>
      </c>
      <c r="BR188" s="21">
        <f>EXP(-LN(2)/2)*BR187+(1-EXP(-LN(2)/2))/(LN(2)/2)*BL188*BO188*VLOOKUP('Données projet'!$B$11,Paramètres!$A$1:$I$89,3,0)*0.475*44/12</f>
        <v>8.4649131499187145E-20</v>
      </c>
      <c r="BS188" s="22">
        <f t="shared" si="169"/>
        <v>0.20742874544194051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1.1368683772161603E-13</v>
      </c>
      <c r="BZ188" s="13">
        <f>BY188*VLOOKUP('Données projet'!$B$12,Paramètres!$A$1:$I$89,3,0)*VLOOKUP('Données projet'!$B$12,Paramètres!$A$1:$I$89,5,0)</f>
        <v>5.4683368944097308E-14</v>
      </c>
      <c r="CA188" s="13">
        <f t="shared" si="170"/>
        <v>8.8129432816788268E-13</v>
      </c>
      <c r="CB188" s="20">
        <f t="shared" si="171"/>
        <v>1.6301611558033651E-12</v>
      </c>
      <c r="CC188" s="59">
        <f t="shared" si="119"/>
        <v>293.33333333333496</v>
      </c>
      <c r="CD188" s="59">
        <f ca="1">AVERAGE(OFFSET($CC$3,0,0,'Données projet'!$E$12+1,1))-AVERAGE(OFFSET($H$3,0,0,'Données projet'!$E$12+1,1))</f>
        <v>415.97633163853953</v>
      </c>
      <c r="CE188" s="59">
        <f t="shared" si="148"/>
        <v>356.23532720804423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0.12548563408893559</v>
      </c>
      <c r="CL188" s="21">
        <f>EXP(-LN(2)/25)*CL187+(1-EXP(-LN(2)/25))/(LN(2)/25)*Calculateur!CG188*Calculateur!CI188*VLOOKUP('Données projet'!$B$12,Paramètres!$A$1:$I$89,3,0)*0.475*44/12</f>
        <v>0.20457293719609529</v>
      </c>
      <c r="CM188" s="21">
        <f>EXP(-LN(2)/2)*CM187+(1-EXP(-LN(2)/2))/(LN(2)/2)*CG188*CJ188*VLOOKUP('Données projet'!$B$12,Paramètres!$A$1:$I$89,3,0)*0.475*44/12</f>
        <v>1.4822229583093796E-22</v>
      </c>
      <c r="CN188" s="22">
        <f t="shared" si="172"/>
        <v>0.33005857128503091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-2.5420376914553347E-13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492.3498626914548</v>
      </c>
      <c r="T189" s="59">
        <f t="shared" si="142"/>
        <v>635.90304180030307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0.24881350964237267</v>
      </c>
      <c r="AA189" s="21">
        <f>EXP(-LN(2)/25)*AA188+(1-EXP(-LN(2)/25))/(LN(2)/25)*Calculateur!V189*Calculateur!X189*VLOOKUP('Données projet'!$B$9,Paramètres!$A$1:$I$89,3,0)*0.475*44/12</f>
        <v>0.32008389906191909</v>
      </c>
      <c r="AB189" s="21">
        <f>EXP(-LN(2)/2)*AB188+(1-EXP(-LN(2)/2))/(LN(2)/2)*V189*Y189*VLOOKUP('Données projet'!$B$9,Paramètres!$A$1:$I$89,3,0)*0.475*44/12</f>
        <v>3.8710954342639898E-23</v>
      </c>
      <c r="AC189" s="22">
        <f t="shared" si="163"/>
        <v>0.56889740870429173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175.05987582828078</v>
      </c>
      <c r="AO189" s="59">
        <f t="shared" si="144"/>
        <v>268.54782308462387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0.23968252255726713</v>
      </c>
      <c r="AV189" s="21">
        <f>EXP(-LN(2)/25)*AV188+(1-EXP(-LN(2)/25))/(LN(2)/25)*Calculateur!AQ189*Calculateur!AS189*VLOOKUP('Données projet'!$B$10,Paramètres!$A$1:$I$89,3,0)*0.475*44/12</f>
        <v>0.24028205249458334</v>
      </c>
      <c r="AW189" s="21">
        <f>EXP(-LN(2)/2)*AW188+(1-EXP(-LN(2)/2))/(LN(2)/2)*AQ189*AT189*VLOOKUP('Données projet'!$B$10,Paramètres!$A$1:$I$89,3,0)*0.475*44/12</f>
        <v>3.424442548846541E-23</v>
      </c>
      <c r="AX189" s="21">
        <f t="shared" si="166"/>
        <v>0.47996457505185047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5.6843418860808015E-13</v>
      </c>
      <c r="BE189" s="13">
        <f>BD189*VLOOKUP('Données projet'!$B$11,Paramètres!$A$1:$I$89,3,0)*VLOOKUP('Données projet'!$B$11,Paramètres!$A$1:$I$89,5,0)</f>
        <v>3.39923644787632E-13</v>
      </c>
      <c r="BF189" s="13">
        <f t="shared" si="167"/>
        <v>4.4287447204943725E-12</v>
      </c>
      <c r="BG189" s="20">
        <f t="shared" si="168"/>
        <v>8.3054307361994904E-12</v>
      </c>
      <c r="BH189" s="59">
        <f t="shared" si="116"/>
        <v>293.33333333334161</v>
      </c>
      <c r="BI189" s="59">
        <f ca="1">AVERAGE(OFFSET($BH$3,0,0,'Données projet'!$E$11+1,1))-AVERAGE(OFFSET($H$3,0,0,'Données projet'!$E$11+1,1))</f>
        <v>381.78368385345919</v>
      </c>
      <c r="BJ189" s="59">
        <f t="shared" si="146"/>
        <v>257.35575295655639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0.20175659548962702</v>
      </c>
      <c r="BR189" s="21">
        <f>EXP(-LN(2)/2)*BR188+(1-EXP(-LN(2)/2))/(LN(2)/2)*BL189*BO189*VLOOKUP('Données projet'!$B$11,Paramètres!$A$1:$I$89,3,0)*0.475*44/12</f>
        <v>5.9855974904627012E-20</v>
      </c>
      <c r="BS189" s="22">
        <f t="shared" si="169"/>
        <v>0.20175659548962702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1.1368683772161603E-13</v>
      </c>
      <c r="BZ189" s="13">
        <f>BY189*VLOOKUP('Données projet'!$B$12,Paramètres!$A$1:$I$89,3,0)*VLOOKUP('Données projet'!$B$12,Paramètres!$A$1:$I$89,5,0)</f>
        <v>5.4683368944097308E-14</v>
      </c>
      <c r="CA189" s="13">
        <f t="shared" si="170"/>
        <v>8.8129432816788268E-13</v>
      </c>
      <c r="CB189" s="20">
        <f t="shared" si="171"/>
        <v>1.6301611558033651E-12</v>
      </c>
      <c r="CC189" s="59">
        <f t="shared" si="119"/>
        <v>293.33333333333496</v>
      </c>
      <c r="CD189" s="59">
        <f ca="1">AVERAGE(OFFSET($CC$3,0,0,'Données projet'!$E$12+1,1))-AVERAGE(OFFSET($H$3,0,0,'Données projet'!$E$12+1,1))</f>
        <v>415.97633163853953</v>
      </c>
      <c r="CE189" s="59">
        <f t="shared" si="148"/>
        <v>356.23532720804423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0.12302493734313079</v>
      </c>
      <c r="CL189" s="21">
        <f>EXP(-LN(2)/25)*CL188+(1-EXP(-LN(2)/25))/(LN(2)/25)*Calculateur!CG189*Calculateur!CI189*VLOOKUP('Données projet'!$B$12,Paramètres!$A$1:$I$89,3,0)*0.475*44/12</f>
        <v>0.19897887947044485</v>
      </c>
      <c r="CM189" s="21">
        <f>EXP(-LN(2)/2)*CM188+(1-EXP(-LN(2)/2))/(LN(2)/2)*CG189*CJ189*VLOOKUP('Données projet'!$B$12,Paramètres!$A$1:$I$89,3,0)*0.475*44/12</f>
        <v>1.0480899050509478E-22</v>
      </c>
      <c r="CN189" s="22">
        <f t="shared" si="172"/>
        <v>0.32200381681357565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-2.5420376914553347E-13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492.3498626914548</v>
      </c>
      <c r="T190" s="59">
        <f t="shared" si="142"/>
        <v>635.90304180030307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0.24393442847954144</v>
      </c>
      <c r="AA190" s="21">
        <f>EXP(-LN(2)/25)*AA189+(1-EXP(-LN(2)/25))/(LN(2)/25)*Calculateur!V190*Calculateur!X190*VLOOKUP('Données projet'!$B$9,Paramètres!$A$1:$I$89,3,0)*0.475*44/12</f>
        <v>0.3113311880095902</v>
      </c>
      <c r="AB190" s="21">
        <f>EXP(-LN(2)/2)*AB189+(1-EXP(-LN(2)/2))/(LN(2)/2)*V190*Y190*VLOOKUP('Données projet'!$B$9,Paramètres!$A$1:$I$89,3,0)*0.475*44/12</f>
        <v>2.7372778321883502E-23</v>
      </c>
      <c r="AC190" s="22">
        <f t="shared" si="163"/>
        <v>0.55526561648913164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175.05987582828078</v>
      </c>
      <c r="AO190" s="59">
        <f t="shared" si="144"/>
        <v>268.54782308462387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0.23498249448182262</v>
      </c>
      <c r="AV190" s="21">
        <f>EXP(-LN(2)/25)*AV189+(1-EXP(-LN(2)/25))/(LN(2)/25)*Calculateur!AQ190*Calculateur!AS190*VLOOKUP('Données projet'!$B$10,Paramètres!$A$1:$I$89,3,0)*0.475*44/12</f>
        <v>0.23371152713323498</v>
      </c>
      <c r="AW190" s="21">
        <f>EXP(-LN(2)/2)*AW189+(1-EXP(-LN(2)/2))/(LN(2)/2)*AQ190*AT190*VLOOKUP('Données projet'!$B$10,Paramètres!$A$1:$I$89,3,0)*0.475*44/12</f>
        <v>2.4214465480731342E-23</v>
      </c>
      <c r="AX190" s="21">
        <f t="shared" si="166"/>
        <v>0.46869402161505758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5.6843418860808015E-13</v>
      </c>
      <c r="BE190" s="13">
        <f>BD190*VLOOKUP('Données projet'!$B$11,Paramètres!$A$1:$I$89,3,0)*VLOOKUP('Données projet'!$B$11,Paramètres!$A$1:$I$89,5,0)</f>
        <v>3.39923644787632E-13</v>
      </c>
      <c r="BF190" s="13">
        <f t="shared" si="167"/>
        <v>4.4287447204943725E-12</v>
      </c>
      <c r="BG190" s="20">
        <f t="shared" si="168"/>
        <v>8.3054307361994904E-12</v>
      </c>
      <c r="BH190" s="59">
        <f t="shared" si="116"/>
        <v>293.33333333334161</v>
      </c>
      <c r="BI190" s="59">
        <f ca="1">AVERAGE(OFFSET($BH$3,0,0,'Données projet'!$E$11+1,1))-AVERAGE(OFFSET($H$3,0,0,'Données projet'!$E$11+1,1))</f>
        <v>381.78368385345919</v>
      </c>
      <c r="BJ190" s="59">
        <f t="shared" si="146"/>
        <v>257.35575295655639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0.19623955077604494</v>
      </c>
      <c r="BR190" s="21">
        <f>EXP(-LN(2)/2)*BR189+(1-EXP(-LN(2)/2))/(LN(2)/2)*BL190*BO190*VLOOKUP('Données projet'!$B$11,Paramètres!$A$1:$I$89,3,0)*0.475*44/12</f>
        <v>4.2324565749593573E-20</v>
      </c>
      <c r="BS190" s="22">
        <f t="shared" si="169"/>
        <v>0.19623955077604494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1.1368683772161603E-13</v>
      </c>
      <c r="BZ190" s="13">
        <f>BY190*VLOOKUP('Données projet'!$B$12,Paramètres!$A$1:$I$89,3,0)*VLOOKUP('Données projet'!$B$12,Paramètres!$A$1:$I$89,5,0)</f>
        <v>5.4683368944097308E-14</v>
      </c>
      <c r="CA190" s="13">
        <f t="shared" si="170"/>
        <v>8.8129432816788268E-13</v>
      </c>
      <c r="CB190" s="20">
        <f t="shared" si="171"/>
        <v>1.6301611558033651E-12</v>
      </c>
      <c r="CC190" s="59">
        <f t="shared" si="119"/>
        <v>293.33333333333496</v>
      </c>
      <c r="CD190" s="59">
        <f ca="1">AVERAGE(OFFSET($CC$3,0,0,'Données projet'!$E$12+1,1))-AVERAGE(OFFSET($H$3,0,0,'Données projet'!$E$12+1,1))</f>
        <v>415.97633163853953</v>
      </c>
      <c r="CE190" s="59">
        <f t="shared" si="148"/>
        <v>356.23532720804423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0.12061249335963441</v>
      </c>
      <c r="CL190" s="21">
        <f>EXP(-LN(2)/25)*CL189+(1-EXP(-LN(2)/25))/(LN(2)/25)*Calculateur!CG190*Calculateur!CI190*VLOOKUP('Données projet'!$B$12,Paramètres!$A$1:$I$89,3,0)*0.475*44/12</f>
        <v>0.19353779154748105</v>
      </c>
      <c r="CM190" s="21">
        <f>EXP(-LN(2)/2)*CM189+(1-EXP(-LN(2)/2))/(LN(2)/2)*CG190*CJ190*VLOOKUP('Données projet'!$B$12,Paramètres!$A$1:$I$89,3,0)*0.475*44/12</f>
        <v>7.4111147915468994E-23</v>
      </c>
      <c r="CN190" s="22">
        <f t="shared" si="172"/>
        <v>0.31415028490711544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-2.5420376914553347E-13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492.3498626914548</v>
      </c>
      <c r="T191" s="59">
        <f t="shared" si="142"/>
        <v>635.90304180030307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0.23915102312236769</v>
      </c>
      <c r="AA191" s="21">
        <f>EXP(-LN(2)/25)*AA190+(1-EXP(-LN(2)/25))/(LN(2)/25)*Calculateur!V191*Calculateur!X191*VLOOKUP('Données projet'!$B$9,Paramètres!$A$1:$I$89,3,0)*0.475*44/12</f>
        <v>0.30281782030127236</v>
      </c>
      <c r="AB191" s="21">
        <f>EXP(-LN(2)/2)*AB190+(1-EXP(-LN(2)/2))/(LN(2)/2)*V191*Y191*VLOOKUP('Données projet'!$B$9,Paramètres!$A$1:$I$89,3,0)*0.475*44/12</f>
        <v>1.9355477171319949E-23</v>
      </c>
      <c r="AC191" s="22">
        <f t="shared" si="163"/>
        <v>0.54196884342364005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175.05987582828078</v>
      </c>
      <c r="AO191" s="59">
        <f t="shared" si="144"/>
        <v>268.54782308462387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0.23037463109020354</v>
      </c>
      <c r="AV191" s="21">
        <f>EXP(-LN(2)/25)*AV190+(1-EXP(-LN(2)/25))/(LN(2)/25)*Calculateur!AQ191*Calculateur!AS191*VLOOKUP('Données projet'!$B$10,Paramètres!$A$1:$I$89,3,0)*0.475*44/12</f>
        <v>0.22732067313342161</v>
      </c>
      <c r="AW191" s="21">
        <f>EXP(-LN(2)/2)*AW190+(1-EXP(-LN(2)/2))/(LN(2)/2)*AQ191*AT191*VLOOKUP('Données projet'!$B$10,Paramètres!$A$1:$I$89,3,0)*0.475*44/12</f>
        <v>1.7122212744232705E-23</v>
      </c>
      <c r="AX191" s="21">
        <f t="shared" si="166"/>
        <v>0.45769530422362514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5.6843418860808015E-13</v>
      </c>
      <c r="BE191" s="13">
        <f>BD191*VLOOKUP('Données projet'!$B$11,Paramètres!$A$1:$I$89,3,0)*VLOOKUP('Données projet'!$B$11,Paramètres!$A$1:$I$89,5,0)</f>
        <v>3.39923644787632E-13</v>
      </c>
      <c r="BF191" s="13">
        <f t="shared" si="167"/>
        <v>4.4287447204943725E-12</v>
      </c>
      <c r="BG191" s="20">
        <f t="shared" si="168"/>
        <v>8.3054307361994904E-12</v>
      </c>
      <c r="BH191" s="59">
        <f t="shared" si="116"/>
        <v>293.33333333334161</v>
      </c>
      <c r="BI191" s="59">
        <f ca="1">AVERAGE(OFFSET($BH$3,0,0,'Données projet'!$E$11+1,1))-AVERAGE(OFFSET($H$3,0,0,'Données projet'!$E$11+1,1))</f>
        <v>381.78368385345919</v>
      </c>
      <c r="BJ191" s="59">
        <f t="shared" si="146"/>
        <v>257.35575295655639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0.19087336994028453</v>
      </c>
      <c r="BR191" s="21">
        <f>EXP(-LN(2)/2)*BR190+(1-EXP(-LN(2)/2))/(LN(2)/2)*BL191*BO191*VLOOKUP('Données projet'!$B$11,Paramètres!$A$1:$I$89,3,0)*0.475*44/12</f>
        <v>2.9927987452313506E-20</v>
      </c>
      <c r="BS191" s="22">
        <f t="shared" si="169"/>
        <v>0.19087336994028453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1.1368683772161603E-13</v>
      </c>
      <c r="BZ191" s="13">
        <f>BY191*VLOOKUP('Données projet'!$B$12,Paramètres!$A$1:$I$89,3,0)*VLOOKUP('Données projet'!$B$12,Paramètres!$A$1:$I$89,5,0)</f>
        <v>5.4683368944097308E-14</v>
      </c>
      <c r="CA191" s="13">
        <f t="shared" si="170"/>
        <v>8.8129432816788268E-13</v>
      </c>
      <c r="CB191" s="20">
        <f t="shared" si="171"/>
        <v>1.6301611558033651E-12</v>
      </c>
      <c r="CC191" s="59">
        <f t="shared" si="119"/>
        <v>293.33333333333496</v>
      </c>
      <c r="CD191" s="59">
        <f ca="1">AVERAGE(OFFSET($CC$3,0,0,'Données projet'!$E$12+1,1))-AVERAGE(OFFSET($H$3,0,0,'Données projet'!$E$12+1,1))</f>
        <v>415.97633163853953</v>
      </c>
      <c r="CE191" s="59">
        <f t="shared" si="148"/>
        <v>356.23532720804423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0.11824735593120884</v>
      </c>
      <c r="CL191" s="21">
        <f>EXP(-LN(2)/25)*CL190+(1-EXP(-LN(2)/25))/(LN(2)/25)*Calculateur!CG191*Calculateur!CI191*VLOOKUP('Données projet'!$B$12,Paramètres!$A$1:$I$89,3,0)*0.475*44/12</f>
        <v>0.18824549045990505</v>
      </c>
      <c r="CM191" s="21">
        <f>EXP(-LN(2)/2)*CM190+(1-EXP(-LN(2)/2))/(LN(2)/2)*CG191*CJ191*VLOOKUP('Données projet'!$B$12,Paramètres!$A$1:$I$89,3,0)*0.475*44/12</f>
        <v>5.2404495252547394E-23</v>
      </c>
      <c r="CN191" s="22">
        <f t="shared" si="172"/>
        <v>0.3064928463911139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-2.5420376914553347E-13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492.3498626914548</v>
      </c>
      <c r="T192" s="59">
        <f t="shared" si="142"/>
        <v>635.90304180030307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0.23446141742665894</v>
      </c>
      <c r="AA192" s="21">
        <f>EXP(-LN(2)/25)*AA191+(1-EXP(-LN(2)/25))/(LN(2)/25)*Calculateur!V192*Calculateur!X192*VLOOKUP('Données projet'!$B$9,Paramètres!$A$1:$I$89,3,0)*0.475*44/12</f>
        <v>0.294537251080637</v>
      </c>
      <c r="AB192" s="21">
        <f>EXP(-LN(2)/2)*AB191+(1-EXP(-LN(2)/2))/(LN(2)/2)*V192*Y192*VLOOKUP('Données projet'!$B$9,Paramètres!$A$1:$I$89,3,0)*0.475*44/12</f>
        <v>1.3686389160941751E-23</v>
      </c>
      <c r="AC192" s="22">
        <f t="shared" si="163"/>
        <v>0.52899866850729593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175.05987582828078</v>
      </c>
      <c r="AO192" s="59">
        <f t="shared" si="144"/>
        <v>268.54782308462387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0.22585712508917494</v>
      </c>
      <c r="AV192" s="21">
        <f>EXP(-LN(2)/25)*AV191+(1-EXP(-LN(2)/25))/(LN(2)/25)*Calculateur!AQ192*Calculateur!AS192*VLOOKUP('Données projet'!$B$10,Paramètres!$A$1:$I$89,3,0)*0.475*44/12</f>
        <v>0.22110457737231354</v>
      </c>
      <c r="AW192" s="21">
        <f>EXP(-LN(2)/2)*AW191+(1-EXP(-LN(2)/2))/(LN(2)/2)*AQ192*AT192*VLOOKUP('Données projet'!$B$10,Paramètres!$A$1:$I$89,3,0)*0.475*44/12</f>
        <v>1.2107232740365671E-23</v>
      </c>
      <c r="AX192" s="21">
        <f t="shared" si="166"/>
        <v>0.44696170246148847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5.6843418860808015E-13</v>
      </c>
      <c r="BE192" s="13">
        <f>BD192*VLOOKUP('Données projet'!$B$11,Paramètres!$A$1:$I$89,3,0)*VLOOKUP('Données projet'!$B$11,Paramètres!$A$1:$I$89,5,0)</f>
        <v>3.39923644787632E-13</v>
      </c>
      <c r="BF192" s="13">
        <f t="shared" si="167"/>
        <v>4.4287447204943725E-12</v>
      </c>
      <c r="BG192" s="20">
        <f t="shared" si="168"/>
        <v>8.3054307361994904E-12</v>
      </c>
      <c r="BH192" s="59">
        <f t="shared" si="116"/>
        <v>293.33333333334161</v>
      </c>
      <c r="BI192" s="59">
        <f ca="1">AVERAGE(OFFSET($BH$3,0,0,'Données projet'!$E$11+1,1))-AVERAGE(OFFSET($H$3,0,0,'Données projet'!$E$11+1,1))</f>
        <v>381.78368385345919</v>
      </c>
      <c r="BJ192" s="59">
        <f t="shared" si="146"/>
        <v>257.35575295655639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0.18565392760167318</v>
      </c>
      <c r="BR192" s="21">
        <f>EXP(-LN(2)/2)*BR191+(1-EXP(-LN(2)/2))/(LN(2)/2)*BL192*BO192*VLOOKUP('Données projet'!$B$11,Paramètres!$A$1:$I$89,3,0)*0.475*44/12</f>
        <v>2.1162282874796786E-20</v>
      </c>
      <c r="BS192" s="22">
        <f t="shared" si="169"/>
        <v>0.18565392760167318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1.1368683772161603E-13</v>
      </c>
      <c r="BZ192" s="13">
        <f>BY192*VLOOKUP('Données projet'!$B$12,Paramètres!$A$1:$I$89,3,0)*VLOOKUP('Données projet'!$B$12,Paramètres!$A$1:$I$89,5,0)</f>
        <v>5.4683368944097308E-14</v>
      </c>
      <c r="CA192" s="13">
        <f t="shared" si="170"/>
        <v>8.8129432816788268E-13</v>
      </c>
      <c r="CB192" s="20">
        <f t="shared" si="171"/>
        <v>1.6301611558033651E-12</v>
      </c>
      <c r="CC192" s="59">
        <f t="shared" si="119"/>
        <v>293.33333333333496</v>
      </c>
      <c r="CD192" s="59">
        <f ca="1">AVERAGE(OFFSET($CC$3,0,0,'Données projet'!$E$12+1,1))-AVERAGE(OFFSET($H$3,0,0,'Données projet'!$E$12+1,1))</f>
        <v>415.97633163853953</v>
      </c>
      <c r="CE192" s="59">
        <f t="shared" si="148"/>
        <v>356.23532720804423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0.11592859740516333</v>
      </c>
      <c r="CL192" s="21">
        <f>EXP(-LN(2)/25)*CL191+(1-EXP(-LN(2)/25))/(LN(2)/25)*Calculateur!CG192*Calculateur!CI192*VLOOKUP('Données projet'!$B$12,Paramètres!$A$1:$I$89,3,0)*0.475*44/12</f>
        <v>0.18309790762387884</v>
      </c>
      <c r="CM192" s="21">
        <f>EXP(-LN(2)/2)*CM191+(1-EXP(-LN(2)/2))/(LN(2)/2)*CG192*CJ192*VLOOKUP('Données projet'!$B$12,Paramètres!$A$1:$I$89,3,0)*0.475*44/12</f>
        <v>3.7055573957734503E-23</v>
      </c>
      <c r="CN192" s="22">
        <f t="shared" si="172"/>
        <v>0.29902650502904216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-2.5420376914553347E-13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492.3498626914548</v>
      </c>
      <c r="T193" s="59">
        <f t="shared" si="142"/>
        <v>635.90304180030307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0.229863772038266</v>
      </c>
      <c r="AA193" s="21">
        <f>EXP(-LN(2)/25)*AA192+(1-EXP(-LN(2)/25))/(LN(2)/25)*Calculateur!V193*Calculateur!X193*VLOOKUP('Données projet'!$B$9,Paramètres!$A$1:$I$89,3,0)*0.475*44/12</f>
        <v>0.28648311446079611</v>
      </c>
      <c r="AB193" s="21">
        <f>EXP(-LN(2)/2)*AB192+(1-EXP(-LN(2)/2))/(LN(2)/2)*V193*Y193*VLOOKUP('Données projet'!$B$9,Paramètres!$A$1:$I$89,3,0)*0.475*44/12</f>
        <v>9.6777385856599745E-24</v>
      </c>
      <c r="AC193" s="22">
        <f t="shared" si="163"/>
        <v>0.51634688649906213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175.05987582828078</v>
      </c>
      <c r="AO193" s="59">
        <f t="shared" si="144"/>
        <v>268.54782308462387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0.22142820462541993</v>
      </c>
      <c r="AV193" s="21">
        <f>EXP(-LN(2)/25)*AV192+(1-EXP(-LN(2)/25))/(LN(2)/25)*Calculateur!AQ193*Calculateur!AS193*VLOOKUP('Données projet'!$B$10,Paramètres!$A$1:$I$89,3,0)*0.475*44/12</f>
        <v>0.21505846107668325</v>
      </c>
      <c r="AW193" s="21">
        <f>EXP(-LN(2)/2)*AW192+(1-EXP(-LN(2)/2))/(LN(2)/2)*AQ193*AT193*VLOOKUP('Données projet'!$B$10,Paramètres!$A$1:$I$89,3,0)*0.475*44/12</f>
        <v>8.5611063721163525E-24</v>
      </c>
      <c r="AX193" s="21">
        <f t="shared" si="166"/>
        <v>0.43648666570210315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5.6843418860808015E-13</v>
      </c>
      <c r="BE193" s="13">
        <f>BD193*VLOOKUP('Données projet'!$B$11,Paramètres!$A$1:$I$89,3,0)*VLOOKUP('Données projet'!$B$11,Paramètres!$A$1:$I$89,5,0)</f>
        <v>3.39923644787632E-13</v>
      </c>
      <c r="BF193" s="13">
        <f t="shared" si="167"/>
        <v>4.4287447204943725E-12</v>
      </c>
      <c r="BG193" s="20">
        <f t="shared" si="168"/>
        <v>8.3054307361994904E-12</v>
      </c>
      <c r="BH193" s="59">
        <f t="shared" si="116"/>
        <v>293.33333333334161</v>
      </c>
      <c r="BI193" s="59">
        <f ca="1">AVERAGE(OFFSET($BH$3,0,0,'Données projet'!$E$11+1,1))-AVERAGE(OFFSET($H$3,0,0,'Données projet'!$E$11+1,1))</f>
        <v>381.78368385345919</v>
      </c>
      <c r="BJ193" s="59">
        <f t="shared" si="146"/>
        <v>257.35575295655639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0.1805772111882897</v>
      </c>
      <c r="BR193" s="21">
        <f>EXP(-LN(2)/2)*BR192+(1-EXP(-LN(2)/2))/(LN(2)/2)*BL193*BO193*VLOOKUP('Données projet'!$B$11,Paramètres!$A$1:$I$89,3,0)*0.475*44/12</f>
        <v>1.4963993726156753E-20</v>
      </c>
      <c r="BS193" s="22">
        <f t="shared" si="169"/>
        <v>0.1805772111882897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1.1368683772161603E-13</v>
      </c>
      <c r="BZ193" s="13">
        <f>BY193*VLOOKUP('Données projet'!$B$12,Paramètres!$A$1:$I$89,3,0)*VLOOKUP('Données projet'!$B$12,Paramètres!$A$1:$I$89,5,0)</f>
        <v>5.4683368944097308E-14</v>
      </c>
      <c r="CA193" s="13">
        <f t="shared" si="170"/>
        <v>8.8129432816788268E-13</v>
      </c>
      <c r="CB193" s="20">
        <f t="shared" si="171"/>
        <v>1.6301611558033651E-12</v>
      </c>
      <c r="CC193" s="59">
        <f t="shared" si="119"/>
        <v>293.33333333333496</v>
      </c>
      <c r="CD193" s="59">
        <f ca="1">AVERAGE(OFFSET($CC$3,0,0,'Données projet'!$E$12+1,1))-AVERAGE(OFFSET($H$3,0,0,'Données projet'!$E$12+1,1))</f>
        <v>415.97633163853953</v>
      </c>
      <c r="CE193" s="59">
        <f t="shared" si="148"/>
        <v>356.23532720804423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0.11365530831951051</v>
      </c>
      <c r="CL193" s="21">
        <f>EXP(-LN(2)/25)*CL192+(1-EXP(-LN(2)/25))/(LN(2)/25)*Calculateur!CG193*Calculateur!CI193*VLOOKUP('Données projet'!$B$12,Paramètres!$A$1:$I$89,3,0)*0.475*44/12</f>
        <v>0.17809108571120338</v>
      </c>
      <c r="CM193" s="21">
        <f>EXP(-LN(2)/2)*CM192+(1-EXP(-LN(2)/2))/(LN(2)/2)*CG193*CJ193*VLOOKUP('Données projet'!$B$12,Paramètres!$A$1:$I$89,3,0)*0.475*44/12</f>
        <v>2.6202247626273703E-23</v>
      </c>
      <c r="CN193" s="22">
        <f t="shared" si="172"/>
        <v>0.2917463940307139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-2.5420376914553347E-13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492.3498626914548</v>
      </c>
      <c r="T194" s="59">
        <f t="shared" si="142"/>
        <v>635.90304180030307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0.22535628367165264</v>
      </c>
      <c r="AA194" s="21">
        <f>EXP(-LN(2)/25)*AA193+(1-EXP(-LN(2)/25))/(LN(2)/25)*Calculateur!V194*Calculateur!X194*VLOOKUP('Données projet'!$B$9,Paramètres!$A$1:$I$89,3,0)*0.475*44/12</f>
        <v>0.2786492186303734</v>
      </c>
      <c r="AB194" s="21">
        <f>EXP(-LN(2)/2)*AB193+(1-EXP(-LN(2)/2))/(LN(2)/2)*V194*Y194*VLOOKUP('Données projet'!$B$9,Paramètres!$A$1:$I$89,3,0)*0.475*44/12</f>
        <v>6.8431945804708755E-24</v>
      </c>
      <c r="AC194" s="22">
        <f t="shared" si="163"/>
        <v>0.50400550230202601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175.05987582828078</v>
      </c>
      <c r="AO194" s="59">
        <f t="shared" si="144"/>
        <v>268.54782308462387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0.2170861325905844</v>
      </c>
      <c r="AV194" s="21">
        <f>EXP(-LN(2)/25)*AV193+(1-EXP(-LN(2)/25))/(LN(2)/25)*Calculateur!AQ194*Calculateur!AS194*VLOOKUP('Données projet'!$B$10,Paramètres!$A$1:$I$89,3,0)*0.475*44/12</f>
        <v>0.2091776761491084</v>
      </c>
      <c r="AW194" s="21">
        <f>EXP(-LN(2)/2)*AW193+(1-EXP(-LN(2)/2))/(LN(2)/2)*AQ194*AT194*VLOOKUP('Données projet'!$B$10,Paramètres!$A$1:$I$89,3,0)*0.475*44/12</f>
        <v>6.0536163701828354E-24</v>
      </c>
      <c r="AX194" s="21">
        <f t="shared" si="166"/>
        <v>0.42626380873969283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5.6843418860808015E-13</v>
      </c>
      <c r="BE194" s="13">
        <f>BD194*VLOOKUP('Données projet'!$B$11,Paramètres!$A$1:$I$89,3,0)*VLOOKUP('Données projet'!$B$11,Paramètres!$A$1:$I$89,5,0)</f>
        <v>3.39923644787632E-13</v>
      </c>
      <c r="BF194" s="13">
        <f t="shared" si="167"/>
        <v>4.4287447204943725E-12</v>
      </c>
      <c r="BG194" s="20">
        <f t="shared" si="168"/>
        <v>8.3054307361994904E-12</v>
      </c>
      <c r="BH194" s="59">
        <f t="shared" si="116"/>
        <v>293.33333333334161</v>
      </c>
      <c r="BI194" s="59">
        <f ca="1">AVERAGE(OFFSET($BH$3,0,0,'Données projet'!$E$11+1,1))-AVERAGE(OFFSET($H$3,0,0,'Données projet'!$E$11+1,1))</f>
        <v>381.78368385345919</v>
      </c>
      <c r="BJ194" s="59">
        <f t="shared" si="146"/>
        <v>257.35575295655639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0.1756393178522031</v>
      </c>
      <c r="BR194" s="21">
        <f>EXP(-LN(2)/2)*BR193+(1-EXP(-LN(2)/2))/(LN(2)/2)*BL194*BO194*VLOOKUP('Données projet'!$B$11,Paramètres!$A$1:$I$89,3,0)*0.475*44/12</f>
        <v>1.0581141437398393E-20</v>
      </c>
      <c r="BS194" s="22">
        <f t="shared" si="169"/>
        <v>0.1756393178522031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1.1368683772161603E-13</v>
      </c>
      <c r="BZ194" s="13">
        <f>BY194*VLOOKUP('Données projet'!$B$12,Paramètres!$A$1:$I$89,3,0)*VLOOKUP('Données projet'!$B$12,Paramètres!$A$1:$I$89,5,0)</f>
        <v>5.4683368944097308E-14</v>
      </c>
      <c r="CA194" s="13">
        <f t="shared" si="170"/>
        <v>8.8129432816788268E-13</v>
      </c>
      <c r="CB194" s="20">
        <f t="shared" si="171"/>
        <v>1.6301611558033651E-12</v>
      </c>
      <c r="CC194" s="59">
        <f t="shared" si="119"/>
        <v>293.33333333333496</v>
      </c>
      <c r="CD194" s="59">
        <f ca="1">AVERAGE(OFFSET($CC$3,0,0,'Données projet'!$E$12+1,1))-AVERAGE(OFFSET($H$3,0,0,'Données projet'!$E$12+1,1))</f>
        <v>415.97633163853953</v>
      </c>
      <c r="CE194" s="59">
        <f t="shared" si="148"/>
        <v>356.23532720804423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0.11142659704625792</v>
      </c>
      <c r="CL194" s="21">
        <f>EXP(-LN(2)/25)*CL193+(1-EXP(-LN(2)/25))/(LN(2)/25)*Calculateur!CG194*Calculateur!CI194*VLOOKUP('Données projet'!$B$12,Paramètres!$A$1:$I$89,3,0)*0.475*44/12</f>
        <v>0.17322117560702735</v>
      </c>
      <c r="CM194" s="21">
        <f>EXP(-LN(2)/2)*CM193+(1-EXP(-LN(2)/2))/(LN(2)/2)*CG194*CJ194*VLOOKUP('Données projet'!$B$12,Paramètres!$A$1:$I$89,3,0)*0.475*44/12</f>
        <v>1.8527786978867254E-23</v>
      </c>
      <c r="CN194" s="22">
        <f t="shared" si="172"/>
        <v>0.28464777265328528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-2.5420376914553347E-13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492.3498626914548</v>
      </c>
      <c r="T195" s="59">
        <f t="shared" si="142"/>
        <v>635.90304180030307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0.22093718440261215</v>
      </c>
      <c r="AA195" s="21">
        <f>EXP(-LN(2)/25)*AA194+(1-EXP(-LN(2)/25))/(LN(2)/25)*Calculateur!V195*Calculateur!X195*VLOOKUP('Données projet'!$B$9,Paramètres!$A$1:$I$89,3,0)*0.475*44/12</f>
        <v>0.27102954109340027</v>
      </c>
      <c r="AB195" s="21">
        <f>EXP(-LN(2)/2)*AB194+(1-EXP(-LN(2)/2))/(LN(2)/2)*V195*Y195*VLOOKUP('Données projet'!$B$9,Paramètres!$A$1:$I$89,3,0)*0.475*44/12</f>
        <v>4.8388692928299873E-24</v>
      </c>
      <c r="AC195" s="22">
        <f t="shared" si="163"/>
        <v>0.49196672549601239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175.05987582828078</v>
      </c>
      <c r="AO195" s="59">
        <f t="shared" si="144"/>
        <v>268.54782308462387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0.21282920593994958</v>
      </c>
      <c r="AV195" s="21">
        <f>EXP(-LN(2)/25)*AV194+(1-EXP(-LN(2)/25))/(LN(2)/25)*Calculateur!AQ195*Calculateur!AS195*VLOOKUP('Données projet'!$B$10,Paramètres!$A$1:$I$89,3,0)*0.475*44/12</f>
        <v>0.20345770159463511</v>
      </c>
      <c r="AW195" s="21">
        <f>EXP(-LN(2)/2)*AW194+(1-EXP(-LN(2)/2))/(LN(2)/2)*AQ195*AT195*VLOOKUP('Données projet'!$B$10,Paramètres!$A$1:$I$89,3,0)*0.475*44/12</f>
        <v>4.2805531860581762E-24</v>
      </c>
      <c r="AX195" s="21">
        <f t="shared" si="166"/>
        <v>0.41628690753458469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5.6843418860808015E-13</v>
      </c>
      <c r="BE195" s="13">
        <f>BD195*VLOOKUP('Données projet'!$B$11,Paramètres!$A$1:$I$89,3,0)*VLOOKUP('Données projet'!$B$11,Paramètres!$A$1:$I$89,5,0)</f>
        <v>3.39923644787632E-13</v>
      </c>
      <c r="BF195" s="13">
        <f t="shared" si="167"/>
        <v>4.4287447204943725E-12</v>
      </c>
      <c r="BG195" s="20">
        <f t="shared" si="168"/>
        <v>8.3054307361994904E-12</v>
      </c>
      <c r="BH195" s="59">
        <f t="shared" si="116"/>
        <v>293.33333333334161</v>
      </c>
      <c r="BI195" s="59">
        <f ca="1">AVERAGE(OFFSET($BH$3,0,0,'Données projet'!$E$11+1,1))-AVERAGE(OFFSET($H$3,0,0,'Données projet'!$E$11+1,1))</f>
        <v>381.78368385345919</v>
      </c>
      <c r="BJ195" s="59">
        <f t="shared" si="146"/>
        <v>257.35575295655639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0.17083645146906432</v>
      </c>
      <c r="BR195" s="21">
        <f>EXP(-LN(2)/2)*BR194+(1-EXP(-LN(2)/2))/(LN(2)/2)*BL195*BO195*VLOOKUP('Données projet'!$B$11,Paramètres!$A$1:$I$89,3,0)*0.475*44/12</f>
        <v>7.4819968630783765E-21</v>
      </c>
      <c r="BS195" s="22">
        <f t="shared" si="169"/>
        <v>0.17083645146906432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1.1368683772161603E-13</v>
      </c>
      <c r="BZ195" s="13">
        <f>BY195*VLOOKUP('Données projet'!$B$12,Paramètres!$A$1:$I$89,3,0)*VLOOKUP('Données projet'!$B$12,Paramètres!$A$1:$I$89,5,0)</f>
        <v>5.4683368944097308E-14</v>
      </c>
      <c r="CA195" s="13">
        <f t="shared" si="170"/>
        <v>8.8129432816788268E-13</v>
      </c>
      <c r="CB195" s="20">
        <f t="shared" si="171"/>
        <v>1.6301611558033651E-12</v>
      </c>
      <c r="CC195" s="59">
        <f t="shared" si="119"/>
        <v>293.33333333333496</v>
      </c>
      <c r="CD195" s="59">
        <f ca="1">AVERAGE(OFFSET($CC$3,0,0,'Données projet'!$E$12+1,1))-AVERAGE(OFFSET($H$3,0,0,'Données projet'!$E$12+1,1))</f>
        <v>415.97633163853953</v>
      </c>
      <c r="CE195" s="59">
        <f t="shared" si="148"/>
        <v>356.23532720804423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0.10924158944169415</v>
      </c>
      <c r="CL195" s="21">
        <f>EXP(-LN(2)/25)*CL194+(1-EXP(-LN(2)/25))/(LN(2)/25)*Calculateur!CG195*Calculateur!CI195*VLOOKUP('Données projet'!$B$12,Paramètres!$A$1:$I$89,3,0)*0.475*44/12</f>
        <v>0.16848443345074746</v>
      </c>
      <c r="CM195" s="21">
        <f>EXP(-LN(2)/2)*CM194+(1-EXP(-LN(2)/2))/(LN(2)/2)*CG195*CJ195*VLOOKUP('Données projet'!$B$12,Paramètres!$A$1:$I$89,3,0)*0.475*44/12</f>
        <v>1.3101123813136853E-23</v>
      </c>
      <c r="CN195" s="22">
        <f t="shared" si="172"/>
        <v>0.27772602289244164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-2.5420376914553347E-13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492.3498626914548</v>
      </c>
      <c r="T196" s="59">
        <f t="shared" si="142"/>
        <v>635.90304180030307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0.21660474097485313</v>
      </c>
      <c r="AA196" s="21">
        <f>EXP(-LN(2)/25)*AA195+(1-EXP(-LN(2)/25))/(LN(2)/25)*Calculateur!V196*Calculateur!X196*VLOOKUP('Données projet'!$B$9,Paramètres!$A$1:$I$89,3,0)*0.475*44/12</f>
        <v>0.26361822403937712</v>
      </c>
      <c r="AB196" s="21">
        <f>EXP(-LN(2)/2)*AB195+(1-EXP(-LN(2)/2))/(LN(2)/2)*V196*Y196*VLOOKUP('Données projet'!$B$9,Paramètres!$A$1:$I$89,3,0)*0.475*44/12</f>
        <v>3.4215972902354377E-24</v>
      </c>
      <c r="AC196" s="22">
        <f t="shared" si="163"/>
        <v>0.48022296501423023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175.05987582828078</v>
      </c>
      <c r="AO196" s="59">
        <f t="shared" si="144"/>
        <v>268.54782308462387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0.20865575502446482</v>
      </c>
      <c r="AV196" s="21">
        <f>EXP(-LN(2)/25)*AV195+(1-EXP(-LN(2)/25))/(LN(2)/25)*Calculateur!AQ196*Calculateur!AS196*VLOOKUP('Données projet'!$B$10,Paramètres!$A$1:$I$89,3,0)*0.475*44/12</f>
        <v>0.19789414004515429</v>
      </c>
      <c r="AW196" s="21">
        <f>EXP(-LN(2)/2)*AW195+(1-EXP(-LN(2)/2))/(LN(2)/2)*AQ196*AT196*VLOOKUP('Données projet'!$B$10,Paramètres!$A$1:$I$89,3,0)*0.475*44/12</f>
        <v>3.0268081850914177E-24</v>
      </c>
      <c r="AX196" s="21">
        <f t="shared" si="166"/>
        <v>0.40654989506961914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5.6843418860808015E-13</v>
      </c>
      <c r="BE196" s="13">
        <f>BD196*VLOOKUP('Données projet'!$B$11,Paramètres!$A$1:$I$89,3,0)*VLOOKUP('Données projet'!$B$11,Paramètres!$A$1:$I$89,5,0)</f>
        <v>3.39923644787632E-13</v>
      </c>
      <c r="BF196" s="13">
        <f t="shared" si="167"/>
        <v>4.4287447204943725E-12</v>
      </c>
      <c r="BG196" s="20">
        <f t="shared" si="168"/>
        <v>8.3054307361994904E-12</v>
      </c>
      <c r="BH196" s="59">
        <f t="shared" ref="BH196:BH203" si="194">BG196+(AY196+AZ196)*44/12</f>
        <v>293.33333333334161</v>
      </c>
      <c r="BI196" s="59">
        <f ca="1">AVERAGE(OFFSET($BH$3,0,0,'Données projet'!$E$11+1,1))-AVERAGE(OFFSET($H$3,0,0,'Données projet'!$E$11+1,1))</f>
        <v>381.78368385345919</v>
      </c>
      <c r="BJ196" s="59">
        <f t="shared" si="146"/>
        <v>257.35575295655639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0.16616491971974423</v>
      </c>
      <c r="BR196" s="21">
        <f>EXP(-LN(2)/2)*BR195+(1-EXP(-LN(2)/2))/(LN(2)/2)*BL196*BO196*VLOOKUP('Données projet'!$B$11,Paramètres!$A$1:$I$89,3,0)*0.475*44/12</f>
        <v>5.2905707186991966E-21</v>
      </c>
      <c r="BS196" s="22">
        <f t="shared" si="169"/>
        <v>0.16616491971974423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1.1368683772161603E-13</v>
      </c>
      <c r="BZ196" s="13">
        <f>BY196*VLOOKUP('Données projet'!$B$12,Paramètres!$A$1:$I$89,3,0)*VLOOKUP('Données projet'!$B$12,Paramètres!$A$1:$I$89,5,0)</f>
        <v>5.4683368944097308E-14</v>
      </c>
      <c r="CA196" s="13">
        <f t="shared" si="170"/>
        <v>8.8129432816788268E-13</v>
      </c>
      <c r="CB196" s="20">
        <f t="shared" si="171"/>
        <v>1.6301611558033651E-12</v>
      </c>
      <c r="CC196" s="59">
        <f t="shared" ref="CC196:CC203" si="195">CB196+(BT196+BU196)*44/12</f>
        <v>293.33333333333496</v>
      </c>
      <c r="CD196" s="59">
        <f ca="1">AVERAGE(OFFSET($CC$3,0,0,'Données projet'!$E$12+1,1))-AVERAGE(OFFSET($H$3,0,0,'Données projet'!$E$12+1,1))</f>
        <v>415.97633163853953</v>
      </c>
      <c r="CE196" s="59">
        <f t="shared" si="148"/>
        <v>356.23532720804423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0.10709942850353285</v>
      </c>
      <c r="CL196" s="21">
        <f>EXP(-LN(2)/25)*CL195+(1-EXP(-LN(2)/25))/(LN(2)/25)*Calculateur!CG196*Calculateur!CI196*VLOOKUP('Données projet'!$B$12,Paramètres!$A$1:$I$89,3,0)*0.475*44/12</f>
        <v>0.16387721775782549</v>
      </c>
      <c r="CM196" s="21">
        <f>EXP(-LN(2)/2)*CM195+(1-EXP(-LN(2)/2))/(LN(2)/2)*CG196*CJ196*VLOOKUP('Données projet'!$B$12,Paramètres!$A$1:$I$89,3,0)*0.475*44/12</f>
        <v>9.2638934894336287E-24</v>
      </c>
      <c r="CN196" s="22">
        <f t="shared" si="172"/>
        <v>0.27097664626135831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-2.5420376914553347E-13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492.3498626914548</v>
      </c>
      <c r="T197" s="59">
        <f t="shared" ref="T197:T203" si="204">$T$3</f>
        <v>635.90304180030307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0.21235725412018291</v>
      </c>
      <c r="AA197" s="21">
        <f>EXP(-LN(2)/25)*AA196+(1-EXP(-LN(2)/25))/(LN(2)/25)*Calculateur!V197*Calculateur!X197*VLOOKUP('Données projet'!$B$9,Paramètres!$A$1:$I$89,3,0)*0.475*44/12</f>
        <v>0.25640956983994045</v>
      </c>
      <c r="AB197" s="21">
        <f>EXP(-LN(2)/2)*AB196+(1-EXP(-LN(2)/2))/(LN(2)/2)*V197*Y197*VLOOKUP('Données projet'!$B$9,Paramètres!$A$1:$I$89,3,0)*0.475*44/12</f>
        <v>2.4194346464149936E-24</v>
      </c>
      <c r="AC197" s="22">
        <f t="shared" si="163"/>
        <v>0.46876682396012337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175.05987582828078</v>
      </c>
      <c r="AO197" s="59">
        <f t="shared" ref="AO197:AO203" si="205">$AO$3</f>
        <v>268.54782308462387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0.20456414293587902</v>
      </c>
      <c r="AV197" s="21">
        <f>EXP(-LN(2)/25)*AV196+(1-EXP(-LN(2)/25))/(LN(2)/25)*Calculateur!AQ197*Calculateur!AS197*VLOOKUP('Données projet'!$B$10,Paramètres!$A$1:$I$89,3,0)*0.475*44/12</f>
        <v>0.19248271437881903</v>
      </c>
      <c r="AW197" s="21">
        <f>EXP(-LN(2)/2)*AW196+(1-EXP(-LN(2)/2))/(LN(2)/2)*AQ197*AT197*VLOOKUP('Données projet'!$B$10,Paramètres!$A$1:$I$89,3,0)*0.475*44/12</f>
        <v>2.1402765930290881E-24</v>
      </c>
      <c r="AX197" s="21">
        <f t="shared" si="166"/>
        <v>0.39704685731469802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5.6843418860808015E-13</v>
      </c>
      <c r="BE197" s="13">
        <f>BD197*VLOOKUP('Données projet'!$B$11,Paramètres!$A$1:$I$89,3,0)*VLOOKUP('Données projet'!$B$11,Paramètres!$A$1:$I$89,5,0)</f>
        <v>3.39923644787632E-13</v>
      </c>
      <c r="BF197" s="13">
        <f t="shared" si="167"/>
        <v>4.4287447204943725E-12</v>
      </c>
      <c r="BG197" s="20">
        <f t="shared" si="168"/>
        <v>8.3054307361994904E-12</v>
      </c>
      <c r="BH197" s="59">
        <f t="shared" si="194"/>
        <v>293.33333333334161</v>
      </c>
      <c r="BI197" s="59">
        <f ca="1">AVERAGE(OFFSET($BH$3,0,0,'Données projet'!$E$11+1,1))-AVERAGE(OFFSET($H$3,0,0,'Données projet'!$E$11+1,1))</f>
        <v>381.78368385345919</v>
      </c>
      <c r="BJ197" s="59">
        <f t="shared" ref="BJ197:BJ203" si="206">$BJ$3</f>
        <v>257.35575295655639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0.16162113125177446</v>
      </c>
      <c r="BR197" s="21">
        <f>EXP(-LN(2)/2)*BR196+(1-EXP(-LN(2)/2))/(LN(2)/2)*BL197*BO197*VLOOKUP('Données projet'!$B$11,Paramètres!$A$1:$I$89,3,0)*0.475*44/12</f>
        <v>3.7409984315391882E-21</v>
      </c>
      <c r="BS197" s="22">
        <f t="shared" si="169"/>
        <v>0.16162113125177446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1.1368683772161603E-13</v>
      </c>
      <c r="BZ197" s="13">
        <f>BY197*VLOOKUP('Données projet'!$B$12,Paramètres!$A$1:$I$89,3,0)*VLOOKUP('Données projet'!$B$12,Paramètres!$A$1:$I$89,5,0)</f>
        <v>5.4683368944097308E-14</v>
      </c>
      <c r="CA197" s="13">
        <f t="shared" si="170"/>
        <v>8.8129432816788268E-13</v>
      </c>
      <c r="CB197" s="20">
        <f t="shared" si="171"/>
        <v>1.6301611558033651E-12</v>
      </c>
      <c r="CC197" s="59">
        <f t="shared" si="195"/>
        <v>293.33333333333496</v>
      </c>
      <c r="CD197" s="59">
        <f ca="1">AVERAGE(OFFSET($CC$3,0,0,'Données projet'!$E$12+1,1))-AVERAGE(OFFSET($H$3,0,0,'Données projet'!$E$12+1,1))</f>
        <v>415.97633163853953</v>
      </c>
      <c r="CE197" s="59">
        <f t="shared" ref="CE197:CE203" si="207">$CE$3</f>
        <v>356.23532720804423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0.10499927403477972</v>
      </c>
      <c r="CL197" s="21">
        <f>EXP(-LN(2)/25)*CL196+(1-EXP(-LN(2)/25))/(LN(2)/25)*Calculateur!CG197*Calculateur!CI197*VLOOKUP('Données projet'!$B$12,Paramètres!$A$1:$I$89,3,0)*0.475*44/12</f>
        <v>0.1593959866203094</v>
      </c>
      <c r="CM197" s="21">
        <f>EXP(-LN(2)/2)*CM196+(1-EXP(-LN(2)/2))/(LN(2)/2)*CG197*CJ197*VLOOKUP('Données projet'!$B$12,Paramètres!$A$1:$I$89,3,0)*0.475*44/12</f>
        <v>6.5505619065684279E-24</v>
      </c>
      <c r="CN197" s="22">
        <f t="shared" si="172"/>
        <v>0.26439526065508911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-2.5420376914553347E-13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492.3498626914548</v>
      </c>
      <c r="T198" s="59">
        <f t="shared" si="204"/>
        <v>635.90304180030307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0.20819305789202158</v>
      </c>
      <c r="AA198" s="21">
        <f>EXP(-LN(2)/25)*AA197+(1-EXP(-LN(2)/25))/(LN(2)/25)*Calculateur!V198*Calculateur!X198*VLOOKUP('Données projet'!$B$9,Paramètres!$A$1:$I$89,3,0)*0.475*44/12</f>
        <v>0.24939803666867405</v>
      </c>
      <c r="AB198" s="21">
        <f>EXP(-LN(2)/2)*AB197+(1-EXP(-LN(2)/2))/(LN(2)/2)*V198*Y198*VLOOKUP('Données projet'!$B$9,Paramètres!$A$1:$I$89,3,0)*0.475*44/12</f>
        <v>1.7107986451177189E-24</v>
      </c>
      <c r="AC198" s="22">
        <f t="shared" si="163"/>
        <v>0.45759109456069563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175.05987582828078</v>
      </c>
      <c r="AO198" s="59">
        <f t="shared" si="205"/>
        <v>268.54782308462387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0.20055276486471343</v>
      </c>
      <c r="AV198" s="21">
        <f>EXP(-LN(2)/25)*AV197+(1-EXP(-LN(2)/25))/(LN(2)/25)*Calculateur!AQ198*Calculateur!AS198*VLOOKUP('Données projet'!$B$10,Paramètres!$A$1:$I$89,3,0)*0.475*44/12</f>
        <v>0.1872192644319042</v>
      </c>
      <c r="AW198" s="21">
        <f>EXP(-LN(2)/2)*AW197+(1-EXP(-LN(2)/2))/(LN(2)/2)*AQ198*AT198*VLOOKUP('Données projet'!$B$10,Paramètres!$A$1:$I$89,3,0)*0.475*44/12</f>
        <v>1.5134040925457089E-24</v>
      </c>
      <c r="AX198" s="21">
        <f t="shared" si="166"/>
        <v>0.38777202929661764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5.6843418860808015E-13</v>
      </c>
      <c r="BE198" s="13">
        <f>BD198*VLOOKUP('Données projet'!$B$11,Paramètres!$A$1:$I$89,3,0)*VLOOKUP('Données projet'!$B$11,Paramètres!$A$1:$I$89,5,0)</f>
        <v>3.39923644787632E-13</v>
      </c>
      <c r="BF198" s="13">
        <f t="shared" si="167"/>
        <v>4.4287447204943725E-12</v>
      </c>
      <c r="BG198" s="20">
        <f t="shared" si="168"/>
        <v>8.3054307361994904E-12</v>
      </c>
      <c r="BH198" s="59">
        <f t="shared" si="194"/>
        <v>293.33333333334161</v>
      </c>
      <c r="BI198" s="59">
        <f ca="1">AVERAGE(OFFSET($BH$3,0,0,'Données projet'!$E$11+1,1))-AVERAGE(OFFSET($H$3,0,0,'Données projet'!$E$11+1,1))</f>
        <v>381.78368385345919</v>
      </c>
      <c r="BJ198" s="59">
        <f t="shared" si="206"/>
        <v>257.35575295655639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0.15720159291840879</v>
      </c>
      <c r="BR198" s="21">
        <f>EXP(-LN(2)/2)*BR197+(1-EXP(-LN(2)/2))/(LN(2)/2)*BL198*BO198*VLOOKUP('Données projet'!$B$11,Paramètres!$A$1:$I$89,3,0)*0.475*44/12</f>
        <v>2.6452853593495983E-21</v>
      </c>
      <c r="BS198" s="22">
        <f t="shared" si="169"/>
        <v>0.15720159291840879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1.1368683772161603E-13</v>
      </c>
      <c r="BZ198" s="13">
        <f>BY198*VLOOKUP('Données projet'!$B$12,Paramètres!$A$1:$I$89,3,0)*VLOOKUP('Données projet'!$B$12,Paramètres!$A$1:$I$89,5,0)</f>
        <v>5.4683368944097308E-14</v>
      </c>
      <c r="CA198" s="13">
        <f t="shared" si="170"/>
        <v>8.8129432816788268E-13</v>
      </c>
      <c r="CB198" s="20">
        <f t="shared" si="171"/>
        <v>1.6301611558033651E-12</v>
      </c>
      <c r="CC198" s="59">
        <f t="shared" si="195"/>
        <v>293.33333333333496</v>
      </c>
      <c r="CD198" s="59">
        <f ca="1">AVERAGE(OFFSET($CC$3,0,0,'Données projet'!$E$12+1,1))-AVERAGE(OFFSET($H$3,0,0,'Données projet'!$E$12+1,1))</f>
        <v>415.97633163853953</v>
      </c>
      <c r="CE198" s="59">
        <f t="shared" si="207"/>
        <v>356.23532720804423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0.10294030231419111</v>
      </c>
      <c r="CL198" s="21">
        <f>EXP(-LN(2)/25)*CL197+(1-EXP(-LN(2)/25))/(LN(2)/25)*Calculateur!CG198*Calculateur!CI198*VLOOKUP('Données projet'!$B$12,Paramètres!$A$1:$I$89,3,0)*0.475*44/12</f>
        <v>0.15503729498390642</v>
      </c>
      <c r="CM198" s="21">
        <f>EXP(-LN(2)/2)*CM197+(1-EXP(-LN(2)/2))/(LN(2)/2)*CG198*CJ198*VLOOKUP('Données projet'!$B$12,Paramètres!$A$1:$I$89,3,0)*0.475*44/12</f>
        <v>4.6319467447168151E-24</v>
      </c>
      <c r="CN198" s="22">
        <f t="shared" si="172"/>
        <v>0.25797759729809755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-2.5420376914553347E-13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492.3498626914548</v>
      </c>
      <c r="T199" s="59">
        <f t="shared" si="204"/>
        <v>635.90304180030307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0.2041105190119856</v>
      </c>
      <c r="AA199" s="21">
        <f>EXP(-LN(2)/25)*AA198+(1-EXP(-LN(2)/25))/(LN(2)/25)*Calculateur!V199*Calculateur!X199*VLOOKUP('Données projet'!$B$9,Paramètres!$A$1:$I$89,3,0)*0.475*44/12</f>
        <v>0.24257823424069641</v>
      </c>
      <c r="AB199" s="21">
        <f>EXP(-LN(2)/2)*AB198+(1-EXP(-LN(2)/2))/(LN(2)/2)*V199*Y199*VLOOKUP('Données projet'!$B$9,Paramètres!$A$1:$I$89,3,0)*0.475*44/12</f>
        <v>1.2097173232074968E-24</v>
      </c>
      <c r="AC199" s="22">
        <f t="shared" si="163"/>
        <v>0.44668875325268198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175.05987582828078</v>
      </c>
      <c r="AO199" s="59">
        <f t="shared" si="205"/>
        <v>268.54782308462387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0.19662004747082437</v>
      </c>
      <c r="AV199" s="21">
        <f>EXP(-LN(2)/25)*AV198+(1-EXP(-LN(2)/25))/(LN(2)/25)*Calculateur!AQ199*Calculateur!AS199*VLOOKUP('Données projet'!$B$10,Paramètres!$A$1:$I$89,3,0)*0.475*44/12</f>
        <v>0.18209974380058055</v>
      </c>
      <c r="AW199" s="21">
        <f>EXP(-LN(2)/2)*AW198+(1-EXP(-LN(2)/2))/(LN(2)/2)*AQ199*AT199*VLOOKUP('Données projet'!$B$10,Paramètres!$A$1:$I$89,3,0)*0.475*44/12</f>
        <v>1.0701382965145441E-24</v>
      </c>
      <c r="AX199" s="21">
        <f t="shared" si="166"/>
        <v>0.37871979127140493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5.6843418860808015E-13</v>
      </c>
      <c r="BE199" s="13">
        <f>BD199*VLOOKUP('Données projet'!$B$11,Paramètres!$A$1:$I$89,3,0)*VLOOKUP('Données projet'!$B$11,Paramètres!$A$1:$I$89,5,0)</f>
        <v>3.39923644787632E-13</v>
      </c>
      <c r="BF199" s="13">
        <f t="shared" si="167"/>
        <v>4.4287447204943725E-12</v>
      </c>
      <c r="BG199" s="20">
        <f t="shared" si="168"/>
        <v>8.3054307361994904E-12</v>
      </c>
      <c r="BH199" s="59">
        <f t="shared" si="194"/>
        <v>293.33333333334161</v>
      </c>
      <c r="BI199" s="59">
        <f ca="1">AVERAGE(OFFSET($BH$3,0,0,'Données projet'!$E$11+1,1))-AVERAGE(OFFSET($H$3,0,0,'Données projet'!$E$11+1,1))</f>
        <v>381.78368385345919</v>
      </c>
      <c r="BJ199" s="59">
        <f t="shared" si="206"/>
        <v>257.35575295655639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0.15290290709318241</v>
      </c>
      <c r="BR199" s="21">
        <f>EXP(-LN(2)/2)*BR198+(1-EXP(-LN(2)/2))/(LN(2)/2)*BL199*BO199*VLOOKUP('Données projet'!$B$11,Paramètres!$A$1:$I$89,3,0)*0.475*44/12</f>
        <v>1.8704992157695941E-21</v>
      </c>
      <c r="BS199" s="22">
        <f t="shared" si="169"/>
        <v>0.15290290709318241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1.1368683772161603E-13</v>
      </c>
      <c r="BZ199" s="13">
        <f>BY199*VLOOKUP('Données projet'!$B$12,Paramètres!$A$1:$I$89,3,0)*VLOOKUP('Données projet'!$B$12,Paramètres!$A$1:$I$89,5,0)</f>
        <v>5.4683368944097308E-14</v>
      </c>
      <c r="CA199" s="13">
        <f t="shared" si="170"/>
        <v>8.8129432816788268E-13</v>
      </c>
      <c r="CB199" s="20">
        <f t="shared" si="171"/>
        <v>1.6301611558033651E-12</v>
      </c>
      <c r="CC199" s="59">
        <f t="shared" si="195"/>
        <v>293.33333333333496</v>
      </c>
      <c r="CD199" s="59">
        <f ca="1">AVERAGE(OFFSET($CC$3,0,0,'Données projet'!$E$12+1,1))-AVERAGE(OFFSET($H$3,0,0,'Données projet'!$E$12+1,1))</f>
        <v>415.97633163853953</v>
      </c>
      <c r="CE199" s="59">
        <f t="shared" si="207"/>
        <v>356.23532720804423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0.10092170577319449</v>
      </c>
      <c r="CL199" s="21">
        <f>EXP(-LN(2)/25)*CL198+(1-EXP(-LN(2)/25))/(LN(2)/25)*Calculateur!CG199*Calculateur!CI199*VLOOKUP('Données projet'!$B$12,Paramètres!$A$1:$I$89,3,0)*0.475*44/12</f>
        <v>0.15079779199951449</v>
      </c>
      <c r="CM199" s="21">
        <f>EXP(-LN(2)/2)*CM198+(1-EXP(-LN(2)/2))/(LN(2)/2)*CG199*CJ199*VLOOKUP('Données projet'!$B$12,Paramètres!$A$1:$I$89,3,0)*0.475*44/12</f>
        <v>3.2752809532842143E-24</v>
      </c>
      <c r="CN199" s="22">
        <f t="shared" si="172"/>
        <v>0.25171949777270897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-2.5420376914553347E-13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492.3498626914548</v>
      </c>
      <c r="T200" s="59">
        <f t="shared" si="204"/>
        <v>635.90304180030307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0.20010803622928428</v>
      </c>
      <c r="AA200" s="21">
        <f>EXP(-LN(2)/25)*AA199+(1-EXP(-LN(2)/25))/(LN(2)/25)*Calculateur!V200*Calculateur!X200*VLOOKUP('Données projet'!$B$9,Paramètres!$A$1:$I$89,3,0)*0.475*44/12</f>
        <v>0.23594491966874964</v>
      </c>
      <c r="AB200" s="21">
        <f>EXP(-LN(2)/2)*AB199+(1-EXP(-LN(2)/2))/(LN(2)/2)*V200*Y200*VLOOKUP('Données projet'!$B$9,Paramètres!$A$1:$I$89,3,0)*0.475*44/12</f>
        <v>8.5539932255885943E-25</v>
      </c>
      <c r="AC200" s="22">
        <f t="shared" si="163"/>
        <v>0.43605295589803394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175.05987582828078</v>
      </c>
      <c r="AO200" s="59">
        <f t="shared" si="205"/>
        <v>268.54782308462387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0.1927644482663087</v>
      </c>
      <c r="AV200" s="21">
        <f>EXP(-LN(2)/25)*AV199+(1-EXP(-LN(2)/25))/(LN(2)/25)*Calculateur!AQ200*Calculateur!AS200*VLOOKUP('Données projet'!$B$10,Paramètres!$A$1:$I$89,3,0)*0.475*44/12</f>
        <v>0.17712021673014436</v>
      </c>
      <c r="AW200" s="21">
        <f>EXP(-LN(2)/2)*AW199+(1-EXP(-LN(2)/2))/(LN(2)/2)*AQ200*AT200*VLOOKUP('Données projet'!$B$10,Paramètres!$A$1:$I$89,3,0)*0.475*44/12</f>
        <v>7.5670204627285443E-25</v>
      </c>
      <c r="AX200" s="21">
        <f t="shared" si="166"/>
        <v>0.36988466499645306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5.6843418860808015E-13</v>
      </c>
      <c r="BE200" s="13">
        <f>BD200*VLOOKUP('Données projet'!$B$11,Paramètres!$A$1:$I$89,3,0)*VLOOKUP('Données projet'!$B$11,Paramètres!$A$1:$I$89,5,0)</f>
        <v>3.39923644787632E-13</v>
      </c>
      <c r="BF200" s="13">
        <f t="shared" si="167"/>
        <v>4.4287447204943725E-12</v>
      </c>
      <c r="BG200" s="20">
        <f t="shared" si="168"/>
        <v>8.3054307361994904E-12</v>
      </c>
      <c r="BH200" s="59">
        <f t="shared" si="194"/>
        <v>293.33333333334161</v>
      </c>
      <c r="BI200" s="59">
        <f ca="1">AVERAGE(OFFSET($BH$3,0,0,'Données projet'!$E$11+1,1))-AVERAGE(OFFSET($H$3,0,0,'Données projet'!$E$11+1,1))</f>
        <v>381.78368385345919</v>
      </c>
      <c r="BJ200" s="59">
        <f t="shared" si="206"/>
        <v>257.35575295655639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0.14872176905790491</v>
      </c>
      <c r="BR200" s="21">
        <f>EXP(-LN(2)/2)*BR199+(1-EXP(-LN(2)/2))/(LN(2)/2)*BL200*BO200*VLOOKUP('Données projet'!$B$11,Paramètres!$A$1:$I$89,3,0)*0.475*44/12</f>
        <v>1.3226426796747991E-21</v>
      </c>
      <c r="BS200" s="22">
        <f t="shared" si="169"/>
        <v>0.14872176905790491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1.1368683772161603E-13</v>
      </c>
      <c r="BZ200" s="13">
        <f>BY200*VLOOKUP('Données projet'!$B$12,Paramètres!$A$1:$I$89,3,0)*VLOOKUP('Données projet'!$B$12,Paramètres!$A$1:$I$89,5,0)</f>
        <v>5.4683368944097308E-14</v>
      </c>
      <c r="CA200" s="13">
        <f t="shared" si="170"/>
        <v>8.8129432816788268E-13</v>
      </c>
      <c r="CB200" s="20">
        <f t="shared" si="171"/>
        <v>1.6301611558033651E-12</v>
      </c>
      <c r="CC200" s="59">
        <f t="shared" si="195"/>
        <v>293.33333333333496</v>
      </c>
      <c r="CD200" s="59">
        <f ca="1">AVERAGE(OFFSET($CC$3,0,0,'Données projet'!$E$12+1,1))-AVERAGE(OFFSET($H$3,0,0,'Données projet'!$E$12+1,1))</f>
        <v>415.97633163853953</v>
      </c>
      <c r="CE200" s="59">
        <f t="shared" si="207"/>
        <v>356.23532720804423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9.8942692679144503E-2</v>
      </c>
      <c r="CL200" s="21">
        <f>EXP(-LN(2)/25)*CL199+(1-EXP(-LN(2)/25))/(LN(2)/25)*Calculateur!CG200*Calculateur!CI200*VLOOKUP('Données projet'!$B$12,Paramètres!$A$1:$I$89,3,0)*0.475*44/12</f>
        <v>0.14667421844717654</v>
      </c>
      <c r="CM200" s="21">
        <f>EXP(-LN(2)/2)*CM199+(1-EXP(-LN(2)/2))/(LN(2)/2)*CG200*CJ200*VLOOKUP('Données projet'!$B$12,Paramètres!$A$1:$I$89,3,0)*0.475*44/12</f>
        <v>2.3159733723584079E-24</v>
      </c>
      <c r="CN200" s="22">
        <f t="shared" si="172"/>
        <v>0.24561691112632106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-2.5420376914553347E-13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492.3498626914548</v>
      </c>
      <c r="T201" s="59">
        <f t="shared" si="204"/>
        <v>635.90304180030307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0.19618403969267828</v>
      </c>
      <c r="AA201" s="21">
        <f>EXP(-LN(2)/25)*AA200+(1-EXP(-LN(2)/25))/(LN(2)/25)*Calculateur!V201*Calculateur!X201*VLOOKUP('Données projet'!$B$9,Paramètres!$A$1:$I$89,3,0)*0.475*44/12</f>
        <v>0.22949299343260363</v>
      </c>
      <c r="AB201" s="21">
        <f>EXP(-LN(2)/2)*AB200+(1-EXP(-LN(2)/2))/(LN(2)/2)*V201*Y201*VLOOKUP('Données projet'!$B$9,Paramètres!$A$1:$I$89,3,0)*0.475*44/12</f>
        <v>6.0485866160374841E-25</v>
      </c>
      <c r="AC201" s="22">
        <f t="shared" si="163"/>
        <v>0.42567703312528193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175.05987582828078</v>
      </c>
      <c r="AO201" s="59">
        <f t="shared" si="205"/>
        <v>268.54782308462387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0.18898445501051028</v>
      </c>
      <c r="AV201" s="21">
        <f>EXP(-LN(2)/25)*AV200+(1-EXP(-LN(2)/25))/(LN(2)/25)*Calculateur!AQ201*Calculateur!AS201*VLOOKUP('Données projet'!$B$10,Paramètres!$A$1:$I$89,3,0)*0.475*44/12</f>
        <v>0.17227685508931118</v>
      </c>
      <c r="AW201" s="21">
        <f>EXP(-LN(2)/2)*AW200+(1-EXP(-LN(2)/2))/(LN(2)/2)*AQ201*AT201*VLOOKUP('Données projet'!$B$10,Paramètres!$A$1:$I$89,3,0)*0.475*44/12</f>
        <v>5.3506914825727203E-25</v>
      </c>
      <c r="AX201" s="21">
        <f t="shared" si="166"/>
        <v>0.36126131009982143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5.6843418860808015E-13</v>
      </c>
      <c r="BE201" s="13">
        <f>BD201*VLOOKUP('Données projet'!$B$11,Paramètres!$A$1:$I$89,3,0)*VLOOKUP('Données projet'!$B$11,Paramètres!$A$1:$I$89,5,0)</f>
        <v>3.39923644787632E-13</v>
      </c>
      <c r="BF201" s="13">
        <f t="shared" si="167"/>
        <v>4.4287447204943725E-12</v>
      </c>
      <c r="BG201" s="20">
        <f t="shared" si="168"/>
        <v>8.3054307361994904E-12</v>
      </c>
      <c r="BH201" s="59">
        <f t="shared" si="194"/>
        <v>293.33333333334161</v>
      </c>
      <c r="BI201" s="59">
        <f ca="1">AVERAGE(OFFSET($BH$3,0,0,'Données projet'!$E$11+1,1))-AVERAGE(OFFSET($H$3,0,0,'Données projet'!$E$11+1,1))</f>
        <v>381.78368385345919</v>
      </c>
      <c r="BJ201" s="59">
        <f t="shared" si="206"/>
        <v>257.35575295655639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0.14465496446207857</v>
      </c>
      <c r="BR201" s="21">
        <f>EXP(-LN(2)/2)*BR200+(1-EXP(-LN(2)/2))/(LN(2)/2)*BL201*BO201*VLOOKUP('Données projet'!$B$11,Paramètres!$A$1:$I$89,3,0)*0.475*44/12</f>
        <v>9.3524960788479706E-22</v>
      </c>
      <c r="BS201" s="22">
        <f t="shared" si="169"/>
        <v>0.14465496446207857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1.1368683772161603E-13</v>
      </c>
      <c r="BZ201" s="13">
        <f>BY201*VLOOKUP('Données projet'!$B$12,Paramètres!$A$1:$I$89,3,0)*VLOOKUP('Données projet'!$B$12,Paramètres!$A$1:$I$89,5,0)</f>
        <v>5.4683368944097308E-14</v>
      </c>
      <c r="CA201" s="13">
        <f t="shared" si="170"/>
        <v>8.8129432816788268E-13</v>
      </c>
      <c r="CB201" s="20">
        <f t="shared" si="171"/>
        <v>1.6301611558033651E-12</v>
      </c>
      <c r="CC201" s="59">
        <f t="shared" si="195"/>
        <v>293.33333333333496</v>
      </c>
      <c r="CD201" s="59">
        <f ca="1">AVERAGE(OFFSET($CC$3,0,0,'Données projet'!$E$12+1,1))-AVERAGE(OFFSET($H$3,0,0,'Données projet'!$E$12+1,1))</f>
        <v>415.97633163853953</v>
      </c>
      <c r="CE201" s="59">
        <f t="shared" si="207"/>
        <v>356.23532720804423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9.7002486824790041E-2</v>
      </c>
      <c r="CL201" s="21">
        <f>EXP(-LN(2)/25)*CL200+(1-EXP(-LN(2)/25))/(LN(2)/25)*Calculateur!CG201*Calculateur!CI201*VLOOKUP('Données projet'!$B$12,Paramètres!$A$1:$I$89,3,0)*0.475*44/12</f>
        <v>0.14266340423047658</v>
      </c>
      <c r="CM201" s="21">
        <f>EXP(-LN(2)/2)*CM200+(1-EXP(-LN(2)/2))/(LN(2)/2)*CG201*CJ201*VLOOKUP('Données projet'!$B$12,Paramètres!$A$1:$I$89,3,0)*0.475*44/12</f>
        <v>1.6376404766421073E-24</v>
      </c>
      <c r="CN201" s="22">
        <f t="shared" si="172"/>
        <v>0.23966589105526662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-2.5420376914553347E-13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492.3498626914548</v>
      </c>
      <c r="T202" s="59">
        <f t="shared" si="204"/>
        <v>635.90304180030307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0.19233699033475357</v>
      </c>
      <c r="AA202" s="21">
        <f>EXP(-LN(2)/25)*AA201+(1-EXP(-LN(2)/25))/(LN(2)/25)*Calculateur!V202*Calculateur!X202*VLOOKUP('Données projet'!$B$9,Paramètres!$A$1:$I$89,3,0)*0.475*44/12</f>
        <v>0.22321749545867706</v>
      </c>
      <c r="AB202" s="21">
        <f>EXP(-LN(2)/2)*AB201+(1-EXP(-LN(2)/2))/(LN(2)/2)*V202*Y202*VLOOKUP('Données projet'!$B$9,Paramètres!$A$1:$I$89,3,0)*0.475*44/12</f>
        <v>4.2769966127942972E-25</v>
      </c>
      <c r="AC202" s="22">
        <f t="shared" si="163"/>
        <v>0.41555448579343063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175.05987582828078</v>
      </c>
      <c r="AO202" s="59">
        <f t="shared" si="205"/>
        <v>268.54782308462387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0.18527858511688985</v>
      </c>
      <c r="AV202" s="21">
        <f>EXP(-LN(2)/25)*AV201+(1-EXP(-LN(2)/25))/(LN(2)/25)*Calculateur!AQ202*Calculateur!AS202*VLOOKUP('Données projet'!$B$10,Paramètres!$A$1:$I$89,3,0)*0.475*44/12</f>
        <v>0.1675659354272479</v>
      </c>
      <c r="AW202" s="21">
        <f>EXP(-LN(2)/2)*AW201+(1-EXP(-LN(2)/2))/(LN(2)/2)*AQ202*AT202*VLOOKUP('Données projet'!$B$10,Paramètres!$A$1:$I$89,3,0)*0.475*44/12</f>
        <v>3.7835102313642721E-25</v>
      </c>
      <c r="AX202" s="21">
        <f t="shared" si="166"/>
        <v>0.35284452054413773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5.6843418860808015E-13</v>
      </c>
      <c r="BE202" s="13">
        <f>BD202*VLOOKUP('Données projet'!$B$11,Paramètres!$A$1:$I$89,3,0)*VLOOKUP('Données projet'!$B$11,Paramètres!$A$1:$I$89,5,0)</f>
        <v>3.39923644787632E-13</v>
      </c>
      <c r="BF202" s="13">
        <f t="shared" si="167"/>
        <v>4.4287447204943725E-12</v>
      </c>
      <c r="BG202" s="20">
        <f t="shared" si="168"/>
        <v>8.3054307361994904E-12</v>
      </c>
      <c r="BH202" s="59">
        <f t="shared" si="194"/>
        <v>293.33333333334161</v>
      </c>
      <c r="BI202" s="59">
        <f ca="1">AVERAGE(OFFSET($BH$3,0,0,'Données projet'!$E$11+1,1))-AVERAGE(OFFSET($H$3,0,0,'Données projet'!$E$11+1,1))</f>
        <v>381.78368385345919</v>
      </c>
      <c r="BJ202" s="59">
        <f t="shared" si="206"/>
        <v>257.35575295655639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0.14069936685178905</v>
      </c>
      <c r="BR202" s="21">
        <f>EXP(-LN(2)/2)*BR201+(1-EXP(-LN(2)/2))/(LN(2)/2)*BL202*BO202*VLOOKUP('Données projet'!$B$11,Paramètres!$A$1:$I$89,3,0)*0.475*44/12</f>
        <v>6.6132133983739957E-22</v>
      </c>
      <c r="BS202" s="22">
        <f t="shared" si="169"/>
        <v>0.14069936685178905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1.1368683772161603E-13</v>
      </c>
      <c r="BZ202" s="13">
        <f>BY202*VLOOKUP('Données projet'!$B$12,Paramètres!$A$1:$I$89,3,0)*VLOOKUP('Données projet'!$B$12,Paramètres!$A$1:$I$89,5,0)</f>
        <v>5.4683368944097308E-14</v>
      </c>
      <c r="CA202" s="13">
        <f t="shared" si="170"/>
        <v>8.8129432816788268E-13</v>
      </c>
      <c r="CB202" s="20">
        <f t="shared" si="171"/>
        <v>1.6301611558033651E-12</v>
      </c>
      <c r="CC202" s="59">
        <f t="shared" si="195"/>
        <v>293.33333333333496</v>
      </c>
      <c r="CD202" s="59">
        <f ca="1">AVERAGE(OFFSET($CC$3,0,0,'Données projet'!$E$12+1,1))-AVERAGE(OFFSET($H$3,0,0,'Données projet'!$E$12+1,1))</f>
        <v>415.97633163853953</v>
      </c>
      <c r="CE202" s="59">
        <f t="shared" si="207"/>
        <v>356.23532720804423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9.5100327223830744E-2</v>
      </c>
      <c r="CL202" s="21">
        <f>EXP(-LN(2)/25)*CL201+(1-EXP(-LN(2)/25))/(LN(2)/25)*Calculateur!CG202*Calculateur!CI202*VLOOKUP('Données projet'!$B$12,Paramètres!$A$1:$I$89,3,0)*0.475*44/12</f>
        <v>0.13876226593945182</v>
      </c>
      <c r="CM202" s="21">
        <f>EXP(-LN(2)/2)*CM201+(1-EXP(-LN(2)/2))/(LN(2)/2)*CG202*CJ202*VLOOKUP('Données projet'!$B$12,Paramètres!$A$1:$I$89,3,0)*0.475*44/12</f>
        <v>1.1579866861792041E-24</v>
      </c>
      <c r="CN202" s="22">
        <f t="shared" si="172"/>
        <v>0.23386259316328256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-2.5420376914553347E-13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492.3498626914548</v>
      </c>
      <c r="T203" s="59">
        <f t="shared" si="204"/>
        <v>635.90304180030307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0.18856537926826936</v>
      </c>
      <c r="AA203" s="21">
        <f>EXP(-LN(2)/25)*AA202+(1-EXP(-LN(2)/25))/(LN(2)/25)*Calculateur!V203*Calculateur!X203*VLOOKUP('Données projet'!$B$9,Paramètres!$A$1:$I$89,3,0)*0.475*44/12</f>
        <v>0.21711360130686161</v>
      </c>
      <c r="AB203" s="21">
        <f>EXP(-LN(2)/2)*AB202+(1-EXP(-LN(2)/2))/(LN(2)/2)*V203*Y203*VLOOKUP('Données projet'!$B$9,Paramètres!$A$1:$I$89,3,0)*0.475*44/12</f>
        <v>3.024293308018742E-25</v>
      </c>
      <c r="AC203" s="22">
        <f t="shared" si="163"/>
        <v>0.40567898057513097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175.05987582828078</v>
      </c>
      <c r="AO203" s="59">
        <f t="shared" si="205"/>
        <v>268.54782308462387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0.18164538507152589</v>
      </c>
      <c r="AV203" s="21">
        <f>EXP(-LN(2)/25)*AV202+(1-EXP(-LN(2)/25))/(LN(2)/25)*Calculateur!AQ203*Calculateur!AS203*VLOOKUP('Données projet'!$B$10,Paramètres!$A$1:$I$89,3,0)*0.475*44/12</f>
        <v>0.16298383611108025</v>
      </c>
      <c r="AW203" s="21">
        <f>EXP(-LN(2)/2)*AW202+(1-EXP(-LN(2)/2))/(LN(2)/2)*AQ203*AT203*VLOOKUP('Données projet'!$B$10,Paramètres!$A$1:$I$89,3,0)*0.475*44/12</f>
        <v>2.6753457412863602E-25</v>
      </c>
      <c r="AX203" s="21">
        <f t="shared" si="166"/>
        <v>0.34462922118260614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5.6843418860808015E-13</v>
      </c>
      <c r="BE203" s="13">
        <f>BD203*VLOOKUP('Données projet'!$B$11,Paramètres!$A$1:$I$89,3,0)*VLOOKUP('Données projet'!$B$11,Paramètres!$A$1:$I$89,5,0)</f>
        <v>3.39923644787632E-13</v>
      </c>
      <c r="BF203" s="13">
        <f t="shared" si="167"/>
        <v>4.4287447204943725E-12</v>
      </c>
      <c r="BG203" s="20">
        <f t="shared" si="168"/>
        <v>8.3054307361994904E-12</v>
      </c>
      <c r="BH203" s="59">
        <f t="shared" si="194"/>
        <v>293.33333333334161</v>
      </c>
      <c r="BI203" s="59">
        <f ca="1">AVERAGE(OFFSET($BH$3,0,0,'Données projet'!$E$11+1,1))-AVERAGE(OFFSET($H$3,0,0,'Données projet'!$E$11+1,1))</f>
        <v>381.78368385345919</v>
      </c>
      <c r="BJ203" s="59">
        <f t="shared" si="206"/>
        <v>257.35575295655639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0.13685193526616873</v>
      </c>
      <c r="BR203" s="21">
        <f>EXP(-LN(2)/2)*BR202+(1-EXP(-LN(2)/2))/(LN(2)/2)*BL203*BO203*VLOOKUP('Données projet'!$B$11,Paramètres!$A$1:$I$89,3,0)*0.475*44/12</f>
        <v>4.6762480394239853E-22</v>
      </c>
      <c r="BS203" s="22">
        <f t="shared" si="169"/>
        <v>0.13685193526616873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1.1368683772161603E-13</v>
      </c>
      <c r="BZ203" s="13">
        <f>BY203*VLOOKUP('Données projet'!$B$12,Paramètres!$A$1:$I$89,3,0)*VLOOKUP('Données projet'!$B$12,Paramètres!$A$1:$I$89,5,0)</f>
        <v>5.4683368944097308E-14</v>
      </c>
      <c r="CA203" s="13">
        <f t="shared" si="170"/>
        <v>8.8129432816788268E-13</v>
      </c>
      <c r="CB203" s="20">
        <f t="shared" si="171"/>
        <v>1.6301611558033651E-12</v>
      </c>
      <c r="CC203" s="59">
        <f t="shared" si="195"/>
        <v>293.33333333333496</v>
      </c>
      <c r="CD203" s="59">
        <f ca="1">AVERAGE(OFFSET($CC$3,0,0,'Données projet'!$E$12+1,1))-AVERAGE(OFFSET($H$3,0,0,'Données projet'!$E$12+1,1))</f>
        <v>415.97633163853953</v>
      </c>
      <c r="CE203" s="59">
        <f t="shared" si="207"/>
        <v>356.23532720804423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9.3235467812443462E-2</v>
      </c>
      <c r="CL203" s="21">
        <f>EXP(-LN(2)/25)*CL202+(1-EXP(-LN(2)/25))/(LN(2)/25)*Calculateur!CG203*Calculateur!CI203*VLOOKUP('Données projet'!$B$12,Paramètres!$A$1:$I$89,3,0)*0.475*44/12</f>
        <v>0.13496780448014709</v>
      </c>
      <c r="CM203" s="21">
        <f>EXP(-LN(2)/2)*CM202+(1-EXP(-LN(2)/2))/(LN(2)/2)*CG203*CJ203*VLOOKUP('Données projet'!$B$12,Paramètres!$A$1:$I$89,3,0)*0.475*44/12</f>
        <v>8.1882023832105385E-25</v>
      </c>
      <c r="CN203" s="22">
        <f t="shared" si="172"/>
        <v>0.22820327229259055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1.418286993802653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1.2997069632623315</v>
      </c>
      <c r="BA205" s="82">
        <f>EXP(LN('Données projet'!B88)/'Données projet'!A88)</f>
        <v>1.2576543687835404</v>
      </c>
      <c r="BV205" s="82">
        <f>EXP(LN('Données projet'!B114)/'Données projet'!A114)</f>
        <v>1.3078136577370625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0.74800000000000011</v>
      </c>
      <c r="C6" s="147">
        <f ca="1">IF(OR('Données projet'!B9="",'Données projet'!C9="",'Données projet'!C9=0%),0,Calculateur!S3)</f>
        <v>492.3498626914548</v>
      </c>
      <c r="D6" s="147">
        <f>IF(OR('Données projet'!B9="",'Données projet'!C9="",'Données projet'!C9=0%),0,Calculateur!T3)</f>
        <v>635.90304180030307</v>
      </c>
      <c r="E6" s="147">
        <f ca="1">MIN(C6,D6)</f>
        <v>492.3498626914548</v>
      </c>
      <c r="F6" s="147">
        <f ca="1">E6*B6</f>
        <v>368.27769729320823</v>
      </c>
      <c r="G6" s="147">
        <f ca="1">F6*(100%-'Données projet'!$C$24)*(100%-'Données projet'!$C$25)*(100%-'Données projet'!$C$26)*(100%-'Données projet'!$C$27)</f>
        <v>314.87743118569301</v>
      </c>
      <c r="H6" s="148">
        <f>IF(OR('Données projet'!B9="",'Données projet'!C9="",'Données projet'!C9=0%),0,AVERAGE(Calculateur!$AC$3:$AC$33)*B6)</f>
        <v>3.7517378118888143</v>
      </c>
      <c r="I6" s="149">
        <f>H6*(100%-'Données projet'!$C$24)*(100%-'Données projet'!$C$25)*(100%-'Données projet'!$C$26)*(100%-'Données projet'!$C$27)</f>
        <v>3.2077358291649363</v>
      </c>
      <c r="J6" s="150">
        <f>IF(OR('Données projet'!B9="",'Données projet'!C9="",'Données projet'!C9=0%),0,SUM(Calculateur!$V$3:$V$33)*VLOOKUP('Données projet'!$B$9,Paramètres!$A$1:$I$89,9,0)*B6)</f>
        <v>39.883360000000003</v>
      </c>
      <c r="K6" s="151">
        <f>J6*(100%-'Données projet'!$C$24)*(100%-'Données projet'!$C$25)*(100%-'Données projet'!$C$26)*(100%-'Données projet'!$C$27)</f>
        <v>34.100272800000006</v>
      </c>
      <c r="L6" s="152">
        <f ca="1">G6+I6+K6</f>
        <v>352.185439814858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Mélèze d'Europe</v>
      </c>
      <c r="B7" s="154">
        <f>'Données projet'!D10</f>
        <v>0.74800000000000011</v>
      </c>
      <c r="C7" s="147">
        <f ca="1">IF(OR('Données projet'!B10="",'Données projet'!C10="",'Données projet'!C10=0%),0,Calculateur!AN3)</f>
        <v>175.05987582828078</v>
      </c>
      <c r="D7" s="147">
        <f>IF(OR('Données projet'!B10="",'Données projet'!C10="",'Données projet'!C10=0%),0,Calculateur!AO3)</f>
        <v>268.54782308462387</v>
      </c>
      <c r="E7" s="147">
        <f t="shared" ref="E7:E15" ca="1" si="0">MIN(C7,D7)</f>
        <v>175.05987582828078</v>
      </c>
      <c r="F7" s="147">
        <f t="shared" ref="F7:F15" ca="1" si="1">E7*B7</f>
        <v>130.94478711955404</v>
      </c>
      <c r="G7" s="147">
        <f ca="1">F7*(100%-'Données projet'!$C$24)*(100%-'Données projet'!$C$25)*(100%-'Données projet'!$C$26)*(100%-'Données projet'!$C$27)</f>
        <v>111.9577929872187</v>
      </c>
      <c r="H7" s="155">
        <f>IF(OR('Données projet'!B10="",'Données projet'!C10="",'Données projet'!C10=0%),0,AVERAGE(Calculateur!$AX$3:$AX$33)*B7)</f>
        <v>3.8309493702935691</v>
      </c>
      <c r="I7" s="149">
        <f>H7*(100%-'Données projet'!$C$24)*(100%-'Données projet'!$C$25)*(100%-'Données projet'!$C$26)*(100%-'Données projet'!$C$27)</f>
        <v>3.2754617116010012</v>
      </c>
      <c r="J7" s="150">
        <f>IF(OR('Données projet'!B10="",'Données projet'!C10="",'Données projet'!C10=0%),0,SUM(Calculateur!$AQ$3:$AQ$33)*VLOOKUP('Données projet'!$B$10,Paramètres!$A$1:$I$89,9,0)*B7)</f>
        <v>41.169920000000005</v>
      </c>
      <c r="K7" s="151">
        <f>J7*(100%-'Données projet'!$C$24)*(100%-'Données projet'!$C$25)*(100%-'Données projet'!$C$26)*(100%-'Données projet'!$C$27)</f>
        <v>35.200281600000004</v>
      </c>
      <c r="L7" s="152">
        <f t="shared" ref="L7:L15" ca="1" si="2">G7+I7+K7</f>
        <v>150.43353629881969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noir d'Autriche</v>
      </c>
      <c r="B8" s="154">
        <f>'Données projet'!D11</f>
        <v>0.14960000000000001</v>
      </c>
      <c r="C8" s="147">
        <f ca="1">IF(OR('Données projet'!B11="",'Données projet'!C11="",'Données projet'!C11=0%),0,Calculateur!BI3)</f>
        <v>381.78368385345919</v>
      </c>
      <c r="D8" s="147">
        <f>IF(OR('Données projet'!B11="",'Données projet'!C11="",'Données projet'!C11=0%),0,Calculateur!BJ3)</f>
        <v>257.35575295655639</v>
      </c>
      <c r="E8" s="147">
        <f t="shared" ca="1" si="0"/>
        <v>257.35575295655639</v>
      </c>
      <c r="F8" s="147">
        <f t="shared" ca="1" si="1"/>
        <v>38.500420642300838</v>
      </c>
      <c r="G8" s="147">
        <f ca="1">F8*(100%-'Données projet'!$C$24)*(100%-'Données projet'!$C$25)*(100%-'Données projet'!$C$26)*(100%-'Données projet'!$C$27)</f>
        <v>32.91785964916722</v>
      </c>
      <c r="H8" s="155">
        <f>IF(OR('Données projet'!B11="",'Données projet'!C11="",'Données projet'!C11=0%),0,AVERAGE(Calculateur!$BS$3:$BS$33)*B8)</f>
        <v>6.5056886897779012E-2</v>
      </c>
      <c r="I8" s="149">
        <f>H8*(100%-'Données projet'!$C$24)*(100%-'Données projet'!$C$25)*(100%-'Données projet'!$C$26)*(100%-'Données projet'!$C$27)</f>
        <v>5.5623638297601058E-2</v>
      </c>
      <c r="J8" s="150">
        <f>IF(OR('Données projet'!B11="",'Données projet'!C11="",'Données projet'!C11=0%),0,SUM(Calculateur!$BL$3:$BL$33)*VLOOKUP('Données projet'!$B$11,Paramètres!$A$1:$I$89,9,0)*B8)</f>
        <v>1.8655120000000003</v>
      </c>
      <c r="K8" s="151">
        <f>J8*(100%-'Données projet'!$C$24)*(100%-'Données projet'!$C$25)*(100%-'Données projet'!$C$26)*(100%-'Données projet'!$C$27)</f>
        <v>1.5950127600000001</v>
      </c>
      <c r="L8" s="152">
        <f t="shared" ca="1" si="2"/>
        <v>34.568496047464826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Sapin de Nordmann</v>
      </c>
      <c r="B9" s="154">
        <f>'Données projet'!D12</f>
        <v>0.22440000000000002</v>
      </c>
      <c r="C9" s="147">
        <f ca="1">IF(OR('Données projet'!B12="",'Données projet'!C12="",'Données projet'!C12=0%),0,Calculateur!CD3)</f>
        <v>415.97633163853953</v>
      </c>
      <c r="D9" s="147">
        <f>IF(OR('Données projet'!B12="",'Données projet'!C12="",'Données projet'!C12=0%),0,Calculateur!CE3)</f>
        <v>356.23532720804423</v>
      </c>
      <c r="E9" s="147">
        <f t="shared" ca="1" si="0"/>
        <v>356.23532720804423</v>
      </c>
      <c r="F9" s="147">
        <f t="shared" ca="1" si="1"/>
        <v>79.939207425485137</v>
      </c>
      <c r="G9" s="147">
        <f ca="1">F9*(100%-'Données projet'!$C$24)*(100%-'Données projet'!$C$25)*(100%-'Données projet'!$C$26)*(100%-'Données projet'!$C$27)</f>
        <v>68.348022348789797</v>
      </c>
      <c r="H9" s="155">
        <f>IF(OR('Données projet'!B12="",'Données projet'!C12="",'Données projet'!C12=0%),0,AVERAGE(Calculateur!$CN$3:$CN$33)*B9)</f>
        <v>1.8659772636816769</v>
      </c>
      <c r="I9" s="149">
        <f>H9*(100%-'Données projet'!$C$24)*(100%-'Données projet'!$C$25)*(100%-'Données projet'!$C$26)*(100%-'Données projet'!$C$27)</f>
        <v>1.5954105604478337</v>
      </c>
      <c r="J9" s="150">
        <f>IF(OR('Données projet'!B12="",'Données projet'!C12="",'Données projet'!C12=0%),0,SUM(Calculateur!$CG$3:$CG$33)*VLOOKUP('Données projet'!$B$12,Paramètres!$A$1:$I$89,9,0)*B9)</f>
        <v>19.008924</v>
      </c>
      <c r="K9" s="151">
        <f>J9*(100%-'Données projet'!$C$24)*(100%-'Données projet'!$C$25)*(100%-'Données projet'!$C$26)*(100%-'Données projet'!$C$27)</f>
        <v>16.252630019999998</v>
      </c>
      <c r="L9" s="152">
        <f t="shared" ca="1" si="2"/>
        <v>86.196062929237627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617.66211248054822</v>
      </c>
      <c r="G16" s="166">
        <f t="shared" ca="1" si="3"/>
        <v>528.10110617086866</v>
      </c>
      <c r="H16" s="167">
        <f t="shared" si="3"/>
        <v>9.5137213327618397</v>
      </c>
      <c r="I16" s="167">
        <f t="shared" si="3"/>
        <v>8.1342317395113728</v>
      </c>
      <c r="J16" s="168">
        <f t="shared" si="3"/>
        <v>101.927716</v>
      </c>
      <c r="K16" s="168">
        <f t="shared" si="3"/>
        <v>87.148197180000011</v>
      </c>
      <c r="L16" s="169">
        <f t="shared" ca="1" si="3"/>
        <v>623.38353509038018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noir d'Autriche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Sapin de Nordmann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3" zoomScale="80" zoomScaleNormal="80" workbookViewId="0">
      <selection activeCell="I24" sqref="I2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3873.03387955362</v>
      </c>
      <c r="U10" s="178">
        <f>'Données projet'!D9</f>
        <v>0.74800000000000011</v>
      </c>
      <c r="V10" s="177">
        <f>U10*T10</f>
        <v>2897.0293419061081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261.07206164110585</v>
      </c>
      <c r="U11" s="178">
        <f>'Données projet'!D10</f>
        <v>0.74800000000000011</v>
      </c>
      <c r="V11" s="177">
        <f t="shared" ref="V11" si="0">U11*T11</f>
        <v>195.28190210754721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noir d'Autriche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-548.75762702409679</v>
      </c>
      <c r="U12" s="178">
        <f>'Données projet'!D11</f>
        <v>0.14960000000000001</v>
      </c>
      <c r="V12" s="177">
        <f t="shared" ref="V12:V19" si="1">U12*T12</f>
        <v>-82.094141002804889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Sapin de Nordmann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1723.8871392048773</v>
      </c>
      <c r="U13" s="178">
        <f>'Données projet'!D12</f>
        <v>0.22440000000000002</v>
      </c>
      <c r="V13" s="177">
        <f t="shared" si="1"/>
        <v>386.84027403757449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100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(0.65+0.55)*1300</f>
        <v>1560.0000000000002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99.999999999999915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1"/>
      <c r="F18" s="230"/>
      <c r="G18" s="303"/>
      <c r="J18" s="202"/>
      <c r="K18" s="208"/>
      <c r="L18" s="260" t="s">
        <v>255</v>
      </c>
      <c r="M18" s="262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1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1499.9999999999986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1"/>
      <c r="F20" s="230"/>
      <c r="G20" s="303"/>
      <c r="H20" s="190">
        <v>0</v>
      </c>
      <c r="I20" s="191">
        <f>1390+822+200+200</f>
        <v>2612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>
        <v>3</v>
      </c>
      <c r="I23" s="191">
        <v>800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-5241.9385601951562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11</v>
      </c>
      <c r="C24" s="193">
        <v>2</v>
      </c>
      <c r="D24" s="182">
        <f t="shared" ref="D24:D42" si="2">B24*C24</f>
        <v>22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34.379837600425795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46</v>
      </c>
      <c r="C25" s="193">
        <v>2</v>
      </c>
      <c r="D25" s="182">
        <f t="shared" si="2"/>
        <v>92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-5276.3183977955823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67</v>
      </c>
      <c r="C26" s="193">
        <v>10</v>
      </c>
      <c r="D26" s="182">
        <f t="shared" si="2"/>
        <v>670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35</v>
      </c>
      <c r="B27" s="181">
        <f>'Données projet'!D40</f>
        <v>72</v>
      </c>
      <c r="C27" s="193">
        <v>10</v>
      </c>
      <c r="D27" s="182">
        <f t="shared" si="2"/>
        <v>720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79</v>
      </c>
      <c r="C28" s="193">
        <v>33</v>
      </c>
      <c r="D28" s="182">
        <f t="shared" si="2"/>
        <v>2607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45</v>
      </c>
      <c r="B29" s="181">
        <f>'Données projet'!D42</f>
        <v>82</v>
      </c>
      <c r="C29" s="193">
        <v>33</v>
      </c>
      <c r="D29" s="182">
        <f t="shared" si="2"/>
        <v>2706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50</v>
      </c>
      <c r="B30" s="181">
        <f>'Données projet'!D43</f>
        <v>75</v>
      </c>
      <c r="C30" s="193">
        <v>33</v>
      </c>
      <c r="D30" s="182">
        <f t="shared" si="2"/>
        <v>2475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55</v>
      </c>
      <c r="B31" s="181">
        <f>'Données projet'!D44</f>
        <v>66</v>
      </c>
      <c r="C31" s="193">
        <v>55</v>
      </c>
      <c r="D31" s="182">
        <f t="shared" si="2"/>
        <v>3630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60</v>
      </c>
      <c r="B32" s="181">
        <f>'Données projet'!D45</f>
        <v>64</v>
      </c>
      <c r="C32" s="193">
        <v>55</v>
      </c>
      <c r="D32" s="182">
        <f t="shared" si="2"/>
        <v>3520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65</v>
      </c>
      <c r="B33" s="181">
        <f>'Données projet'!D46</f>
        <v>741</v>
      </c>
      <c r="C33" s="193">
        <v>80</v>
      </c>
      <c r="D33" s="182">
        <f t="shared" si="2"/>
        <v>59280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(0.85+0.65)*1300</f>
        <v>1950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1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1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1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18</v>
      </c>
      <c r="B54" s="181">
        <f>'Données projet'!D62</f>
        <v>20</v>
      </c>
      <c r="C54" s="193">
        <v>2</v>
      </c>
      <c r="D54" s="179">
        <f>B54*C54</f>
        <v>40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21</v>
      </c>
      <c r="B55" s="181">
        <f>'Données projet'!D63</f>
        <v>26</v>
      </c>
      <c r="C55" s="193">
        <v>2</v>
      </c>
      <c r="D55" s="179">
        <f t="shared" ref="D55:D73" si="4">B55*C55</f>
        <v>52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24</v>
      </c>
      <c r="B56" s="181">
        <f>'Données projet'!D64</f>
        <v>29</v>
      </c>
      <c r="C56" s="193">
        <v>2</v>
      </c>
      <c r="D56" s="179">
        <f t="shared" si="4"/>
        <v>58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53</v>
      </c>
      <c r="C57" s="193">
        <v>4.4800000000000004</v>
      </c>
      <c r="D57" s="179">
        <f t="shared" si="4"/>
        <v>237.44000000000003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36</v>
      </c>
      <c r="B58" s="181">
        <f>'Données projet'!D66</f>
        <v>62</v>
      </c>
      <c r="C58" s="193">
        <v>26.7</v>
      </c>
      <c r="D58" s="179">
        <f t="shared" si="4"/>
        <v>1655.3999999999999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42</v>
      </c>
      <c r="B59" s="181">
        <f>'Données projet'!D67</f>
        <v>67</v>
      </c>
      <c r="C59" s="193">
        <v>42</v>
      </c>
      <c r="D59" s="179">
        <f t="shared" si="4"/>
        <v>2814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48</v>
      </c>
      <c r="B60" s="181">
        <f>'Données projet'!D68</f>
        <v>65</v>
      </c>
      <c r="C60" s="193">
        <v>42</v>
      </c>
      <c r="D60" s="179">
        <f t="shared" si="4"/>
        <v>2730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60</v>
      </c>
      <c r="B61" s="181">
        <f>'Données projet'!D69</f>
        <v>304</v>
      </c>
      <c r="C61" s="191">
        <v>46</v>
      </c>
      <c r="D61" s="179">
        <f t="shared" si="4"/>
        <v>13984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noir d'Autriche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(0.55+0.55)*1300</f>
        <v>1430.0000000000002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1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1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1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7</v>
      </c>
      <c r="C85" s="193">
        <v>1.95</v>
      </c>
      <c r="D85" s="179">
        <f>B85*C85</f>
        <v>13.65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22</v>
      </c>
      <c r="C86" s="193">
        <v>4.4800000000000004</v>
      </c>
      <c r="D86" s="179">
        <f t="shared" ref="D86:D104" si="6">B86*C86</f>
        <v>98.56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35</v>
      </c>
      <c r="C87" s="193">
        <v>4.4800000000000004</v>
      </c>
      <c r="D87" s="179">
        <f t="shared" si="6"/>
        <v>156.80000000000001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42</v>
      </c>
      <c r="C88" s="193">
        <v>26.7</v>
      </c>
      <c r="D88" s="179">
        <f t="shared" si="6"/>
        <v>1121.3999999999999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42</v>
      </c>
      <c r="C89" s="193">
        <v>26.7</v>
      </c>
      <c r="D89" s="179">
        <f t="shared" si="6"/>
        <v>1121.3999999999999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39</v>
      </c>
      <c r="C90" s="193">
        <v>45.11</v>
      </c>
      <c r="D90" s="179">
        <f t="shared" si="6"/>
        <v>1759.29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36</v>
      </c>
      <c r="C91" s="193">
        <v>45.11</v>
      </c>
      <c r="D91" s="179">
        <f t="shared" si="6"/>
        <v>1623.96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36</v>
      </c>
      <c r="C92" s="193">
        <v>50.6</v>
      </c>
      <c r="D92" s="179">
        <f t="shared" si="6"/>
        <v>1821.6000000000001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621</v>
      </c>
      <c r="C93" s="193">
        <v>59.75</v>
      </c>
      <c r="D93" s="179">
        <f t="shared" si="6"/>
        <v>37104.75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Sapin de Nordmann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(0.75+0.55)*1300</f>
        <v>1690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1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1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1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15</v>
      </c>
      <c r="B116" s="181">
        <f>'Données projet'!D114</f>
        <v>0</v>
      </c>
      <c r="C116" s="193">
        <v>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43</v>
      </c>
      <c r="C117" s="193">
        <v>1.95</v>
      </c>
      <c r="D117" s="179">
        <f t="shared" ref="D117:D135" si="8">B117*C117</f>
        <v>83.85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25</v>
      </c>
      <c r="B118" s="181">
        <f>'Données projet'!D116</f>
        <v>77</v>
      </c>
      <c r="C118" s="193">
        <v>4.4800000000000004</v>
      </c>
      <c r="D118" s="179">
        <f t="shared" si="8"/>
        <v>344.96000000000004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30</v>
      </c>
      <c r="B119" s="181">
        <f>'Données projet'!D117</f>
        <v>77</v>
      </c>
      <c r="C119" s="193">
        <v>4.4800000000000004</v>
      </c>
      <c r="D119" s="179">
        <f t="shared" si="8"/>
        <v>344.96000000000004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35</v>
      </c>
      <c r="B120" s="181">
        <f>'Données projet'!D118</f>
        <v>77</v>
      </c>
      <c r="C120" s="193">
        <v>15</v>
      </c>
      <c r="D120" s="179">
        <f t="shared" si="8"/>
        <v>1155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40</v>
      </c>
      <c r="B121" s="181">
        <f>'Données projet'!D119</f>
        <v>77</v>
      </c>
      <c r="C121" s="193">
        <v>15</v>
      </c>
      <c r="D121" s="179">
        <f t="shared" si="8"/>
        <v>1155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45</v>
      </c>
      <c r="B122" s="181">
        <f>'Données projet'!D120</f>
        <v>77</v>
      </c>
      <c r="C122" s="193">
        <v>25</v>
      </c>
      <c r="D122" s="179">
        <f t="shared" si="8"/>
        <v>1925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50</v>
      </c>
      <c r="B123" s="181">
        <f>'Données projet'!D121</f>
        <v>77</v>
      </c>
      <c r="C123" s="193">
        <v>25</v>
      </c>
      <c r="D123" s="179">
        <f t="shared" si="8"/>
        <v>1925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55</v>
      </c>
      <c r="B124" s="181">
        <f>'Données projet'!D122</f>
        <v>73</v>
      </c>
      <c r="C124" s="193">
        <v>25</v>
      </c>
      <c r="D124" s="179">
        <f t="shared" si="8"/>
        <v>1825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60</v>
      </c>
      <c r="B125" s="181">
        <f>'Données projet'!D123</f>
        <v>66</v>
      </c>
      <c r="C125" s="191">
        <v>30</v>
      </c>
      <c r="D125" s="179">
        <f t="shared" si="8"/>
        <v>1980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65</v>
      </c>
      <c r="B126" s="181">
        <f>'Données projet'!D124</f>
        <v>62</v>
      </c>
      <c r="C126" s="191">
        <v>30</v>
      </c>
      <c r="D126" s="179">
        <f t="shared" si="8"/>
        <v>1860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70</v>
      </c>
      <c r="B127" s="181">
        <f>'Données projet'!D125</f>
        <v>60</v>
      </c>
      <c r="C127" s="193">
        <v>45.11</v>
      </c>
      <c r="D127" s="179">
        <f t="shared" si="8"/>
        <v>2706.6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75</v>
      </c>
      <c r="B128" s="181">
        <f>'Données projet'!D126</f>
        <v>58</v>
      </c>
      <c r="C128" s="193">
        <v>50.6</v>
      </c>
      <c r="D128" s="179">
        <f t="shared" si="8"/>
        <v>2934.8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80</v>
      </c>
      <c r="B129" s="181">
        <f>'Données projet'!D127</f>
        <v>909</v>
      </c>
      <c r="C129" s="193">
        <v>59.75</v>
      </c>
      <c r="D129" s="179">
        <f t="shared" si="8"/>
        <v>54312.75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adele baldenweck</cp:lastModifiedBy>
  <dcterms:created xsi:type="dcterms:W3CDTF">2021-02-01T08:22:39Z</dcterms:created>
  <dcterms:modified xsi:type="dcterms:W3CDTF">2023-03-15T10:05:46Z</dcterms:modified>
</cp:coreProperties>
</file>