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Dossier reboisement Thouverez\"/>
    </mc:Choice>
  </mc:AlternateContent>
  <xr:revisionPtr revIDLastSave="0" documentId="13_ncr:1_{938571DC-D322-43E8-8CAE-526091ABF1D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<sst xmlns="http://schemas.openxmlformats.org/spreadsheetml/2006/main" count="1173" uniqueCount="324">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</sst>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1.6708208289081574</c:v>
                </c:pt>
                <c:pt idx="2">
                  <c:v>2.163178073386427</c:v>
                </c:pt>
                <c:pt idx="3">
                  <c:v>2.8012174746327188</c:v>
                </c:pt>
                <c:pt idx="4">
                  <c:v>3.6282106482914434</c:v>
                </c:pt>
                <c:pt idx="5">
                  <c:v>4.7003283237568159</c:v>
                </c:pt>
                <c:pt idx="6">
                  <c:v>6.0904983497899456</c:v>
                </c:pt>
                <c:pt idx="7">
                  <c:v>7.8934211379575494</c:v>
                </c:pt>
                <c:pt idx="8">
                  <c:v>10.232090762095874</c:v>
                </c:pt>
                <c:pt idx="9">
                  <c:v>13.266274962332382</c:v>
                </c:pt>
                <c:pt idx="10">
                  <c:v>17.203544085368073</c:v>
                </c:pt>
                <c:pt idx="11">
                  <c:v>22.313617148310872</c:v>
                </c:pt>
                <c:pt idx="12">
                  <c:v>28.947025280656934</c:v>
                </c:pt>
                <c:pt idx="13">
                  <c:v>37.559395124744732</c:v>
                </c:pt>
                <c:pt idx="14">
                  <c:v>48.743048671219157</c:v>
                </c:pt>
                <c:pt idx="15">
                  <c:v>63.26812926080428</c:v>
                </c:pt>
                <c:pt idx="16">
                  <c:v>91.465786550472217</c:v>
                </c:pt>
                <c:pt idx="17">
                  <c:v>119.44328066165535</c:v>
                </c:pt>
                <c:pt idx="18">
                  <c:v>147.26006612469442</c:v>
                </c:pt>
                <c:pt idx="19">
                  <c:v>174.95094251296169</c:v>
                </c:pt>
                <c:pt idx="20">
                  <c:v>202.53869517569197</c:v>
                </c:pt>
                <c:pt idx="21">
                  <c:v>189.07736081536709</c:v>
                </c:pt>
                <c:pt idx="22">
                  <c:v>221.52055911910176</c:v>
                </c:pt>
                <c:pt idx="23">
                  <c:v>253.85456933232786</c:v>
                </c:pt>
                <c:pt idx="24">
                  <c:v>286.09525856499152</c:v>
                </c:pt>
                <c:pt idx="25">
                  <c:v>318.25461813727674</c:v>
                </c:pt>
                <c:pt idx="26">
                  <c:v>270.40996214485261</c:v>
                </c:pt>
                <c:pt idx="27">
                  <c:v>304.08848473578604</c:v>
                </c:pt>
                <c:pt idx="28">
                  <c:v>337.6840193812842</c:v>
                </c:pt>
                <c:pt idx="29">
                  <c:v>371.20597553980701</c:v>
                </c:pt>
                <c:pt idx="30">
                  <c:v>404.66192417221941</c:v>
                </c:pt>
                <c:pt idx="31">
                  <c:v>356.03481754405396</c:v>
                </c:pt>
                <c:pt idx="32">
                  <c:v>388.46781006988311</c:v>
                </c:pt>
                <c:pt idx="33">
                  <c:v>420.84203117611963</c:v>
                </c:pt>
                <c:pt idx="34">
                  <c:v>453.16263150905041</c:v>
                </c:pt>
                <c:pt idx="35">
                  <c:v>485.43396761372065</c:v>
                </c:pt>
                <c:pt idx="36">
                  <c:v>435.74946916782238</c:v>
                </c:pt>
                <c:pt idx="37">
                  <c:v>466.78943004630463</c:v>
                </c:pt>
                <c:pt idx="38">
                  <c:v>497.78541142859484</c:v>
                </c:pt>
                <c:pt idx="39">
                  <c:v>528.7405328723429</c:v>
                </c:pt>
                <c:pt idx="40">
                  <c:v>559.65751929195142</c:v>
                </c:pt>
                <c:pt idx="41">
                  <c:v>508.66604379284121</c:v>
                </c:pt>
                <c:pt idx="42">
                  <c:v>538.14488655121613</c:v>
                </c:pt>
                <c:pt idx="43">
                  <c:v>567.58980946497468</c:v>
                </c:pt>
                <c:pt idx="44">
                  <c:v>597.00281707875183</c:v>
                </c:pt>
                <c:pt idx="45">
                  <c:v>626.38570057063134</c:v>
                </c:pt>
                <c:pt idx="46">
                  <c:v>573.85050540888926</c:v>
                </c:pt>
                <c:pt idx="47">
                  <c:v>601.58932106586462</c:v>
                </c:pt>
                <c:pt idx="48">
                  <c:v>629.30156886637451</c:v>
                </c:pt>
                <c:pt idx="49">
                  <c:v>656.98858165602678</c:v>
                </c:pt>
                <c:pt idx="50">
                  <c:v>684.65157093676453</c:v>
                </c:pt>
                <c:pt idx="51">
                  <c:v>630.96765373572316</c:v>
                </c:pt>
                <c:pt idx="52">
                  <c:v>657.40474147385248</c:v>
                </c:pt>
                <c:pt idx="53">
                  <c:v>683.81994089448472</c:v>
                </c:pt>
                <c:pt idx="54">
                  <c:v>710.21421527675409</c:v>
                </c:pt>
                <c:pt idx="55">
                  <c:v>736.58845056468351</c:v>
                </c:pt>
                <c:pt idx="56">
                  <c:v>685.48318025651076</c:v>
                </c:pt>
                <c:pt idx="57">
                  <c:v>710.21421527675409</c:v>
                </c:pt>
                <c:pt idx="58">
                  <c:v>734.92765690824933</c:v>
                </c:pt>
                <c:pt idx="59">
                  <c:v>759.62417920474752</c:v>
                </c:pt>
                <c:pt idx="60">
                  <c:v>784.30440887889836</c:v>
                </c:pt>
                <c:pt idx="61">
                  <c:v>739.07949813858215</c:v>
                </c:pt>
                <c:pt idx="62">
                  <c:v>762.32112060791712</c:v>
                </c:pt>
                <c:pt idx="63">
                  <c:v>785.5483695028073</c:v>
                </c:pt>
                <c:pt idx="64">
                  <c:v>808.7617290710632</c:v>
                </c:pt>
                <c:pt idx="65">
                  <c:v>831.96165353467279</c:v>
                </c:pt>
                <c:pt idx="66">
                  <c:v>790.10921803182828</c:v>
                </c:pt>
                <c:pt idx="67">
                  <c:v>812.49118300447708</c:v>
                </c:pt>
                <c:pt idx="68">
                  <c:v>834.86072097789531</c:v>
                </c:pt>
                <c:pt idx="69">
                  <c:v>857.21821134649679</c:v>
                </c:pt>
                <c:pt idx="70">
                  <c:v>879.56401212877552</c:v>
                </c:pt>
                <c:pt idx="71">
                  <c:v>838.58779608834539</c:v>
                </c:pt>
                <c:pt idx="72">
                  <c:v>859.70164901109058</c:v>
                </c:pt>
                <c:pt idx="73">
                  <c:v>880.8051096418734</c:v>
                </c:pt>
                <c:pt idx="74">
                  <c:v>901.89846169493296</c:v>
                </c:pt>
                <c:pt idx="75">
                  <c:v>922.98197455025081</c:v>
                </c:pt>
                <c:pt idx="76">
                  <c:v>882.25301254160865</c:v>
                </c:pt>
                <c:pt idx="77">
                  <c:v>901.48496198577732</c:v>
                </c:pt>
                <c:pt idx="78">
                  <c:v>920.70872783184029</c:v>
                </c:pt>
                <c:pt idx="79">
                  <c:v>939.92450478949831</c:v>
                </c:pt>
                <c:pt idx="80">
                  <c:v>959.13247896881603</c:v>
                </c:pt>
                <c:pt idx="81">
                  <c:v>900.24444014394294</c:v>
                </c:pt>
                <c:pt idx="82">
                  <c:v>900.24444014394294</c:v>
                </c:pt>
                <c:pt idx="83">
                  <c:v>900.24444014394294</c:v>
                </c:pt>
                <c:pt idx="84">
                  <c:v>900.24444014394294</c:v>
                </c:pt>
                <c:pt idx="85">
                  <c:v>900.24444014394294</c:v>
                </c:pt>
                <c:pt idx="86">
                  <c:v>900.24444014394294</c:v>
                </c:pt>
                <c:pt idx="87">
                  <c:v>900.24444014394294</c:v>
                </c:pt>
                <c:pt idx="88">
                  <c:v>900.24444014394294</c:v>
                </c:pt>
                <c:pt idx="89">
                  <c:v>900.24444014394294</c:v>
                </c:pt>
                <c:pt idx="90">
                  <c:v>900.24444014394294</c:v>
                </c:pt>
                <c:pt idx="91">
                  <c:v>900.24444014394294</c:v>
                </c:pt>
                <c:pt idx="92">
                  <c:v>900.24444014394294</c:v>
                </c:pt>
                <c:pt idx="93">
                  <c:v>900.24444014394294</c:v>
                </c:pt>
                <c:pt idx="94">
                  <c:v>900.24444014394294</c:v>
                </c:pt>
                <c:pt idx="95">
                  <c:v>900.24444014394294</c:v>
                </c:pt>
                <c:pt idx="96">
                  <c:v>900.24444014394294</c:v>
                </c:pt>
                <c:pt idx="97">
                  <c:v>900.24444014394294</c:v>
                </c:pt>
                <c:pt idx="98">
                  <c:v>900.24444014394294</c:v>
                </c:pt>
                <c:pt idx="99">
                  <c:v>900.24444014394294</c:v>
                </c:pt>
                <c:pt idx="100">
                  <c:v>900.24444014394294</c:v>
                </c:pt>
                <c:pt idx="101">
                  <c:v>900.24444014394294</c:v>
                </c:pt>
                <c:pt idx="102">
                  <c:v>900.24444014394294</c:v>
                </c:pt>
                <c:pt idx="103">
                  <c:v>900.24444014394294</c:v>
                </c:pt>
                <c:pt idx="104">
                  <c:v>900.24444014394294</c:v>
                </c:pt>
                <c:pt idx="105">
                  <c:v>900.24444014394294</c:v>
                </c:pt>
                <c:pt idx="106">
                  <c:v>900.24444014394294</c:v>
                </c:pt>
                <c:pt idx="107">
                  <c:v>900.24444014394294</c:v>
                </c:pt>
                <c:pt idx="108">
                  <c:v>900.24444014394294</c:v>
                </c:pt>
                <c:pt idx="109">
                  <c:v>900.24444014394294</c:v>
                </c:pt>
                <c:pt idx="110">
                  <c:v>900.24444014394294</c:v>
                </c:pt>
                <c:pt idx="111">
                  <c:v>900.24444014394294</c:v>
                </c:pt>
                <c:pt idx="112">
                  <c:v>900.24444014394294</c:v>
                </c:pt>
                <c:pt idx="113">
                  <c:v>900.24444014394294</c:v>
                </c:pt>
                <c:pt idx="114">
                  <c:v>900.24444014394294</c:v>
                </c:pt>
                <c:pt idx="115">
                  <c:v>900.24444014394294</c:v>
                </c:pt>
                <c:pt idx="116">
                  <c:v>900.24444014394294</c:v>
                </c:pt>
                <c:pt idx="117">
                  <c:v>900.24444014394294</c:v>
                </c:pt>
                <c:pt idx="118">
                  <c:v>900.24444014394294</c:v>
                </c:pt>
                <c:pt idx="119">
                  <c:v>900.24444014394294</c:v>
                </c:pt>
                <c:pt idx="120">
                  <c:v>900.24444014394294</c:v>
                </c:pt>
                <c:pt idx="121">
                  <c:v>900.24444014394294</c:v>
                </c:pt>
                <c:pt idx="122">
                  <c:v>900.24444014394294</c:v>
                </c:pt>
                <c:pt idx="123">
                  <c:v>900.24444014394294</c:v>
                </c:pt>
                <c:pt idx="124">
                  <c:v>900.24444014394294</c:v>
                </c:pt>
                <c:pt idx="125">
                  <c:v>900.24444014394294</c:v>
                </c:pt>
                <c:pt idx="126">
                  <c:v>900.24444014394294</c:v>
                </c:pt>
                <c:pt idx="127">
                  <c:v>900.24444014394294</c:v>
                </c:pt>
                <c:pt idx="128">
                  <c:v>900.24444014394294</c:v>
                </c:pt>
                <c:pt idx="129">
                  <c:v>900.24444014394294</c:v>
                </c:pt>
                <c:pt idx="130">
                  <c:v>900.24444014394294</c:v>
                </c:pt>
                <c:pt idx="131">
                  <c:v>900.24444014394294</c:v>
                </c:pt>
                <c:pt idx="132">
                  <c:v>900.24444014394294</c:v>
                </c:pt>
                <c:pt idx="133">
                  <c:v>900.24444014394294</c:v>
                </c:pt>
                <c:pt idx="134">
                  <c:v>900.24444014394294</c:v>
                </c:pt>
                <c:pt idx="135">
                  <c:v>900.24444014394294</c:v>
                </c:pt>
                <c:pt idx="136">
                  <c:v>900.24444014394294</c:v>
                </c:pt>
                <c:pt idx="137">
                  <c:v>900.24444014394294</c:v>
                </c:pt>
                <c:pt idx="138">
                  <c:v>900.24444014394294</c:v>
                </c:pt>
                <c:pt idx="139">
                  <c:v>900.24444014394294</c:v>
                </c:pt>
                <c:pt idx="140">
                  <c:v>900.24444014394294</c:v>
                </c:pt>
                <c:pt idx="141">
                  <c:v>900.24444014394294</c:v>
                </c:pt>
                <c:pt idx="142">
                  <c:v>900.24444014394294</c:v>
                </c:pt>
                <c:pt idx="143">
                  <c:v>900.24444014394294</c:v>
                </c:pt>
                <c:pt idx="144">
                  <c:v>900.24444014394294</c:v>
                </c:pt>
                <c:pt idx="145">
                  <c:v>900.24444014394294</c:v>
                </c:pt>
                <c:pt idx="146">
                  <c:v>900.24444014394294</c:v>
                </c:pt>
                <c:pt idx="147">
                  <c:v>900.24444014394294</c:v>
                </c:pt>
                <c:pt idx="148">
                  <c:v>900.24444014394294</c:v>
                </c:pt>
                <c:pt idx="149">
                  <c:v>900.24444014394294</c:v>
                </c:pt>
                <c:pt idx="150">
                  <c:v>900.24444014394294</c:v>
                </c:pt>
                <c:pt idx="151">
                  <c:v>900.24444014394294</c:v>
                </c:pt>
                <c:pt idx="152">
                  <c:v>900.24444014394294</c:v>
                </c:pt>
                <c:pt idx="153">
                  <c:v>900.24444014394294</c:v>
                </c:pt>
                <c:pt idx="154">
                  <c:v>900.24444014394294</c:v>
                </c:pt>
                <c:pt idx="155">
                  <c:v>900.24444014394294</c:v>
                </c:pt>
                <c:pt idx="156">
                  <c:v>900.24444014394294</c:v>
                </c:pt>
                <c:pt idx="157">
                  <c:v>900.24444014394294</c:v>
                </c:pt>
                <c:pt idx="158">
                  <c:v>900.24444014394294</c:v>
                </c:pt>
                <c:pt idx="159">
                  <c:v>900.24444014394294</c:v>
                </c:pt>
                <c:pt idx="160">
                  <c:v>900.24444014394294</c:v>
                </c:pt>
                <c:pt idx="161">
                  <c:v>900.24444014394294</c:v>
                </c:pt>
                <c:pt idx="162">
                  <c:v>900.24444014394294</c:v>
                </c:pt>
                <c:pt idx="163">
                  <c:v>900.24444014394294</c:v>
                </c:pt>
                <c:pt idx="164">
                  <c:v>900.24444014394294</c:v>
                </c:pt>
                <c:pt idx="165">
                  <c:v>900.24444014394294</c:v>
                </c:pt>
                <c:pt idx="166">
                  <c:v>900.24444014394294</c:v>
                </c:pt>
                <c:pt idx="167">
                  <c:v>900.24444014394294</c:v>
                </c:pt>
                <c:pt idx="168">
                  <c:v>900.24444014394294</c:v>
                </c:pt>
                <c:pt idx="169">
                  <c:v>900.24444014394294</c:v>
                </c:pt>
                <c:pt idx="170">
                  <c:v>900.24444014394294</c:v>
                </c:pt>
                <c:pt idx="171">
                  <c:v>900.24444014394294</c:v>
                </c:pt>
                <c:pt idx="172">
                  <c:v>900.24444014394294</c:v>
                </c:pt>
                <c:pt idx="173">
                  <c:v>900.24444014394294</c:v>
                </c:pt>
                <c:pt idx="174">
                  <c:v>900.24444014394294</c:v>
                </c:pt>
                <c:pt idx="175">
                  <c:v>900.24444014394294</c:v>
                </c:pt>
                <c:pt idx="176">
                  <c:v>900.24444014394294</c:v>
                </c:pt>
                <c:pt idx="177">
                  <c:v>900.24444014394294</c:v>
                </c:pt>
                <c:pt idx="178">
                  <c:v>900.24444014394294</c:v>
                </c:pt>
                <c:pt idx="179">
                  <c:v>900.24444014394294</c:v>
                </c:pt>
                <c:pt idx="180">
                  <c:v>900.24444014394294</c:v>
                </c:pt>
                <c:pt idx="181">
                  <c:v>900.24444014394294</c:v>
                </c:pt>
                <c:pt idx="182">
                  <c:v>900.24444014394294</c:v>
                </c:pt>
                <c:pt idx="183">
                  <c:v>900.24444014394294</c:v>
                </c:pt>
                <c:pt idx="184">
                  <c:v>900.24444014394294</c:v>
                </c:pt>
                <c:pt idx="185">
                  <c:v>900.24444014394294</c:v>
                </c:pt>
                <c:pt idx="186">
                  <c:v>900.24444014394294</c:v>
                </c:pt>
                <c:pt idx="187">
                  <c:v>900.24444014394294</c:v>
                </c:pt>
                <c:pt idx="188">
                  <c:v>900.24444014394294</c:v>
                </c:pt>
                <c:pt idx="189">
                  <c:v>900.24444014394294</c:v>
                </c:pt>
                <c:pt idx="190">
                  <c:v>900.24444014394294</c:v>
                </c:pt>
                <c:pt idx="191">
                  <c:v>900.24444014394294</c:v>
                </c:pt>
                <c:pt idx="192">
                  <c:v>900.24444014394294</c:v>
                </c:pt>
                <c:pt idx="193">
                  <c:v>900.24444014394294</c:v>
                </c:pt>
                <c:pt idx="194">
                  <c:v>900.24444014394294</c:v>
                </c:pt>
                <c:pt idx="195">
                  <c:v>900.24444014394294</c:v>
                </c:pt>
                <c:pt idx="196">
                  <c:v>900.24444014394294</c:v>
                </c:pt>
                <c:pt idx="197">
                  <c:v>900.24444014394294</c:v>
                </c:pt>
                <c:pt idx="198">
                  <c:v>900.24444014394294</c:v>
                </c:pt>
                <c:pt idx="199">
                  <c:v>900.24444014394294</c:v>
                </c:pt>
                <c:pt idx="200">
                  <c:v>900.24444014394294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41.317521939592524</c:v>
                </c:pt>
                <c:pt idx="12">
                  <c:v>63.20800396722894</c:v>
                </c:pt>
                <c:pt idx="13">
                  <c:v>84.898706575488632</c:v>
                </c:pt>
                <c:pt idx="14">
                  <c:v>106.44872103982642</c:v>
                </c:pt>
                <c:pt idx="15">
                  <c:v>127.89076379214985</c:v>
                </c:pt>
                <c:pt idx="16">
                  <c:v>89.632636103290352</c:v>
                </c:pt>
                <c:pt idx="17">
                  <c:v>113.21493371581612</c:v>
                </c:pt>
                <c:pt idx="18">
                  <c:v>136.67634522884143</c:v>
                </c:pt>
                <c:pt idx="19">
                  <c:v>160.04062964847932</c:v>
                </c:pt>
                <c:pt idx="20">
                  <c:v>183.32399225800427</c:v>
                </c:pt>
                <c:pt idx="21">
                  <c:v>146.61696480780643</c:v>
                </c:pt>
                <c:pt idx="22">
                  <c:v>171.10951614287214</c:v>
                </c:pt>
                <c:pt idx="23">
                  <c:v>195.5194448326491</c:v>
                </c:pt>
                <c:pt idx="24">
                  <c:v>219.85852553656548</c:v>
                </c:pt>
                <c:pt idx="25">
                  <c:v>244.13570624979198</c:v>
                </c:pt>
                <c:pt idx="26">
                  <c:v>207.11771656527881</c:v>
                </c:pt>
                <c:pt idx="27">
                  <c:v>230.84826880073933</c:v>
                </c:pt>
                <c:pt idx="28">
                  <c:v>254.52305628500753</c:v>
                </c:pt>
                <c:pt idx="29">
                  <c:v>278.1479941736672</c:v>
                </c:pt>
                <c:pt idx="30">
                  <c:v>301.72791008451264</c:v>
                </c:pt>
                <c:pt idx="31">
                  <c:v>263.17183371378781</c:v>
                </c:pt>
                <c:pt idx="32">
                  <c:v>285.05390064654028</c:v>
                </c:pt>
                <c:pt idx="33">
                  <c:v>306.89837346468795</c:v>
                </c:pt>
                <c:pt idx="34">
                  <c:v>328.70830305462459</c:v>
                </c:pt>
                <c:pt idx="35">
                  <c:v>350.48630242966351</c:v>
                </c:pt>
                <c:pt idx="36">
                  <c:v>309.19573362623765</c:v>
                </c:pt>
                <c:pt idx="37">
                  <c:v>328.13477724523256</c:v>
                </c:pt>
                <c:pt idx="38">
                  <c:v>347.04969773123526</c:v>
                </c:pt>
                <c:pt idx="39">
                  <c:v>365.94199430788308</c:v>
                </c:pt>
                <c:pt idx="40">
                  <c:v>384.81299880518822</c:v>
                </c:pt>
                <c:pt idx="41">
                  <c:v>343.89882034741709</c:v>
                </c:pt>
                <c:pt idx="42">
                  <c:v>360.21936255423617</c:v>
                </c:pt>
                <c:pt idx="43">
                  <c:v>376.52373693698843</c:v>
                </c:pt>
                <c:pt idx="44">
                  <c:v>392.81274199759076</c:v>
                </c:pt>
                <c:pt idx="45">
                  <c:v>409.08710462349296</c:v>
                </c:pt>
                <c:pt idx="46">
                  <c:v>385.95603867315384</c:v>
                </c:pt>
                <c:pt idx="47">
                  <c:v>399.95238247192304</c:v>
                </c:pt>
                <c:pt idx="48">
                  <c:v>413.93812717251495</c:v>
                </c:pt>
                <c:pt idx="49">
                  <c:v>427.91368129854658</c:v>
                </c:pt>
                <c:pt idx="50">
                  <c:v>441.87942451482218</c:v>
                </c:pt>
                <c:pt idx="51">
                  <c:v>423.92168304087505</c:v>
                </c:pt>
                <c:pt idx="52">
                  <c:v>435.89528407935273</c:v>
                </c:pt>
                <c:pt idx="53">
                  <c:v>447.86182820601556</c:v>
                </c:pt>
                <c:pt idx="54">
                  <c:v>459.82153055595586</c:v>
                </c:pt>
                <c:pt idx="55">
                  <c:v>471.77459416013545</c:v>
                </c:pt>
                <c:pt idx="56">
                  <c:v>456.68987728025746</c:v>
                </c:pt>
                <c:pt idx="57">
                  <c:v>467.22181647445228</c:v>
                </c:pt>
                <c:pt idx="58">
                  <c:v>477.74869681257422</c:v>
                </c:pt>
                <c:pt idx="59">
                  <c:v>488.27064548957588</c:v>
                </c:pt>
                <c:pt idx="60">
                  <c:v>498.78778377080289</c:v>
                </c:pt>
                <c:pt idx="61">
                  <c:v>483.15246787827937</c:v>
                </c:pt>
                <c:pt idx="62">
                  <c:v>491.68213062047835</c:v>
                </c:pt>
                <c:pt idx="63">
                  <c:v>500.2086561044996</c:v>
                </c:pt>
                <c:pt idx="64">
                  <c:v>508.73210536359443</c:v>
                </c:pt>
                <c:pt idx="65">
                  <c:v>517.25253721854074</c:v>
                </c:pt>
                <c:pt idx="66">
                  <c:v>501.91359014094843</c:v>
                </c:pt>
                <c:pt idx="67">
                  <c:v>509.30022739028874</c:v>
                </c:pt>
                <c:pt idx="68">
                  <c:v>516.68460115485652</c:v>
                </c:pt>
                <c:pt idx="69">
                  <c:v>524.06674835795855</c:v>
                </c:pt>
                <c:pt idx="70">
                  <c:v>531.44670479747958</c:v>
                </c:pt>
                <c:pt idx="71">
                  <c:v>516.96857083246095</c:v>
                </c:pt>
                <c:pt idx="72">
                  <c:v>523.78286035475526</c:v>
                </c:pt>
                <c:pt idx="73">
                  <c:v>530.5952820462802</c:v>
                </c:pt>
                <c:pt idx="74">
                  <c:v>537.40586328008555</c:v>
                </c:pt>
                <c:pt idx="75">
                  <c:v>544.21463067857633</c:v>
                </c:pt>
                <c:pt idx="76">
                  <c:v>530.02765090640889</c:v>
                </c:pt>
                <c:pt idx="77">
                  <c:v>535.70338904609127</c:v>
                </c:pt>
                <c:pt idx="78">
                  <c:v>541.37786301655638</c:v>
                </c:pt>
                <c:pt idx="79">
                  <c:v>547.05108794372779</c:v>
                </c:pt>
                <c:pt idx="80">
                  <c:v>552.72307861406443</c:v>
                </c:pt>
                <c:pt idx="81">
                  <c:v>534.28457362551353</c:v>
                </c:pt>
                <c:pt idx="82">
                  <c:v>534.28457362551353</c:v>
                </c:pt>
                <c:pt idx="83">
                  <c:v>534.28457362551353</c:v>
                </c:pt>
                <c:pt idx="84">
                  <c:v>534.28457362551353</c:v>
                </c:pt>
                <c:pt idx="85">
                  <c:v>534.28457362551353</c:v>
                </c:pt>
                <c:pt idx="86">
                  <c:v>534.28457362551353</c:v>
                </c:pt>
                <c:pt idx="87">
                  <c:v>534.28457362551353</c:v>
                </c:pt>
                <c:pt idx="88">
                  <c:v>534.28457362551353</c:v>
                </c:pt>
                <c:pt idx="89">
                  <c:v>534.28457362551353</c:v>
                </c:pt>
                <c:pt idx="90">
                  <c:v>534.28457362551353</c:v>
                </c:pt>
                <c:pt idx="91">
                  <c:v>534.28457362551353</c:v>
                </c:pt>
                <c:pt idx="92">
                  <c:v>534.28457362551353</c:v>
                </c:pt>
                <c:pt idx="93">
                  <c:v>534.28457362551353</c:v>
                </c:pt>
                <c:pt idx="94">
                  <c:v>534.28457362551353</c:v>
                </c:pt>
                <c:pt idx="95">
                  <c:v>534.28457362551353</c:v>
                </c:pt>
                <c:pt idx="96">
                  <c:v>534.28457362551353</c:v>
                </c:pt>
                <c:pt idx="97">
                  <c:v>534.28457362551353</c:v>
                </c:pt>
                <c:pt idx="98">
                  <c:v>534.28457362551353</c:v>
                </c:pt>
                <c:pt idx="99">
                  <c:v>534.28457362551353</c:v>
                </c:pt>
                <c:pt idx="100">
                  <c:v>534.28457362551353</c:v>
                </c:pt>
                <c:pt idx="101">
                  <c:v>534.28457362551353</c:v>
                </c:pt>
                <c:pt idx="102">
                  <c:v>534.28457362551353</c:v>
                </c:pt>
                <c:pt idx="103">
                  <c:v>534.28457362551353</c:v>
                </c:pt>
                <c:pt idx="104">
                  <c:v>534.28457362551353</c:v>
                </c:pt>
                <c:pt idx="105">
                  <c:v>534.28457362551353</c:v>
                </c:pt>
                <c:pt idx="106">
                  <c:v>534.28457362551353</c:v>
                </c:pt>
                <c:pt idx="107">
                  <c:v>534.28457362551353</c:v>
                </c:pt>
                <c:pt idx="108">
                  <c:v>534.28457362551353</c:v>
                </c:pt>
                <c:pt idx="109">
                  <c:v>534.28457362551353</c:v>
                </c:pt>
                <c:pt idx="110">
                  <c:v>534.28457362551353</c:v>
                </c:pt>
                <c:pt idx="111">
                  <c:v>534.28457362551353</c:v>
                </c:pt>
                <c:pt idx="112">
                  <c:v>534.28457362551353</c:v>
                </c:pt>
                <c:pt idx="113">
                  <c:v>534.28457362551353</c:v>
                </c:pt>
                <c:pt idx="114">
                  <c:v>534.28457362551353</c:v>
                </c:pt>
                <c:pt idx="115">
                  <c:v>534.28457362551353</c:v>
                </c:pt>
                <c:pt idx="116">
                  <c:v>534.28457362551353</c:v>
                </c:pt>
                <c:pt idx="117">
                  <c:v>534.28457362551353</c:v>
                </c:pt>
                <c:pt idx="118">
                  <c:v>534.28457362551353</c:v>
                </c:pt>
                <c:pt idx="119">
                  <c:v>534.28457362551353</c:v>
                </c:pt>
                <c:pt idx="120">
                  <c:v>534.28457362551353</c:v>
                </c:pt>
                <c:pt idx="121">
                  <c:v>534.28457362551353</c:v>
                </c:pt>
                <c:pt idx="122">
                  <c:v>534.28457362551353</c:v>
                </c:pt>
                <c:pt idx="123">
                  <c:v>534.28457362551353</c:v>
                </c:pt>
                <c:pt idx="124">
                  <c:v>534.28457362551353</c:v>
                </c:pt>
                <c:pt idx="125">
                  <c:v>534.28457362551353</c:v>
                </c:pt>
                <c:pt idx="126">
                  <c:v>534.28457362551353</c:v>
                </c:pt>
                <c:pt idx="127">
                  <c:v>534.28457362551353</c:v>
                </c:pt>
                <c:pt idx="128">
                  <c:v>534.28457362551353</c:v>
                </c:pt>
                <c:pt idx="129">
                  <c:v>534.28457362551353</c:v>
                </c:pt>
                <c:pt idx="130">
                  <c:v>534.28457362551353</c:v>
                </c:pt>
                <c:pt idx="131">
                  <c:v>534.28457362551353</c:v>
                </c:pt>
                <c:pt idx="132">
                  <c:v>534.28457362551353</c:v>
                </c:pt>
                <c:pt idx="133">
                  <c:v>534.28457362551353</c:v>
                </c:pt>
                <c:pt idx="134">
                  <c:v>534.28457362551353</c:v>
                </c:pt>
                <c:pt idx="135">
                  <c:v>534.28457362551353</c:v>
                </c:pt>
                <c:pt idx="136">
                  <c:v>534.28457362551353</c:v>
                </c:pt>
                <c:pt idx="137">
                  <c:v>534.28457362551353</c:v>
                </c:pt>
                <c:pt idx="138">
                  <c:v>534.28457362551353</c:v>
                </c:pt>
                <c:pt idx="139">
                  <c:v>534.28457362551353</c:v>
                </c:pt>
                <c:pt idx="140">
                  <c:v>534.28457362551353</c:v>
                </c:pt>
                <c:pt idx="141">
                  <c:v>534.28457362551353</c:v>
                </c:pt>
                <c:pt idx="142">
                  <c:v>534.28457362551353</c:v>
                </c:pt>
                <c:pt idx="143">
                  <c:v>534.28457362551353</c:v>
                </c:pt>
                <c:pt idx="144">
                  <c:v>534.28457362551353</c:v>
                </c:pt>
                <c:pt idx="145">
                  <c:v>534.28457362551353</c:v>
                </c:pt>
                <c:pt idx="146">
                  <c:v>534.28457362551353</c:v>
                </c:pt>
                <c:pt idx="147">
                  <c:v>534.28457362551353</c:v>
                </c:pt>
                <c:pt idx="148">
                  <c:v>534.28457362551353</c:v>
                </c:pt>
                <c:pt idx="149">
                  <c:v>534.28457362551353</c:v>
                </c:pt>
                <c:pt idx="150">
                  <c:v>534.28457362551353</c:v>
                </c:pt>
                <c:pt idx="151">
                  <c:v>534.28457362551353</c:v>
                </c:pt>
                <c:pt idx="152">
                  <c:v>534.28457362551353</c:v>
                </c:pt>
                <c:pt idx="153">
                  <c:v>534.28457362551353</c:v>
                </c:pt>
                <c:pt idx="154">
                  <c:v>534.28457362551353</c:v>
                </c:pt>
                <c:pt idx="155">
                  <c:v>534.28457362551353</c:v>
                </c:pt>
                <c:pt idx="156">
                  <c:v>534.28457362551353</c:v>
                </c:pt>
                <c:pt idx="157">
                  <c:v>534.28457362551353</c:v>
                </c:pt>
                <c:pt idx="158">
                  <c:v>534.28457362551353</c:v>
                </c:pt>
                <c:pt idx="159">
                  <c:v>534.28457362551353</c:v>
                </c:pt>
                <c:pt idx="160">
                  <c:v>534.28457362551353</c:v>
                </c:pt>
                <c:pt idx="161">
                  <c:v>534.28457362551353</c:v>
                </c:pt>
                <c:pt idx="162">
                  <c:v>534.28457362551353</c:v>
                </c:pt>
                <c:pt idx="163">
                  <c:v>534.28457362551353</c:v>
                </c:pt>
                <c:pt idx="164">
                  <c:v>534.28457362551353</c:v>
                </c:pt>
                <c:pt idx="165">
                  <c:v>534.28457362551353</c:v>
                </c:pt>
                <c:pt idx="166">
                  <c:v>534.28457362551353</c:v>
                </c:pt>
                <c:pt idx="167">
                  <c:v>534.28457362551353</c:v>
                </c:pt>
                <c:pt idx="168">
                  <c:v>534.28457362551353</c:v>
                </c:pt>
                <c:pt idx="169">
                  <c:v>534.28457362551353</c:v>
                </c:pt>
                <c:pt idx="170">
                  <c:v>534.28457362551353</c:v>
                </c:pt>
                <c:pt idx="171">
                  <c:v>534.28457362551353</c:v>
                </c:pt>
                <c:pt idx="172">
                  <c:v>534.28457362551353</c:v>
                </c:pt>
                <c:pt idx="173">
                  <c:v>534.28457362551353</c:v>
                </c:pt>
                <c:pt idx="174">
                  <c:v>534.28457362551353</c:v>
                </c:pt>
                <c:pt idx="175">
                  <c:v>534.28457362551353</c:v>
                </c:pt>
                <c:pt idx="176">
                  <c:v>534.28457362551353</c:v>
                </c:pt>
                <c:pt idx="177">
                  <c:v>534.28457362551353</c:v>
                </c:pt>
                <c:pt idx="178">
                  <c:v>534.28457362551353</c:v>
                </c:pt>
                <c:pt idx="179">
                  <c:v>534.28457362551353</c:v>
                </c:pt>
                <c:pt idx="180">
                  <c:v>534.28457362551353</c:v>
                </c:pt>
                <c:pt idx="181">
                  <c:v>534.28457362551353</c:v>
                </c:pt>
                <c:pt idx="182">
                  <c:v>534.28457362551353</c:v>
                </c:pt>
                <c:pt idx="183">
                  <c:v>534.28457362551353</c:v>
                </c:pt>
                <c:pt idx="184">
                  <c:v>534.28457362551353</c:v>
                </c:pt>
                <c:pt idx="185">
                  <c:v>534.28457362551353</c:v>
                </c:pt>
                <c:pt idx="186">
                  <c:v>534.28457362551353</c:v>
                </c:pt>
                <c:pt idx="187">
                  <c:v>534.28457362551353</c:v>
                </c:pt>
                <c:pt idx="188">
                  <c:v>534.28457362551353</c:v>
                </c:pt>
                <c:pt idx="189">
                  <c:v>534.28457362551353</c:v>
                </c:pt>
                <c:pt idx="190">
                  <c:v>534.28457362551353</c:v>
                </c:pt>
                <c:pt idx="191">
                  <c:v>534.28457362551353</c:v>
                </c:pt>
                <c:pt idx="192">
                  <c:v>534.28457362551353</c:v>
                </c:pt>
                <c:pt idx="193">
                  <c:v>534.28457362551353</c:v>
                </c:pt>
                <c:pt idx="194">
                  <c:v>534.28457362551353</c:v>
                </c:pt>
                <c:pt idx="195">
                  <c:v>534.28457362551353</c:v>
                </c:pt>
                <c:pt idx="196">
                  <c:v>534.28457362551353</c:v>
                </c:pt>
                <c:pt idx="197">
                  <c:v>534.28457362551353</c:v>
                </c:pt>
                <c:pt idx="198">
                  <c:v>534.28457362551353</c:v>
                </c:pt>
                <c:pt idx="199">
                  <c:v>534.28457362551353</c:v>
                </c:pt>
                <c:pt idx="200">
                  <c:v>534.28457362551353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Normal="100" workbookViewId="0">
      <selection activeCell="F21" sqref="F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1.77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46</v>
      </c>
      <c r="C9" s="264">
        <v>0.3</v>
      </c>
      <c r="D9" s="33">
        <f t="shared" ref="D9:D18" si="0">C9*$C$5</f>
        <v>0.53100000000000003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23</v>
      </c>
      <c r="C10" s="264">
        <v>0.3</v>
      </c>
      <c r="D10" s="33">
        <f t="shared" si="0"/>
        <v>0.53100000000000003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50</v>
      </c>
      <c r="C11" s="264">
        <v>0.2</v>
      </c>
      <c r="D11" s="33">
        <f t="shared" si="0"/>
        <v>0.35400000000000004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27</v>
      </c>
      <c r="C12" s="264">
        <v>0.2</v>
      </c>
      <c r="D12" s="33">
        <f t="shared" si="0"/>
        <v>0.35400000000000004</v>
      </c>
      <c r="E12" s="265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1.7700000000000002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Sapin pectiné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56</v>
      </c>
      <c r="C36" s="259"/>
      <c r="D36" s="259">
        <v>0</v>
      </c>
      <c r="E36" s="260"/>
      <c r="F36" s="260"/>
      <c r="G36" s="260"/>
      <c r="H36" s="260"/>
      <c r="I36" s="49">
        <f>IFERROR(B36/A36,"")</f>
        <v>3.7333333333333334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185</v>
      </c>
      <c r="C37" s="259">
        <v>1</v>
      </c>
      <c r="D37" s="259">
        <v>43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25.8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294</v>
      </c>
      <c r="C38" s="259">
        <v>2</v>
      </c>
      <c r="D38" s="259">
        <v>77</v>
      </c>
      <c r="E38" s="260"/>
      <c r="F38" s="260">
        <v>1</v>
      </c>
      <c r="G38" s="260"/>
      <c r="H38" s="260"/>
      <c r="I38" s="53">
        <f t="shared" si="1"/>
        <v>30.4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376</v>
      </c>
      <c r="C39" s="259">
        <v>3</v>
      </c>
      <c r="D39" s="259">
        <v>77</v>
      </c>
      <c r="E39" s="260"/>
      <c r="F39" s="260">
        <v>1</v>
      </c>
      <c r="G39" s="260"/>
      <c r="H39" s="260"/>
      <c r="I39" s="49">
        <f t="shared" si="1"/>
        <v>31.8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453</v>
      </c>
      <c r="C40" s="259">
        <v>4</v>
      </c>
      <c r="D40" s="259">
        <v>77</v>
      </c>
      <c r="E40" s="260">
        <v>1</v>
      </c>
      <c r="F40" s="260"/>
      <c r="G40" s="260"/>
      <c r="H40" s="260"/>
      <c r="I40" s="49">
        <f t="shared" si="1"/>
        <v>30.8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524</v>
      </c>
      <c r="C41" s="259">
        <v>5</v>
      </c>
      <c r="D41" s="259">
        <v>77</v>
      </c>
      <c r="E41" s="260">
        <v>1</v>
      </c>
      <c r="F41" s="260"/>
      <c r="G41" s="260"/>
      <c r="H41" s="260"/>
      <c r="I41" s="53">
        <f t="shared" si="1"/>
        <v>29.6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588</v>
      </c>
      <c r="C42" s="259">
        <v>6</v>
      </c>
      <c r="D42" s="259">
        <v>77</v>
      </c>
      <c r="E42" s="260">
        <v>1</v>
      </c>
      <c r="F42" s="260"/>
      <c r="G42" s="260"/>
      <c r="H42" s="260"/>
      <c r="I42" s="53">
        <f t="shared" si="1"/>
        <v>28.2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644</v>
      </c>
      <c r="C43" s="259">
        <v>7</v>
      </c>
      <c r="D43" s="259">
        <v>77</v>
      </c>
      <c r="E43" s="260">
        <v>1</v>
      </c>
      <c r="F43" s="260"/>
      <c r="G43" s="260"/>
      <c r="H43" s="260"/>
      <c r="I43" s="49">
        <f t="shared" si="1"/>
        <v>26.6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694</v>
      </c>
      <c r="C44" s="259">
        <v>8</v>
      </c>
      <c r="D44" s="259">
        <v>73</v>
      </c>
      <c r="E44" s="260">
        <v>1</v>
      </c>
      <c r="F44" s="260"/>
      <c r="G44" s="260"/>
      <c r="H44" s="260"/>
      <c r="I44" s="49">
        <f t="shared" si="1"/>
        <v>25.4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740</v>
      </c>
      <c r="C45" s="259">
        <v>9</v>
      </c>
      <c r="D45" s="261">
        <v>66</v>
      </c>
      <c r="E45" s="260">
        <v>1</v>
      </c>
      <c r="F45" s="260"/>
      <c r="G45" s="260"/>
      <c r="H45" s="260"/>
      <c r="I45" s="49">
        <f t="shared" si="1"/>
        <v>23.8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786</v>
      </c>
      <c r="C46" s="259">
        <v>10</v>
      </c>
      <c r="D46" s="262">
        <v>62</v>
      </c>
      <c r="E46" s="260">
        <v>1</v>
      </c>
      <c r="F46" s="260"/>
      <c r="G46" s="260"/>
      <c r="H46" s="260"/>
      <c r="I46" s="49">
        <f t="shared" si="1"/>
        <v>22.4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832</v>
      </c>
      <c r="C47" s="259">
        <v>11</v>
      </c>
      <c r="D47" s="261">
        <v>60</v>
      </c>
      <c r="E47" s="260">
        <v>1</v>
      </c>
      <c r="F47" s="260"/>
      <c r="G47" s="260"/>
      <c r="H47" s="260"/>
      <c r="I47" s="49">
        <f t="shared" si="1"/>
        <v>21.6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874</v>
      </c>
      <c r="C48" s="259">
        <v>12</v>
      </c>
      <c r="D48" s="261">
        <v>58</v>
      </c>
      <c r="E48" s="260">
        <v>1</v>
      </c>
      <c r="F48" s="260"/>
      <c r="G48" s="260"/>
      <c r="H48" s="260"/>
      <c r="I48" s="49">
        <f t="shared" si="1"/>
        <v>20.399999999999999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909</v>
      </c>
      <c r="C49" s="259">
        <v>13</v>
      </c>
      <c r="D49" s="261">
        <v>57</v>
      </c>
      <c r="E49" s="260">
        <v>1</v>
      </c>
      <c r="F49" s="260"/>
      <c r="G49" s="260"/>
      <c r="H49" s="260"/>
      <c r="I49" s="49">
        <f t="shared" si="1"/>
        <v>18.600000000000001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sycomore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19</v>
      </c>
      <c r="C62" s="261">
        <v>1</v>
      </c>
      <c r="D62" s="261">
        <v>7</v>
      </c>
      <c r="E62" s="260"/>
      <c r="F62" s="260"/>
      <c r="G62" s="260"/>
      <c r="H62" s="260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85</v>
      </c>
      <c r="C63" s="261">
        <v>2</v>
      </c>
      <c r="D63" s="261">
        <v>42</v>
      </c>
      <c r="E63" s="260"/>
      <c r="F63" s="260"/>
      <c r="G63" s="260"/>
      <c r="H63" s="260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123</v>
      </c>
      <c r="C64" s="261">
        <v>3</v>
      </c>
      <c r="D64" s="261">
        <v>42</v>
      </c>
      <c r="E64" s="260"/>
      <c r="F64" s="260"/>
      <c r="G64" s="260"/>
      <c r="H64" s="260">
        <v>1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165</v>
      </c>
      <c r="C65" s="261">
        <v>4</v>
      </c>
      <c r="D65" s="261">
        <v>42</v>
      </c>
      <c r="E65" s="260"/>
      <c r="F65" s="260"/>
      <c r="G65" s="260"/>
      <c r="H65" s="260">
        <v>1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205</v>
      </c>
      <c r="C66" s="261">
        <v>5</v>
      </c>
      <c r="D66" s="261">
        <v>42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239</v>
      </c>
      <c r="C67" s="261">
        <v>6</v>
      </c>
      <c r="D67" s="261">
        <v>42</v>
      </c>
      <c r="E67" s="260">
        <v>1</v>
      </c>
      <c r="F67" s="260"/>
      <c r="G67" s="260"/>
      <c r="H67" s="260"/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263</v>
      </c>
      <c r="C68" s="261">
        <v>7</v>
      </c>
      <c r="D68" s="261">
        <v>40</v>
      </c>
      <c r="E68" s="260">
        <v>1</v>
      </c>
      <c r="F68" s="260"/>
      <c r="G68" s="260"/>
      <c r="H68" s="260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280</v>
      </c>
      <c r="C69" s="261">
        <v>8</v>
      </c>
      <c r="D69" s="261">
        <v>26</v>
      </c>
      <c r="E69" s="260">
        <v>1</v>
      </c>
      <c r="F69" s="260"/>
      <c r="G69" s="260"/>
      <c r="H69" s="260"/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303</v>
      </c>
      <c r="C70" s="261">
        <v>9</v>
      </c>
      <c r="D70" s="261">
        <v>21</v>
      </c>
      <c r="E70" s="260">
        <v>1</v>
      </c>
      <c r="F70" s="260"/>
      <c r="G70" s="260"/>
      <c r="H70" s="260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324</v>
      </c>
      <c r="C71" s="261">
        <v>10</v>
      </c>
      <c r="D71" s="261">
        <v>18</v>
      </c>
      <c r="E71" s="260">
        <v>1</v>
      </c>
      <c r="F71" s="260"/>
      <c r="G71" s="260"/>
      <c r="H71" s="260"/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343</v>
      </c>
      <c r="C72" s="261">
        <v>11</v>
      </c>
      <c r="D72" s="261">
        <v>17</v>
      </c>
      <c r="E72" s="260">
        <v>1</v>
      </c>
      <c r="F72" s="260"/>
      <c r="G72" s="260"/>
      <c r="H72" s="260"/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356</v>
      </c>
      <c r="C73" s="261">
        <v>12</v>
      </c>
      <c r="D73" s="261">
        <v>16</v>
      </c>
      <c r="E73" s="260">
        <v>1</v>
      </c>
      <c r="F73" s="260"/>
      <c r="G73" s="260"/>
      <c r="H73" s="260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366</v>
      </c>
      <c r="C74" s="261">
        <v>13</v>
      </c>
      <c r="D74" s="261">
        <v>15</v>
      </c>
      <c r="E74" s="260">
        <v>1</v>
      </c>
      <c r="F74" s="260"/>
      <c r="G74" s="260"/>
      <c r="H74" s="260"/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375</v>
      </c>
      <c r="C75" s="261">
        <v>14</v>
      </c>
      <c r="D75" s="261">
        <v>14</v>
      </c>
      <c r="E75" s="260">
        <v>1</v>
      </c>
      <c r="F75" s="260"/>
      <c r="G75" s="260"/>
      <c r="H75" s="260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381</v>
      </c>
      <c r="C76" s="261">
        <v>15</v>
      </c>
      <c r="D76" s="261">
        <v>13</v>
      </c>
      <c r="E76" s="260">
        <v>1</v>
      </c>
      <c r="F76" s="260"/>
      <c r="G76" s="260"/>
      <c r="H76" s="260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Tilleul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19</v>
      </c>
      <c r="C88" s="261">
        <v>1</v>
      </c>
      <c r="D88" s="261">
        <v>7</v>
      </c>
      <c r="E88" s="260"/>
      <c r="F88" s="260"/>
      <c r="G88" s="260"/>
      <c r="H88" s="260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85</v>
      </c>
      <c r="C89" s="261">
        <v>2</v>
      </c>
      <c r="D89" s="261">
        <v>42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123</v>
      </c>
      <c r="C90" s="261">
        <v>3</v>
      </c>
      <c r="D90" s="261">
        <v>42</v>
      </c>
      <c r="E90" s="260"/>
      <c r="F90" s="260"/>
      <c r="G90" s="260"/>
      <c r="H90" s="260">
        <v>1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165</v>
      </c>
      <c r="C91" s="261">
        <v>4</v>
      </c>
      <c r="D91" s="261">
        <v>42</v>
      </c>
      <c r="E91" s="260"/>
      <c r="F91" s="260"/>
      <c r="G91" s="260"/>
      <c r="H91" s="260">
        <v>1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205</v>
      </c>
      <c r="C92" s="261">
        <v>5</v>
      </c>
      <c r="D92" s="261">
        <v>42</v>
      </c>
      <c r="E92" s="260"/>
      <c r="F92" s="260"/>
      <c r="G92" s="260"/>
      <c r="H92" s="260">
        <v>1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239</v>
      </c>
      <c r="C93" s="261">
        <v>6</v>
      </c>
      <c r="D93" s="261">
        <v>42</v>
      </c>
      <c r="E93" s="260">
        <v>1</v>
      </c>
      <c r="F93" s="260"/>
      <c r="G93" s="260"/>
      <c r="H93" s="260"/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263</v>
      </c>
      <c r="C94" s="261">
        <v>7</v>
      </c>
      <c r="D94" s="261">
        <v>40</v>
      </c>
      <c r="E94" s="260">
        <v>1</v>
      </c>
      <c r="F94" s="260"/>
      <c r="G94" s="260"/>
      <c r="H94" s="260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280</v>
      </c>
      <c r="C95" s="261">
        <v>8</v>
      </c>
      <c r="D95" s="261">
        <v>26</v>
      </c>
      <c r="E95" s="260">
        <v>1</v>
      </c>
      <c r="F95" s="260"/>
      <c r="G95" s="260"/>
      <c r="H95" s="260"/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303</v>
      </c>
      <c r="C96" s="261">
        <v>9</v>
      </c>
      <c r="D96" s="261">
        <v>21</v>
      </c>
      <c r="E96" s="260">
        <v>1</v>
      </c>
      <c r="F96" s="260"/>
      <c r="G96" s="260"/>
      <c r="H96" s="260"/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324</v>
      </c>
      <c r="C97" s="261">
        <v>10</v>
      </c>
      <c r="D97" s="261">
        <v>18</v>
      </c>
      <c r="E97" s="260">
        <v>1</v>
      </c>
      <c r="F97" s="260"/>
      <c r="G97" s="260"/>
      <c r="H97" s="260"/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343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356</v>
      </c>
      <c r="C99" s="261">
        <v>12</v>
      </c>
      <c r="D99" s="261">
        <v>16</v>
      </c>
      <c r="E99" s="260">
        <v>1</v>
      </c>
      <c r="F99" s="260"/>
      <c r="G99" s="260"/>
      <c r="H99" s="260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366</v>
      </c>
      <c r="C100" s="261">
        <v>13</v>
      </c>
      <c r="D100" s="261">
        <v>15</v>
      </c>
      <c r="E100" s="260">
        <v>1</v>
      </c>
      <c r="F100" s="260"/>
      <c r="G100" s="260"/>
      <c r="H100" s="260"/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375</v>
      </c>
      <c r="C101" s="261">
        <v>14</v>
      </c>
      <c r="D101" s="261">
        <v>14</v>
      </c>
      <c r="E101" s="260">
        <v>1</v>
      </c>
      <c r="F101" s="260"/>
      <c r="G101" s="260"/>
      <c r="H101" s="260"/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381</v>
      </c>
      <c r="C102" s="261">
        <v>15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Mélèze d'Europe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12</v>
      </c>
      <c r="B114" s="261">
        <v>103</v>
      </c>
      <c r="C114" s="261">
        <v>1</v>
      </c>
      <c r="D114" s="261">
        <v>18</v>
      </c>
      <c r="E114" s="260"/>
      <c r="F114" s="260"/>
      <c r="G114" s="260">
        <v>1</v>
      </c>
      <c r="H114" s="260"/>
      <c r="I114" s="53">
        <f>IFERROR(B114/A114,"")</f>
        <v>8.5833333333333339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18</v>
      </c>
      <c r="B115" s="261">
        <v>223</v>
      </c>
      <c r="C115" s="261">
        <v>2</v>
      </c>
      <c r="D115" s="261">
        <v>84.3</v>
      </c>
      <c r="E115" s="260"/>
      <c r="F115" s="260">
        <v>1</v>
      </c>
      <c r="G115" s="260"/>
      <c r="H115" s="260"/>
      <c r="I115" s="53">
        <f t="shared" ref="I115:I133" si="4">IF(A115&lt;&gt;0,(B115-(B114-D114))/(A115-A114),"")</f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24</v>
      </c>
      <c r="B116" s="261">
        <v>254</v>
      </c>
      <c r="C116" s="261">
        <v>3</v>
      </c>
      <c r="D116" s="261">
        <v>73.7</v>
      </c>
      <c r="E116" s="260"/>
      <c r="F116" s="260">
        <v>1</v>
      </c>
      <c r="G116" s="260"/>
      <c r="H116" s="260"/>
      <c r="I116" s="53">
        <f t="shared" si="4"/>
        <v>19.216666666666669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280</v>
      </c>
      <c r="C117" s="261">
        <v>4</v>
      </c>
      <c r="D117" s="261">
        <v>62.6</v>
      </c>
      <c r="E117" s="260"/>
      <c r="F117" s="260">
        <v>1</v>
      </c>
      <c r="G117" s="260"/>
      <c r="H117" s="260"/>
      <c r="I117" s="53">
        <f t="shared" si="4"/>
        <v>16.616666666666664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36</v>
      </c>
      <c r="B118" s="261">
        <v>305</v>
      </c>
      <c r="C118" s="261">
        <v>5</v>
      </c>
      <c r="D118" s="261">
        <v>58.4</v>
      </c>
      <c r="E118" s="260">
        <v>1</v>
      </c>
      <c r="F118" s="260"/>
      <c r="G118" s="260"/>
      <c r="H118" s="260"/>
      <c r="I118" s="53">
        <f t="shared" si="4"/>
        <v>14.6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42</v>
      </c>
      <c r="B119" s="261">
        <v>330</v>
      </c>
      <c r="C119" s="261">
        <v>6</v>
      </c>
      <c r="D119" s="261">
        <v>54.6</v>
      </c>
      <c r="E119" s="260">
        <v>1</v>
      </c>
      <c r="F119" s="260"/>
      <c r="G119" s="260"/>
      <c r="H119" s="260"/>
      <c r="I119" s="53">
        <f t="shared" si="4"/>
        <v>13.9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48</v>
      </c>
      <c r="B120" s="261">
        <v>353</v>
      </c>
      <c r="C120" s="261">
        <v>7</v>
      </c>
      <c r="D120" s="261">
        <v>48.2</v>
      </c>
      <c r="E120" s="260">
        <v>1</v>
      </c>
      <c r="F120" s="260"/>
      <c r="G120" s="260"/>
      <c r="H120" s="260"/>
      <c r="I120" s="53">
        <f t="shared" si="4"/>
        <v>12.933333333333337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54</v>
      </c>
      <c r="B121" s="261">
        <v>374</v>
      </c>
      <c r="C121" s="261">
        <v>8</v>
      </c>
      <c r="D121" s="261">
        <v>46.9</v>
      </c>
      <c r="E121" s="260">
        <v>1</v>
      </c>
      <c r="F121" s="260"/>
      <c r="G121" s="260"/>
      <c r="H121" s="260"/>
      <c r="I121" s="53">
        <f t="shared" si="4"/>
        <v>11.533333333333331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60</v>
      </c>
      <c r="B122" s="261">
        <v>401</v>
      </c>
      <c r="C122" s="261"/>
      <c r="D122" s="261">
        <v>0</v>
      </c>
      <c r="E122" s="260"/>
      <c r="F122" s="260"/>
      <c r="G122" s="260"/>
      <c r="H122" s="260"/>
      <c r="I122" s="53">
        <f t="shared" si="4"/>
        <v>12.316666666666663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3" sqref="F1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Sapin pectiné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Erable sycomore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Tilleul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Mélèze d'Europe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434.08297999735811</v>
      </c>
      <c r="T3" s="59">
        <f>IF('Données projet'!E9&gt;30,$R$33-$H$33,LOOKUP('Données projet'!$E$9,$A$3:$A$203,R3:R203)-LOOKUP('Données projet'!$E$9,$A$3:$A$203,$H$3:$H$203))</f>
        <v>371.04090283546122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331.52724290297675</v>
      </c>
      <c r="AO3" s="59">
        <f>IF('Données projet'!E10&gt;30,$AM$33-$H$33,LOOKUP('Données projet'!$E$10,$A$3:$A$203,AM3:AM203)-LOOKUP('Données projet'!$E$10,$A$3:$A$203,$H$3:$H$203))</f>
        <v>322.79102610158054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273.84349636755343</v>
      </c>
      <c r="BJ3" s="59">
        <f>IF('Données projet'!E11&gt;30,$BH$33-$H$33,LOOKUP('Données projet'!$E$11,$A$3:$A$203,BH3:BH203)-LOOKUP('Données projet'!$E$11,$A$3:$A$203,$H$3:$H$203))</f>
        <v>268.10688874775451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269.77739619445515</v>
      </c>
      <c r="CE3" s="59">
        <f>IF('Données projet'!E12&gt;30,$CC$33-$H$33,LOOKUP('Données projet'!$E$12,$A$3:$A$203,CC3:CC203)-LOOKUP('Données projet'!$E$12,$A$3:$A$203,$H$3:$H$203))</f>
        <v>347.56964743629885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3.7333333333333334</v>
      </c>
      <c r="N4" s="13">
        <f>IF('Données projet'!$A$36&gt;35,N3+M4-V3,IF(A4&lt;'Données projet'!$A$36,$K$205^A4,IF(A4='Données projet'!$A$36,'Données projet'!$B$36,N3+M4-V3)))</f>
        <v>1.3078136577370625</v>
      </c>
      <c r="O4" s="13">
        <f>N4*VLOOKUP('Données projet'!$B$9,Paramètres!$A$1:$I$89,3,0)*VLOOKUP('Données projet'!$B$9,Paramètres!$A$1:$I$89,5,0)</f>
        <v>0.64605994692210889</v>
      </c>
      <c r="P4" s="13">
        <f>EXP(-1.0587+0.8836*LN(O4)+0.284)</f>
        <v>0.31326301704429743</v>
      </c>
      <c r="Q4" s="20">
        <f t="shared" ref="Q4:Q34" si="2">(O4+P4)*0.475*44/12</f>
        <v>1.6708208289081574</v>
      </c>
      <c r="R4" s="59">
        <f t="shared" si="0"/>
        <v>295.00415416224149</v>
      </c>
      <c r="S4" s="59">
        <f ca="1">AVERAGE(OFFSET($R$3,0,0,'Données projet'!$E$9+1,1))-AVERAGE(OFFSET($H$3,0,0,'Données projet'!$E$9+1,1))</f>
        <v>434.08297999735811</v>
      </c>
      <c r="T4" s="59">
        <f>$T$3</f>
        <v>371.04090283546122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331.52724290297675</v>
      </c>
      <c r="AO4" s="59">
        <f>$AO$3</f>
        <v>322.79102610158054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0.90046826986537998</v>
      </c>
      <c r="BF4" s="13">
        <f>EXP(-1.0587+0.8836*LN(BE4)+0.284)</f>
        <v>0.42006873167570724</v>
      </c>
      <c r="BG4" s="20">
        <f t="shared" ref="BG4:BG67" si="7">(BE4+BF4)*0.475*44/12</f>
        <v>2.2999352776840598</v>
      </c>
      <c r="BH4" s="59">
        <f t="shared" ref="BH4:BH67" si="8">BG4+(AY4+AZ4)*44/12</f>
        <v>295.6332686110174</v>
      </c>
      <c r="BI4" s="59">
        <f ca="1">AVERAGE(OFFSET($BH$3,0,0,'Données projet'!$E$11+1,1))-AVERAGE(OFFSET($H$3,0,0,'Données projet'!$E$11+1,1))</f>
        <v>273.84349636755343</v>
      </c>
      <c r="BJ4" s="59">
        <f>$BJ$3</f>
        <v>268.10688874775451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8.5833333333333339</v>
      </c>
      <c r="BY4" s="12">
        <f>IF('Données projet'!$A$114&gt;35,BY3+BX4-CG3,IF(A4&lt;'Données projet'!$A$114,$BV$205^A4,IF(A4='Données projet'!$A$114,'Données projet'!$B$114,BY3+BX4-CG3)))</f>
        <v>1.4714192565876152</v>
      </c>
      <c r="BZ4" s="13">
        <f>BY4*VLOOKUP('Données projet'!$B$12,Paramètres!$A$1:$I$89,3,0)*VLOOKUP('Données projet'!$B$12,Paramètres!$A$1:$I$89,5,0)</f>
        <v>0.91816561611067193</v>
      </c>
      <c r="CA4" s="13">
        <f>EXP(-1.0587+0.8836*LN(BZ4)+0.284)</f>
        <v>0.42735528842602116</v>
      </c>
      <c r="CB4" s="20">
        <f t="shared" ref="CB4:CB67" si="10">(BZ4+CA4)*0.475*44/12</f>
        <v>2.3434489087347408</v>
      </c>
      <c r="CC4" s="59">
        <f t="shared" ref="CC4:CC67" si="11">CB4+(BT4+BU4)*44/12</f>
        <v>295.67678224206804</v>
      </c>
      <c r="CD4" s="59">
        <f ca="1">AVERAGE(OFFSET($CC$3,0,0,'Données projet'!$E$12+1,1))-AVERAGE(OFFSET($H$3,0,0,'Données projet'!$E$12+1,1))</f>
        <v>269.77739619445515</v>
      </c>
      <c r="CE4" s="59">
        <f>$CE$3</f>
        <v>347.56964743629885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3.7333333333333334</v>
      </c>
      <c r="N5" s="13">
        <f>IF('Données projet'!$A$36&gt;35,N4+M5-V4,IF(A5&lt;'Données projet'!$A$36,$K$205^A5,IF(A5='Données projet'!$A$36,'Données projet'!$B$36,N4+M5-V4)))</f>
        <v>1.7103765633635943</v>
      </c>
      <c r="O5" s="13">
        <f>N5*VLOOKUP('Données projet'!$B$9,Paramètres!$A$1:$I$89,3,0)*VLOOKUP('Données projet'!$B$9,Paramètres!$A$1:$I$89,5,0)</f>
        <v>0.84492602230161562</v>
      </c>
      <c r="P5" s="13">
        <f t="shared" ref="P5:P68" si="33">EXP(-1.0587+0.8836*LN(O5)+0.284)</f>
        <v>0.3970900963891561</v>
      </c>
      <c r="Q5" s="20">
        <f t="shared" si="2"/>
        <v>2.163178073386427</v>
      </c>
      <c r="R5" s="59">
        <f t="shared" si="0"/>
        <v>295.49651140671972</v>
      </c>
      <c r="S5" s="59">
        <f ca="1">AVERAGE(OFFSET($R$3,0,0,'Données projet'!$E$9+1,1))-AVERAGE(OFFSET($H$3,0,0,'Données projet'!$E$9+1,1))</f>
        <v>434.08297999735811</v>
      </c>
      <c r="T5" s="59">
        <f t="shared" ref="T5:T68" si="34">$T$3</f>
        <v>371.04090283546122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331.52724290297675</v>
      </c>
      <c r="AO5" s="59">
        <f t="shared" ref="AO5:AO68" si="36">$AO$3</f>
        <v>322.79102610158054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1.2087702818043391</v>
      </c>
      <c r="BF5" s="13">
        <f t="shared" ref="BF5:BF68" si="37">EXP(-1.0587+0.8836*LN(BE5)+0.284)</f>
        <v>0.54489274271362542</v>
      </c>
      <c r="BG5" s="20">
        <f t="shared" si="7"/>
        <v>3.0542964343687884</v>
      </c>
      <c r="BH5" s="59">
        <f t="shared" si="8"/>
        <v>296.38762976770209</v>
      </c>
      <c r="BI5" s="59">
        <f ca="1">AVERAGE(OFFSET($BH$3,0,0,'Données projet'!$E$11+1,1))-AVERAGE(OFFSET($H$3,0,0,'Données projet'!$E$11+1,1))</f>
        <v>273.84349636755343</v>
      </c>
      <c r="BJ5" s="59">
        <f t="shared" ref="BJ5:BJ68" si="38">$BJ$3</f>
        <v>268.10688874775451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8.5833333333333339</v>
      </c>
      <c r="BY5" s="12">
        <f>IF('Données projet'!$A$114&gt;35,BY4+BX5-CG4,IF(A5&lt;'Données projet'!$A$114,$BV$205^A5,IF(A5='Données projet'!$A$114,'Données projet'!$B$114,BY4+BX5-CG4)))</f>
        <v>2.1650746286568503</v>
      </c>
      <c r="BZ5" s="13">
        <f>BY5*VLOOKUP('Données projet'!$B$12,Paramètres!$A$1:$I$89,3,0)*VLOOKUP('Données projet'!$B$12,Paramètres!$A$1:$I$89,5,0)</f>
        <v>1.3510065682818746</v>
      </c>
      <c r="CA5" s="13">
        <f t="shared" ref="CA5:CA68" si="39">EXP(-1.0587+0.8836*LN(BZ5)+0.284)</f>
        <v>0.60117511749976371</v>
      </c>
      <c r="CB5" s="20">
        <f t="shared" si="10"/>
        <v>3.4000497694030201</v>
      </c>
      <c r="CC5" s="59">
        <f t="shared" si="11"/>
        <v>296.73338310273635</v>
      </c>
      <c r="CD5" s="59">
        <f ca="1">AVERAGE(OFFSET($CC$3,0,0,'Données projet'!$E$12+1,1))-AVERAGE(OFFSET($H$3,0,0,'Données projet'!$E$12+1,1))</f>
        <v>269.77739619445515</v>
      </c>
      <c r="CE5" s="59">
        <f t="shared" ref="CE5:CE68" si="40">$CE$3</f>
        <v>347.56964743629885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3.7333333333333334</v>
      </c>
      <c r="N6" s="13">
        <f>IF('Données projet'!$A$36&gt;35,N5+M6-V5,IF(A6&lt;'Données projet'!$A$36,$K$205^A6,IF(A6='Données projet'!$A$36,'Données projet'!$B$36,N5+M6-V5)))</f>
        <v>2.2368538294402889</v>
      </c>
      <c r="O6" s="13">
        <f>N6*VLOOKUP('Données projet'!$B$9,Paramètres!$A$1:$I$89,3,0)*VLOOKUP('Données projet'!$B$9,Paramètres!$A$1:$I$89,5,0)</f>
        <v>1.1050057917435028</v>
      </c>
      <c r="P6" s="13">
        <f t="shared" si="33"/>
        <v>0.50334873914609668</v>
      </c>
      <c r="Q6" s="20">
        <f t="shared" si="2"/>
        <v>2.8012174746327188</v>
      </c>
      <c r="R6" s="59">
        <f t="shared" si="0"/>
        <v>296.13455080796604</v>
      </c>
      <c r="S6" s="59">
        <f ca="1">AVERAGE(OFFSET($R$3,0,0,'Données projet'!$E$9+1,1))-AVERAGE(OFFSET($H$3,0,0,'Données projet'!$E$9+1,1))</f>
        <v>434.08297999735811</v>
      </c>
      <c r="T6" s="59">
        <f t="shared" si="34"/>
        <v>371.04090283546122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331.52724290297675</v>
      </c>
      <c r="AO6" s="59">
        <f t="shared" si="36"/>
        <v>322.79102610158054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1.6226286289818741</v>
      </c>
      <c r="BF6" s="13">
        <f t="shared" si="37"/>
        <v>0.70680838318427885</v>
      </c>
      <c r="BG6" s="20">
        <f t="shared" si="7"/>
        <v>4.0571027961893833</v>
      </c>
      <c r="BH6" s="59">
        <f t="shared" si="8"/>
        <v>297.3904361295227</v>
      </c>
      <c r="BI6" s="59">
        <f ca="1">AVERAGE(OFFSET($BH$3,0,0,'Données projet'!$E$11+1,1))-AVERAGE(OFFSET($H$3,0,0,'Données projet'!$E$11+1,1))</f>
        <v>273.84349636755343</v>
      </c>
      <c r="BJ6" s="59">
        <f t="shared" si="38"/>
        <v>268.10688874775451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8.5833333333333339</v>
      </c>
      <c r="BY6" s="12">
        <f>IF('Données projet'!$A$114&gt;35,BY5+BX6-CG5,IF(A6&lt;'Données projet'!$A$114,$BV$205^A6,IF(A6='Données projet'!$A$114,'Données projet'!$B$114,BY5+BX6-CG5)))</f>
        <v>3.1857325005549697</v>
      </c>
      <c r="BZ6" s="13">
        <f>BY6*VLOOKUP('Données projet'!$B$12,Paramètres!$A$1:$I$89,3,0)*VLOOKUP('Données projet'!$B$12,Paramètres!$A$1:$I$89,5,0)</f>
        <v>1.9878970803463012</v>
      </c>
      <c r="CA6" s="13">
        <f t="shared" si="39"/>
        <v>0.84569334155652565</v>
      </c>
      <c r="CB6" s="20">
        <f t="shared" si="10"/>
        <v>4.93516998481409</v>
      </c>
      <c r="CC6" s="59">
        <f t="shared" si="11"/>
        <v>298.2685033181474</v>
      </c>
      <c r="CD6" s="59">
        <f ca="1">AVERAGE(OFFSET($CC$3,0,0,'Données projet'!$E$12+1,1))-AVERAGE(OFFSET($H$3,0,0,'Données projet'!$E$12+1,1))</f>
        <v>269.77739619445515</v>
      </c>
      <c r="CE6" s="59">
        <f t="shared" si="40"/>
        <v>347.56964743629885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3.7333333333333334</v>
      </c>
      <c r="N7" s="13">
        <f>IF('Données projet'!$A$36&gt;35,N6+M7-V6,IF(A7&lt;'Données projet'!$A$36,$K$205^A7,IF(A7='Données projet'!$A$36,'Données projet'!$B$36,N6+M7-V6)))</f>
        <v>2.9253879885034593</v>
      </c>
      <c r="O7" s="13">
        <f>N7*VLOOKUP('Données projet'!$B$9,Paramètres!$A$1:$I$89,3,0)*VLOOKUP('Données projet'!$B$9,Paramètres!$A$1:$I$89,5,0)</f>
        <v>1.4451416663207091</v>
      </c>
      <c r="P7" s="13">
        <f t="shared" si="33"/>
        <v>0.63804148102366054</v>
      </c>
      <c r="Q7" s="20">
        <f t="shared" si="2"/>
        <v>3.6282106482914434</v>
      </c>
      <c r="R7" s="59">
        <f t="shared" si="0"/>
        <v>296.96154398162474</v>
      </c>
      <c r="S7" s="59">
        <f ca="1">AVERAGE(OFFSET($R$3,0,0,'Données projet'!$E$9+1,1))-AVERAGE(OFFSET($H$3,0,0,'Données projet'!$E$9+1,1))</f>
        <v>434.08297999735811</v>
      </c>
      <c r="T7" s="59">
        <f t="shared" si="34"/>
        <v>371.04090283546122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331.52724290297675</v>
      </c>
      <c r="AO7" s="59">
        <f t="shared" si="36"/>
        <v>322.79102610158054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2.1781836526138068</v>
      </c>
      <c r="BF7" s="13">
        <f t="shared" si="37"/>
        <v>0.91683748264221798</v>
      </c>
      <c r="BG7" s="20">
        <f t="shared" si="7"/>
        <v>5.3904951439042428</v>
      </c>
      <c r="BH7" s="59">
        <f t="shared" si="8"/>
        <v>298.72382847723753</v>
      </c>
      <c r="BI7" s="59">
        <f ca="1">AVERAGE(OFFSET($BH$3,0,0,'Données projet'!$E$11+1,1))-AVERAGE(OFFSET($H$3,0,0,'Données projet'!$E$11+1,1))</f>
        <v>273.84349636755343</v>
      </c>
      <c r="BJ7" s="59">
        <f t="shared" si="38"/>
        <v>268.10688874775451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8.5833333333333339</v>
      </c>
      <c r="BY7" s="12">
        <f>IF('Données projet'!$A$114&gt;35,BY6+BX7-CG6,IF(A7&lt;'Données projet'!$A$114,$BV$205^A7,IF(A7='Données projet'!$A$114,'Données projet'!$B$114,BY6+BX7-CG6)))</f>
        <v>4.6875481476535983</v>
      </c>
      <c r="BZ7" s="13">
        <f>BY7*VLOOKUP('Données projet'!$B$12,Paramètres!$A$1:$I$89,3,0)*VLOOKUP('Données projet'!$B$12,Paramètres!$A$1:$I$89,5,0)</f>
        <v>2.9250300441358457</v>
      </c>
      <c r="CA7" s="13">
        <f t="shared" si="39"/>
        <v>1.1896653855660013</v>
      </c>
      <c r="CB7" s="20">
        <f t="shared" si="10"/>
        <v>7.1664278733973825</v>
      </c>
      <c r="CC7" s="59">
        <f t="shared" si="11"/>
        <v>300.49976120673068</v>
      </c>
      <c r="CD7" s="59">
        <f ca="1">AVERAGE(OFFSET($CC$3,0,0,'Données projet'!$E$12+1,1))-AVERAGE(OFFSET($H$3,0,0,'Données projet'!$E$12+1,1))</f>
        <v>269.77739619445515</v>
      </c>
      <c r="CE7" s="59">
        <f t="shared" si="40"/>
        <v>347.56964743629885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3.7333333333333334</v>
      </c>
      <c r="N8" s="13">
        <f>IF('Données projet'!$A$36&gt;35,N7+M8-V7,IF(A8&lt;'Données projet'!$A$36,$K$205^A8,IF(A8='Données projet'!$A$36,'Données projet'!$B$36,N7+M8-V7)))</f>
        <v>3.8258623655447765</v>
      </c>
      <c r="O8" s="13">
        <f>N8*VLOOKUP('Données projet'!$B$9,Paramètres!$A$1:$I$89,3,0)*VLOOKUP('Données projet'!$B$9,Paramètres!$A$1:$I$89,5,0)</f>
        <v>1.8899760085791197</v>
      </c>
      <c r="P8" s="13">
        <f t="shared" si="33"/>
        <v>0.80877709597024838</v>
      </c>
      <c r="Q8" s="20">
        <f t="shared" si="2"/>
        <v>4.7003283237568159</v>
      </c>
      <c r="R8" s="59">
        <f t="shared" si="0"/>
        <v>298.03366165709014</v>
      </c>
      <c r="S8" s="59">
        <f ca="1">AVERAGE(OFFSET($R$3,0,0,'Données projet'!$E$9+1,1))-AVERAGE(OFFSET($H$3,0,0,'Données projet'!$E$9+1,1))</f>
        <v>434.08297999735811</v>
      </c>
      <c r="T8" s="59">
        <f t="shared" si="34"/>
        <v>371.04090283546122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331.52724290297675</v>
      </c>
      <c r="AO8" s="59">
        <f t="shared" si="36"/>
        <v>322.79102610158054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2.9239494113270847</v>
      </c>
      <c r="BF8" s="13">
        <f t="shared" si="37"/>
        <v>1.1892770227069605</v>
      </c>
      <c r="BG8" s="20">
        <f t="shared" si="7"/>
        <v>7.1638693726092955</v>
      </c>
      <c r="BH8" s="59">
        <f t="shared" si="8"/>
        <v>300.49720270594258</v>
      </c>
      <c r="BI8" s="59">
        <f ca="1">AVERAGE(OFFSET($BH$3,0,0,'Données projet'!$E$11+1,1))-AVERAGE(OFFSET($H$3,0,0,'Données projet'!$E$11+1,1))</f>
        <v>273.84349636755343</v>
      </c>
      <c r="BJ8" s="59">
        <f t="shared" si="38"/>
        <v>268.10688874775451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8.5833333333333339</v>
      </c>
      <c r="BY8" s="12">
        <f>IF('Données projet'!$A$114&gt;35,BY7+BX8-CG7,IF(A8&lt;'Données projet'!$A$114,$BV$205^A8,IF(A8='Données projet'!$A$114,'Données projet'!$B$114,BY7+BX8-CG7)))</f>
        <v>6.89734861063911</v>
      </c>
      <c r="BZ8" s="13">
        <f>BY8*VLOOKUP('Données projet'!$B$12,Paramètres!$A$1:$I$89,3,0)*VLOOKUP('Données projet'!$B$12,Paramètres!$A$1:$I$89,5,0)</f>
        <v>4.3039455330388048</v>
      </c>
      <c r="CA8" s="13">
        <f t="shared" si="39"/>
        <v>1.6735424770035323</v>
      </c>
      <c r="CB8" s="20">
        <f t="shared" si="10"/>
        <v>10.410791617490402</v>
      </c>
      <c r="CC8" s="59">
        <f t="shared" si="11"/>
        <v>303.74412495082373</v>
      </c>
      <c r="CD8" s="59">
        <f ca="1">AVERAGE(OFFSET($CC$3,0,0,'Données projet'!$E$12+1,1))-AVERAGE(OFFSET($H$3,0,0,'Données projet'!$E$12+1,1))</f>
        <v>269.77739619445515</v>
      </c>
      <c r="CE8" s="59">
        <f t="shared" si="40"/>
        <v>347.56964743629885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3.7333333333333334</v>
      </c>
      <c r="N9" s="13">
        <f>IF('Données projet'!$A$36&gt;35,N8+M9-V8,IF(A9&lt;'Données projet'!$A$36,$K$205^A9,IF(A9='Données projet'!$A$36,'Données projet'!$B$36,N8+M9-V8)))</f>
        <v>5.0035150542816851</v>
      </c>
      <c r="O9" s="13">
        <f>N9*VLOOKUP('Données projet'!$B$9,Paramètres!$A$1:$I$89,3,0)*VLOOKUP('Données projet'!$B$9,Paramètres!$A$1:$I$89,5,0)</f>
        <v>2.4717364368151524</v>
      </c>
      <c r="P9" s="13">
        <f t="shared" si="33"/>
        <v>1.0252004147388838</v>
      </c>
      <c r="Q9" s="20">
        <f t="shared" si="2"/>
        <v>6.0904983497899456</v>
      </c>
      <c r="R9" s="59">
        <f t="shared" si="0"/>
        <v>299.42383168312324</v>
      </c>
      <c r="S9" s="59">
        <f ca="1">AVERAGE(OFFSET($R$3,0,0,'Données projet'!$E$9+1,1))-AVERAGE(OFFSET($H$3,0,0,'Données projet'!$E$9+1,1))</f>
        <v>434.08297999735811</v>
      </c>
      <c r="T9" s="59">
        <f t="shared" si="34"/>
        <v>371.04090283546122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331.52724290297675</v>
      </c>
      <c r="AO9" s="59">
        <f t="shared" si="36"/>
        <v>322.79102610158054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3.9250501902081041</v>
      </c>
      <c r="BF9" s="13">
        <f t="shared" si="37"/>
        <v>1.5426723530790381</v>
      </c>
      <c r="BG9" s="20">
        <f t="shared" si="7"/>
        <v>9.5229500962251041</v>
      </c>
      <c r="BH9" s="59">
        <f t="shared" si="8"/>
        <v>302.8562834295584</v>
      </c>
      <c r="BI9" s="59">
        <f ca="1">AVERAGE(OFFSET($BH$3,0,0,'Données projet'!$E$11+1,1))-AVERAGE(OFFSET($H$3,0,0,'Données projet'!$E$11+1,1))</f>
        <v>273.84349636755343</v>
      </c>
      <c r="BJ9" s="59">
        <f t="shared" si="38"/>
        <v>268.10688874775451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8.5833333333333339</v>
      </c>
      <c r="BY9" s="12">
        <f>IF('Données projet'!$A$114&gt;35,BY8+BX9-CG8,IF(A9&lt;'Données projet'!$A$114,$BV$205^A9,IF(A9='Données projet'!$A$114,'Données projet'!$B$114,BY8+BX9-CG8)))</f>
        <v>10.148891565092221</v>
      </c>
      <c r="BZ9" s="13">
        <f>BY9*VLOOKUP('Données projet'!$B$12,Paramètres!$A$1:$I$89,3,0)*VLOOKUP('Données projet'!$B$12,Paramètres!$A$1:$I$89,5,0)</f>
        <v>6.3329083366175452</v>
      </c>
      <c r="CA9" s="13">
        <f t="shared" si="39"/>
        <v>2.3542287237369877</v>
      </c>
      <c r="CB9" s="20">
        <f t="shared" si="10"/>
        <v>15.130097046784146</v>
      </c>
      <c r="CC9" s="59">
        <f t="shared" si="11"/>
        <v>308.46343038011747</v>
      </c>
      <c r="CD9" s="59">
        <f ca="1">AVERAGE(OFFSET($CC$3,0,0,'Données projet'!$E$12+1,1))-AVERAGE(OFFSET($H$3,0,0,'Données projet'!$E$12+1,1))</f>
        <v>269.77739619445515</v>
      </c>
      <c r="CE9" s="59">
        <f t="shared" si="40"/>
        <v>347.56964743629885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3.7333333333333334</v>
      </c>
      <c r="N10" s="13">
        <f>IF('Données projet'!$A$36&gt;35,N9+M10-V9,IF(A10&lt;'Données projet'!$A$36,$K$205^A10,IF(A10='Données projet'!$A$36,'Données projet'!$B$36,N9+M10-V9)))</f>
        <v>6.5436653246825864</v>
      </c>
      <c r="O10" s="13">
        <f>N10*VLOOKUP('Données projet'!$B$9,Paramètres!$A$1:$I$89,3,0)*VLOOKUP('Données projet'!$B$9,Paramètres!$A$1:$I$89,5,0)</f>
        <v>3.2325706703931978</v>
      </c>
      <c r="P10" s="13">
        <f t="shared" si="33"/>
        <v>1.2995371600130508</v>
      </c>
      <c r="Q10" s="20">
        <f t="shared" si="2"/>
        <v>7.8934211379575494</v>
      </c>
      <c r="R10" s="59">
        <f t="shared" si="0"/>
        <v>301.22675447129086</v>
      </c>
      <c r="S10" s="59">
        <f ca="1">AVERAGE(OFFSET($R$3,0,0,'Données projet'!$E$9+1,1))-AVERAGE(OFFSET($H$3,0,0,'Données projet'!$E$9+1,1))</f>
        <v>434.08297999735811</v>
      </c>
      <c r="T10" s="59">
        <f t="shared" si="34"/>
        <v>371.04090283546122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331.52724290297675</v>
      </c>
      <c r="AO10" s="59">
        <f t="shared" si="36"/>
        <v>322.79102610158054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5.268907504340298</v>
      </c>
      <c r="BF10" s="13">
        <f t="shared" si="37"/>
        <v>2.0010796000561526</v>
      </c>
      <c r="BG10" s="20">
        <f t="shared" si="7"/>
        <v>12.661894206823819</v>
      </c>
      <c r="BH10" s="59">
        <f t="shared" si="8"/>
        <v>305.99522754015715</v>
      </c>
      <c r="BI10" s="59">
        <f ca="1">AVERAGE(OFFSET($BH$3,0,0,'Données projet'!$E$11+1,1))-AVERAGE(OFFSET($H$3,0,0,'Données projet'!$E$11+1,1))</f>
        <v>273.84349636755343</v>
      </c>
      <c r="BJ10" s="59">
        <f t="shared" si="38"/>
        <v>268.10688874775451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8.5833333333333339</v>
      </c>
      <c r="BY10" s="12">
        <f>IF('Données projet'!$A$114&gt;35,BY9+BX10-CG9,IF(A10&lt;'Données projet'!$A$114,$BV$205^A10,IF(A10='Données projet'!$A$114,'Données projet'!$B$114,BY9+BX10-CG9)))</f>
        <v>14.933274481896314</v>
      </c>
      <c r="BZ10" s="13">
        <f>BY10*VLOOKUP('Données projet'!$B$12,Paramètres!$A$1:$I$89,3,0)*VLOOKUP('Données projet'!$B$12,Paramètres!$A$1:$I$89,5,0)</f>
        <v>9.3183632767033</v>
      </c>
      <c r="CA10" s="13">
        <f t="shared" si="39"/>
        <v>3.3117730561532612</v>
      </c>
      <c r="CB10" s="20">
        <f t="shared" si="10"/>
        <v>21.997487446391844</v>
      </c>
      <c r="CC10" s="59">
        <f t="shared" si="11"/>
        <v>315.33082077972517</v>
      </c>
      <c r="CD10" s="59">
        <f ca="1">AVERAGE(OFFSET($CC$3,0,0,'Données projet'!$E$12+1,1))-AVERAGE(OFFSET($H$3,0,0,'Données projet'!$E$12+1,1))</f>
        <v>269.77739619445515</v>
      </c>
      <c r="CE10" s="59">
        <f t="shared" si="40"/>
        <v>347.56964743629885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3.7333333333333334</v>
      </c>
      <c r="N11" s="13">
        <f>IF('Données projet'!$A$36&gt;35,N10+M11-V10,IF(A11&lt;'Données projet'!$A$36,$K$205^A11,IF(A11='Données projet'!$A$36,'Données projet'!$B$36,N10+M11-V10)))</f>
        <v>8.5578948832803157</v>
      </c>
      <c r="O11" s="13">
        <f>N11*VLOOKUP('Données projet'!$B$9,Paramètres!$A$1:$I$89,3,0)*VLOOKUP('Données projet'!$B$9,Paramètres!$A$1:$I$89,5,0)</f>
        <v>4.2276000723404765</v>
      </c>
      <c r="P11" s="13">
        <f t="shared" si="33"/>
        <v>1.6472845757528478</v>
      </c>
      <c r="Q11" s="20">
        <f t="shared" si="2"/>
        <v>10.232090762095874</v>
      </c>
      <c r="R11" s="59">
        <f t="shared" si="0"/>
        <v>303.56542409542919</v>
      </c>
      <c r="S11" s="59">
        <f ca="1">AVERAGE(OFFSET($R$3,0,0,'Données projet'!$E$9+1,1))-AVERAGE(OFFSET($H$3,0,0,'Données projet'!$E$9+1,1))</f>
        <v>434.08297999735811</v>
      </c>
      <c r="T11" s="59">
        <f t="shared" si="34"/>
        <v>371.04090283546122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331.52724290297675</v>
      </c>
      <c r="AO11" s="59">
        <f t="shared" si="36"/>
        <v>322.79102610158054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7.0728742166279446</v>
      </c>
      <c r="BF11" s="13">
        <f t="shared" si="37"/>
        <v>2.5957032015052466</v>
      </c>
      <c r="BG11" s="20">
        <f t="shared" si="7"/>
        <v>16.839439003248639</v>
      </c>
      <c r="BH11" s="59">
        <f t="shared" si="8"/>
        <v>310.17277233658194</v>
      </c>
      <c r="BI11" s="59">
        <f ca="1">AVERAGE(OFFSET($BH$3,0,0,'Données projet'!$E$11+1,1))-AVERAGE(OFFSET($H$3,0,0,'Données projet'!$E$11+1,1))</f>
        <v>273.84349636755343</v>
      </c>
      <c r="BJ11" s="59">
        <f t="shared" si="38"/>
        <v>268.10688874775451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8.5833333333333339</v>
      </c>
      <c r="BY11" s="12">
        <f>IF('Données projet'!$A$114&gt;35,BY10+BX11-CG10,IF(A11&lt;'Données projet'!$A$114,$BV$205^A11,IF(A11='Données projet'!$A$114,'Données projet'!$B$114,BY10+BX11-CG10)))</f>
        <v>21.973107636570681</v>
      </c>
      <c r="BZ11" s="13">
        <f>BY11*VLOOKUP('Données projet'!$B$12,Paramètres!$A$1:$I$89,3,0)*VLOOKUP('Données projet'!$B$12,Paramètres!$A$1:$I$89,5,0)</f>
        <v>13.711219165220106</v>
      </c>
      <c r="CA11" s="13">
        <f t="shared" si="39"/>
        <v>4.6587830081577177</v>
      </c>
      <c r="CB11" s="20">
        <f t="shared" si="10"/>
        <v>31.994420451966377</v>
      </c>
      <c r="CC11" s="59">
        <f t="shared" si="11"/>
        <v>325.32775378529971</v>
      </c>
      <c r="CD11" s="59">
        <f ca="1">AVERAGE(OFFSET($CC$3,0,0,'Données projet'!$E$12+1,1))-AVERAGE(OFFSET($H$3,0,0,'Données projet'!$E$12+1,1))</f>
        <v>269.77739619445515</v>
      </c>
      <c r="CE11" s="59">
        <f t="shared" si="40"/>
        <v>347.56964743629885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3.7333333333333334</v>
      </c>
      <c r="N12" s="13">
        <f>IF('Données projet'!$A$36&gt;35,N11+M12-V11,IF(A12&lt;'Données projet'!$A$36,$K$205^A12,IF(A12='Données projet'!$A$36,'Données projet'!$B$36,N11+M12-V11)))</f>
        <v>11.192131809832121</v>
      </c>
      <c r="O12" s="13">
        <f>N12*VLOOKUP('Données projet'!$B$9,Paramètres!$A$1:$I$89,3,0)*VLOOKUP('Données projet'!$B$9,Paramètres!$A$1:$I$89,5,0)</f>
        <v>5.5289131140570689</v>
      </c>
      <c r="P12" s="13">
        <f t="shared" si="33"/>
        <v>2.0880868643155912</v>
      </c>
      <c r="Q12" s="20">
        <f t="shared" si="2"/>
        <v>13.266274962332382</v>
      </c>
      <c r="R12" s="59">
        <f t="shared" si="0"/>
        <v>306.59960829566569</v>
      </c>
      <c r="S12" s="59">
        <f ca="1">AVERAGE(OFFSET($R$3,0,0,'Données projet'!$E$9+1,1))-AVERAGE(OFFSET($H$3,0,0,'Données projet'!$E$9+1,1))</f>
        <v>434.08297999735811</v>
      </c>
      <c r="T12" s="59">
        <f t="shared" si="34"/>
        <v>371.04090283546122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331.52724290297675</v>
      </c>
      <c r="AO12" s="59">
        <f t="shared" si="36"/>
        <v>322.79102610158054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9.4944824222158921</v>
      </c>
      <c r="BF12" s="13">
        <f t="shared" si="37"/>
        <v>3.3670200376414416</v>
      </c>
      <c r="BG12" s="20">
        <f t="shared" si="7"/>
        <v>22.400450117584857</v>
      </c>
      <c r="BH12" s="59">
        <f t="shared" si="8"/>
        <v>315.73378345091817</v>
      </c>
      <c r="BI12" s="59">
        <f ca="1">AVERAGE(OFFSET($BH$3,0,0,'Données projet'!$E$11+1,1))-AVERAGE(OFFSET($H$3,0,0,'Données projet'!$E$11+1,1))</f>
        <v>273.84349636755343</v>
      </c>
      <c r="BJ12" s="59">
        <f t="shared" si="38"/>
        <v>268.10688874775451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8.5833333333333339</v>
      </c>
      <c r="BY12" s="12">
        <f>IF('Données projet'!$A$114&gt;35,BY11+BX12-CG11,IF(A12&lt;'Données projet'!$A$114,$BV$205^A12,IF(A12='Données projet'!$A$114,'Données projet'!$B$114,BY11+BX12-CG11)))</f>
        <v>32.331653703522484</v>
      </c>
      <c r="BZ12" s="13">
        <f>BY12*VLOOKUP('Données projet'!$B$12,Paramètres!$A$1:$I$89,3,0)*VLOOKUP('Données projet'!$B$12,Paramètres!$A$1:$I$89,5,0)</f>
        <v>20.174951910998029</v>
      </c>
      <c r="CA12" s="13">
        <f t="shared" si="39"/>
        <v>6.55366740084217</v>
      </c>
      <c r="CB12" s="20">
        <f t="shared" si="10"/>
        <v>46.552345301455006</v>
      </c>
      <c r="CC12" s="59">
        <f t="shared" si="11"/>
        <v>339.88567863478829</v>
      </c>
      <c r="CD12" s="59">
        <f ca="1">AVERAGE(OFFSET($CC$3,0,0,'Données projet'!$E$12+1,1))-AVERAGE(OFFSET($H$3,0,0,'Données projet'!$E$12+1,1))</f>
        <v>269.77739619445515</v>
      </c>
      <c r="CE12" s="59">
        <f t="shared" si="40"/>
        <v>347.56964743629885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3.7333333333333334</v>
      </c>
      <c r="N13" s="13">
        <f>IF('Données projet'!$A$36&gt;35,N12+M13-V12,IF(A13&lt;'Données projet'!$A$36,$K$205^A13,IF(A13='Données projet'!$A$36,'Données projet'!$B$36,N12+M13-V12)))</f>
        <v>14.637222840091875</v>
      </c>
      <c r="O13" s="13">
        <f>N13*VLOOKUP('Données projet'!$B$9,Paramètres!$A$1:$I$89,3,0)*VLOOKUP('Données projet'!$B$9,Paramètres!$A$1:$I$89,5,0)</f>
        <v>7.230788083005387</v>
      </c>
      <c r="P13" s="13">
        <f t="shared" si="33"/>
        <v>2.6468448846700614</v>
      </c>
      <c r="Q13" s="20">
        <f t="shared" si="2"/>
        <v>17.203544085368073</v>
      </c>
      <c r="R13" s="59">
        <f t="shared" si="0"/>
        <v>310.53687741870141</v>
      </c>
      <c r="S13" s="59">
        <f ca="1">AVERAGE(OFFSET($R$3,0,0,'Données projet'!$E$9+1,1))-AVERAGE(OFFSET($H$3,0,0,'Données projet'!$E$9+1,1))</f>
        <v>434.08297999735811</v>
      </c>
      <c r="T13" s="59">
        <f t="shared" si="34"/>
        <v>371.04090283546122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331.52724290297675</v>
      </c>
      <c r="AO13" s="59">
        <f t="shared" si="36"/>
        <v>322.79102610158054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12.745200000000001</v>
      </c>
      <c r="BF13" s="13">
        <f t="shared" si="37"/>
        <v>4.3675347502382973</v>
      </c>
      <c r="BG13" s="20">
        <f t="shared" si="7"/>
        <v>29.804679689998366</v>
      </c>
      <c r="BH13" s="59">
        <f t="shared" si="8"/>
        <v>323.13801302333167</v>
      </c>
      <c r="BI13" s="59">
        <f ca="1">AVERAGE(OFFSET($BH$3,0,0,'Données projet'!$E$11+1,1))-AVERAGE(OFFSET($H$3,0,0,'Données projet'!$E$11+1,1))</f>
        <v>273.84349636755343</v>
      </c>
      <c r="BJ13" s="59">
        <f t="shared" si="38"/>
        <v>268.10688874775451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8.5833333333333339</v>
      </c>
      <c r="BY13" s="12">
        <f>IF('Données projet'!$A$114&gt;35,BY12+BX13-CG12,IF(A13&lt;'Données projet'!$A$114,$BV$205^A13,IF(A13='Données projet'!$A$114,'Données projet'!$B$114,BY12+BX13-CG12)))</f>
        <v>47.573417856685268</v>
      </c>
      <c r="BZ13" s="13">
        <f>BY13*VLOOKUP('Données projet'!$B$12,Paramètres!$A$1:$I$89,3,0)*VLOOKUP('Données projet'!$B$12,Paramètres!$A$1:$I$89,5,0)</f>
        <v>29.685812742571606</v>
      </c>
      <c r="CA13" s="13">
        <f t="shared" si="39"/>
        <v>9.2192652728519882</v>
      </c>
      <c r="CB13" s="20">
        <f t="shared" si="10"/>
        <v>67.759677543529421</v>
      </c>
      <c r="CC13" s="59">
        <f t="shared" si="11"/>
        <v>361.09301087686276</v>
      </c>
      <c r="CD13" s="59">
        <f ca="1">AVERAGE(OFFSET($CC$3,0,0,'Données projet'!$E$12+1,1))-AVERAGE(OFFSET($H$3,0,0,'Données projet'!$E$12+1,1))</f>
        <v>269.77739619445515</v>
      </c>
      <c r="CE13" s="59">
        <f t="shared" si="40"/>
        <v>347.56964743629885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3.7333333333333334</v>
      </c>
      <c r="N14" s="13">
        <f>IF('Données projet'!$A$36&gt;35,N13+M14-V13,IF(A14&lt;'Données projet'!$A$36,$K$205^A14,IF(A14='Données projet'!$A$36,'Données projet'!$B$36,N13+M14-V13)))</f>
        <v>19.142759941613029</v>
      </c>
      <c r="O14" s="13">
        <f>N14*VLOOKUP('Données projet'!$B$9,Paramètres!$A$1:$I$89,3,0)*VLOOKUP('Données projet'!$B$9,Paramètres!$A$1:$I$89,5,0)</f>
        <v>9.4565234111568373</v>
      </c>
      <c r="P14" s="13">
        <f t="shared" si="33"/>
        <v>3.3551227983996466</v>
      </c>
      <c r="Q14" s="20">
        <f t="shared" si="2"/>
        <v>22.313617148310872</v>
      </c>
      <c r="R14" s="59">
        <f t="shared" si="0"/>
        <v>315.64695048164418</v>
      </c>
      <c r="S14" s="59">
        <f ca="1">AVERAGE(OFFSET($R$3,0,0,'Données projet'!$E$9+1,1))-AVERAGE(OFFSET($H$3,0,0,'Données projet'!$E$9+1,1))</f>
        <v>434.08297999735811</v>
      </c>
      <c r="T14" s="59">
        <f t="shared" si="34"/>
        <v>371.04090283546122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342.09899270133241</v>
      </c>
      <c r="AN14" s="59">
        <f ca="1">AVERAGE(OFFSET($AM$3,0,0,'Données projet'!$E$10+1,1))-AVERAGE(OFFSET($H$3,0,0,'Données projet'!$E$10+1,1))</f>
        <v>331.52724290297675</v>
      </c>
      <c r="AO14" s="59">
        <f t="shared" si="36"/>
        <v>322.79102610158054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17.84328</v>
      </c>
      <c r="BF14" s="13">
        <f t="shared" si="37"/>
        <v>5.8796991040722624</v>
      </c>
      <c r="BG14" s="20">
        <f t="shared" si="7"/>
        <v>41.317521939592524</v>
      </c>
      <c r="BH14" s="59">
        <f t="shared" si="8"/>
        <v>334.65085527292581</v>
      </c>
      <c r="BI14" s="59">
        <f ca="1">AVERAGE(OFFSET($BH$3,0,0,'Données projet'!$E$11+1,1))-AVERAGE(OFFSET($H$3,0,0,'Données projet'!$E$11+1,1))</f>
        <v>273.84349636755343</v>
      </c>
      <c r="BJ14" s="59">
        <f t="shared" si="38"/>
        <v>268.10688874775451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8.5833333333333339</v>
      </c>
      <c r="BY14" s="12">
        <f>IF('Données projet'!$A$114&gt;35,BY13+BX14-CG13,IF(A14&lt;'Données projet'!$A$114,$BV$205^A14,IF(A14='Données projet'!$A$114,'Données projet'!$B$114,BY13+BX14-CG13)))</f>
        <v>70.000443136015818</v>
      </c>
      <c r="BZ14" s="13">
        <f>BY14*VLOOKUP('Données projet'!$B$12,Paramètres!$A$1:$I$89,3,0)*VLOOKUP('Données projet'!$B$12,Paramètres!$A$1:$I$89,5,0)</f>
        <v>43.680276516873867</v>
      </c>
      <c r="CA14" s="13">
        <f t="shared" si="39"/>
        <v>12.969051825897136</v>
      </c>
      <c r="CB14" s="20">
        <f t="shared" si="10"/>
        <v>98.664246863659471</v>
      </c>
      <c r="CC14" s="59">
        <f t="shared" si="11"/>
        <v>391.99758019699277</v>
      </c>
      <c r="CD14" s="59">
        <f ca="1">AVERAGE(OFFSET($CC$3,0,0,'Données projet'!$E$12+1,1))-AVERAGE(OFFSET($H$3,0,0,'Données projet'!$E$12+1,1))</f>
        <v>269.77739619445515</v>
      </c>
      <c r="CE14" s="59">
        <f t="shared" si="40"/>
        <v>347.56964743629885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3.7333333333333334</v>
      </c>
      <c r="N15" s="13">
        <f>IF('Données projet'!$A$36&gt;35,N14+M15-V14,IF(A15&lt;'Données projet'!$A$36,$K$205^A15,IF(A15='Données projet'!$A$36,'Données projet'!$B$36,N14+M15-V14)))</f>
        <v>25.035162898423447</v>
      </c>
      <c r="O15" s="13">
        <f>N15*VLOOKUP('Données projet'!$B$9,Paramètres!$A$1:$I$89,3,0)*VLOOKUP('Données projet'!$B$9,Paramètres!$A$1:$I$89,5,0)</f>
        <v>12.367370471821184</v>
      </c>
      <c r="P15" s="13">
        <f t="shared" si="33"/>
        <v>4.2529311247282564</v>
      </c>
      <c r="Q15" s="20">
        <f t="shared" si="2"/>
        <v>28.947025280656934</v>
      </c>
      <c r="R15" s="59">
        <f t="shared" si="0"/>
        <v>322.28035861399024</v>
      </c>
      <c r="S15" s="59">
        <f ca="1">AVERAGE(OFFSET($R$3,0,0,'Données projet'!$E$9+1,1))-AVERAGE(OFFSET($H$3,0,0,'Données projet'!$E$9+1,1))</f>
        <v>434.08297999735811</v>
      </c>
      <c r="T15" s="59">
        <f t="shared" si="34"/>
        <v>371.04090283546122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367.94939659534384</v>
      </c>
      <c r="AN15" s="59">
        <f ca="1">AVERAGE(OFFSET($AM$3,0,0,'Données projet'!$E$10+1,1))-AVERAGE(OFFSET($H$3,0,0,'Données projet'!$E$10+1,1))</f>
        <v>331.52724290297675</v>
      </c>
      <c r="AO15" s="59">
        <f t="shared" si="36"/>
        <v>322.79102610158054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27.636960000000002</v>
      </c>
      <c r="BF15" s="13">
        <f t="shared" si="37"/>
        <v>8.654716918983123</v>
      </c>
      <c r="BG15" s="20">
        <f t="shared" si="7"/>
        <v>63.20800396722894</v>
      </c>
      <c r="BH15" s="59">
        <f t="shared" si="8"/>
        <v>356.54133730056225</v>
      </c>
      <c r="BI15" s="59">
        <f ca="1">AVERAGE(OFFSET($BH$3,0,0,'Données projet'!$E$11+1,1))-AVERAGE(OFFSET($H$3,0,0,'Données projet'!$E$11+1,1))</f>
        <v>273.84349636755343</v>
      </c>
      <c r="BJ15" s="59">
        <f t="shared" si="38"/>
        <v>268.10688874775451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103</v>
      </c>
      <c r="BW15" s="12">
        <f>VLOOKUP(A15,'Données projet'!$A$113:$I$133,9,0)</f>
        <v>8.5833333333333339</v>
      </c>
      <c r="BX15" s="12">
        <f t="array" ref="BX15">INDEX(BW:BW,MIN(IF(ISNUMBER(BW15:BW211),ROW(BW15:BW211),"")))</f>
        <v>8.5833333333333339</v>
      </c>
      <c r="BY15" s="12">
        <f>IF('Données projet'!$A$114&gt;35,BY14+BX15-CG14,IF(A15&lt;'Données projet'!$A$114,$BV$205^A15,IF(A15='Données projet'!$A$114,'Données projet'!$B$114,BY14+BX15-CG14)))</f>
        <v>103</v>
      </c>
      <c r="BZ15" s="13">
        <f>BY15*VLOOKUP('Données projet'!$B$12,Paramètres!$A$1:$I$89,3,0)*VLOOKUP('Données projet'!$B$12,Paramètres!$A$1:$I$89,5,0)</f>
        <v>64.272000000000006</v>
      </c>
      <c r="CA15" s="13">
        <f t="shared" si="39"/>
        <v>18.244003213368217</v>
      </c>
      <c r="CB15" s="20">
        <f t="shared" si="10"/>
        <v>143.71537226328297</v>
      </c>
      <c r="CC15" s="59">
        <f t="shared" si="11"/>
        <v>437.04870559661629</v>
      </c>
      <c r="CD15" s="59">
        <f ca="1">AVERAGE(OFFSET($CC$3,0,0,'Données projet'!$E$12+1,1))-AVERAGE(OFFSET($H$3,0,0,'Données projet'!$E$12+1,1))</f>
        <v>269.77739619445515</v>
      </c>
      <c r="CE15" s="59">
        <f t="shared" si="40"/>
        <v>347.56964743629885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18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1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12.717233165817262</v>
      </c>
      <c r="CN15" s="22">
        <f t="shared" si="12"/>
        <v>12.717233165817262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3.7333333333333334</v>
      </c>
      <c r="N16" s="13">
        <f>IF('Données projet'!$A$36&gt;35,N15+M16-V15,IF(A16&lt;'Données projet'!$A$36,$K$205^A16,IF(A16='Données projet'!$A$36,'Données projet'!$B$36,N15+M16-V15)))</f>
        <v>32.741327962230365</v>
      </c>
      <c r="O16" s="13">
        <f>N16*VLOOKUP('Données projet'!$B$9,Paramètres!$A$1:$I$89,3,0)*VLOOKUP('Données projet'!$B$9,Paramètres!$A$1:$I$89,5,0)</f>
        <v>16.174216013341802</v>
      </c>
      <c r="P16" s="13">
        <f t="shared" si="33"/>
        <v>5.390986929095364</v>
      </c>
      <c r="Q16" s="20">
        <f t="shared" si="2"/>
        <v>37.559395124744732</v>
      </c>
      <c r="R16" s="59">
        <f t="shared" si="0"/>
        <v>330.89272845807807</v>
      </c>
      <c r="S16" s="59">
        <f ca="1">AVERAGE(OFFSET($R$3,0,0,'Données projet'!$E$9+1,1))-AVERAGE(OFFSET($H$3,0,0,'Données projet'!$E$9+1,1))</f>
        <v>434.08297999735811</v>
      </c>
      <c r="T16" s="59">
        <f t="shared" si="34"/>
        <v>371.04090283546122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393.56751235450452</v>
      </c>
      <c r="AN16" s="59">
        <f ca="1">AVERAGE(OFFSET($AM$3,0,0,'Données projet'!$E$10+1,1))-AVERAGE(OFFSET($H$3,0,0,'Données projet'!$E$10+1,1))</f>
        <v>331.52724290297675</v>
      </c>
      <c r="AO16" s="59">
        <f t="shared" si="36"/>
        <v>322.79102610158054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37.430640000000004</v>
      </c>
      <c r="BF16" s="13">
        <f t="shared" si="37"/>
        <v>11.315028847170499</v>
      </c>
      <c r="BG16" s="20">
        <f t="shared" si="7"/>
        <v>84.898706575488632</v>
      </c>
      <c r="BH16" s="59">
        <f t="shared" si="8"/>
        <v>378.23203990882195</v>
      </c>
      <c r="BI16" s="59">
        <f ca="1">AVERAGE(OFFSET($BH$3,0,0,'Données projet'!$E$11+1,1))-AVERAGE(OFFSET($H$3,0,0,'Données projet'!$E$11+1,1))</f>
        <v>273.84349636755343</v>
      </c>
      <c r="BJ16" s="59">
        <f t="shared" si="38"/>
        <v>268.10688874775451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23</v>
      </c>
      <c r="BY16" s="12">
        <f>IF('Données projet'!$A$114&gt;35,BY15+BX16-CG15,IF(A16&lt;'Données projet'!$A$114,$BV$205^A16,IF(A16='Données projet'!$A$114,'Données projet'!$B$114,BY15+BX16-CG15)))</f>
        <v>108</v>
      </c>
      <c r="BZ16" s="13">
        <f>BY16*VLOOKUP('Données projet'!$B$12,Paramètres!$A$1:$I$89,3,0)*VLOOKUP('Données projet'!$B$12,Paramètres!$A$1:$I$89,5,0)</f>
        <v>67.391999999999996</v>
      </c>
      <c r="CA16" s="13">
        <f t="shared" si="39"/>
        <v>19.02437502991798</v>
      </c>
      <c r="CB16" s="20">
        <f t="shared" si="10"/>
        <v>150.5085198437738</v>
      </c>
      <c r="CC16" s="59">
        <f t="shared" si="11"/>
        <v>443.84185317710711</v>
      </c>
      <c r="CD16" s="59">
        <f ca="1">AVERAGE(OFFSET($CC$3,0,0,'Données projet'!$E$12+1,1))-AVERAGE(OFFSET($H$3,0,0,'Données projet'!$E$12+1,1))</f>
        <v>269.77739619445515</v>
      </c>
      <c r="CE16" s="59">
        <f t="shared" si="40"/>
        <v>347.56964743629885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8.9924418094798533</v>
      </c>
      <c r="CN16" s="22">
        <f t="shared" si="12"/>
        <v>8.9924418094798533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3.7333333333333334</v>
      </c>
      <c r="N17" s="13">
        <f>IF('Données projet'!$A$36&gt;35,N16+M17-V16,IF(A17&lt;'Données projet'!$A$36,$K$205^A17,IF(A17='Données projet'!$A$36,'Données projet'!$B$36,N16+M17-V16)))</f>
        <v>42.819555881453262</v>
      </c>
      <c r="O17" s="13">
        <f>N17*VLOOKUP('Données projet'!$B$9,Paramètres!$A$1:$I$89,3,0)*VLOOKUP('Données projet'!$B$9,Paramètres!$A$1:$I$89,5,0)</f>
        <v>21.152860605437912</v>
      </c>
      <c r="P17" s="13">
        <f t="shared" si="33"/>
        <v>6.8335788230132817</v>
      </c>
      <c r="Q17" s="20">
        <f t="shared" si="2"/>
        <v>48.743048671219157</v>
      </c>
      <c r="R17" s="59">
        <f t="shared" si="0"/>
        <v>342.07638200455244</v>
      </c>
      <c r="S17" s="59">
        <f ca="1">AVERAGE(OFFSET($R$3,0,0,'Données projet'!$E$9+1,1))-AVERAGE(OFFSET($H$3,0,0,'Données projet'!$E$9+1,1))</f>
        <v>434.08297999735811</v>
      </c>
      <c r="T17" s="59">
        <f t="shared" si="34"/>
        <v>371.04090283546122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419.02204676655151</v>
      </c>
      <c r="AN17" s="59">
        <f ca="1">AVERAGE(OFFSET($AM$3,0,0,'Données projet'!$E$10+1,1))-AVERAGE(OFFSET($H$3,0,0,'Données projet'!$E$10+1,1))</f>
        <v>331.52724290297675</v>
      </c>
      <c r="AO17" s="59">
        <f t="shared" si="36"/>
        <v>322.79102610158054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47.224320000000006</v>
      </c>
      <c r="BF17" s="13">
        <f t="shared" si="37"/>
        <v>13.894562893680241</v>
      </c>
      <c r="BG17" s="20">
        <f t="shared" si="7"/>
        <v>106.44872103982642</v>
      </c>
      <c r="BH17" s="59">
        <f t="shared" si="8"/>
        <v>399.78205437315972</v>
      </c>
      <c r="BI17" s="59">
        <f ca="1">AVERAGE(OFFSET($BH$3,0,0,'Données projet'!$E$11+1,1))-AVERAGE(OFFSET($H$3,0,0,'Données projet'!$E$11+1,1))</f>
        <v>273.84349636755343</v>
      </c>
      <c r="BJ17" s="59">
        <f t="shared" si="38"/>
        <v>268.10688874775451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23</v>
      </c>
      <c r="BY17" s="12">
        <f>IF('Données projet'!$A$114&gt;35,BY16+BX17-CG16,IF(A17&lt;'Données projet'!$A$114,$BV$205^A17,IF(A17='Données projet'!$A$114,'Données projet'!$B$114,BY16+BX17-CG16)))</f>
        <v>131</v>
      </c>
      <c r="BZ17" s="13">
        <f>BY17*VLOOKUP('Données projet'!$B$12,Paramètres!$A$1:$I$89,3,0)*VLOOKUP('Données projet'!$B$12,Paramètres!$A$1:$I$89,5,0)</f>
        <v>81.744</v>
      </c>
      <c r="CA17" s="13">
        <f t="shared" si="39"/>
        <v>22.563064513367394</v>
      </c>
      <c r="CB17" s="20">
        <f t="shared" si="10"/>
        <v>181.66813736078151</v>
      </c>
      <c r="CC17" s="59">
        <f t="shared" si="11"/>
        <v>475.0014706941148</v>
      </c>
      <c r="CD17" s="59">
        <f ca="1">AVERAGE(OFFSET($CC$3,0,0,'Données projet'!$E$12+1,1))-AVERAGE(OFFSET($H$3,0,0,'Données projet'!$E$12+1,1))</f>
        <v>269.77739619445515</v>
      </c>
      <c r="CE17" s="59">
        <f t="shared" si="40"/>
        <v>347.56964743629885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6.358616582908633</v>
      </c>
      <c r="CN17" s="22">
        <f t="shared" si="12"/>
        <v>6.358616582908633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56</v>
      </c>
      <c r="L18" s="12">
        <f>VLOOKUP(A18,'Données projet'!$A$35:$I$55,9,0)</f>
        <v>3.7333333333333334</v>
      </c>
      <c r="M18" s="12">
        <f t="array" ref="M18">INDEX(L:L,MIN(IF(ISNUMBER(L18:L214),ROW(L18:L214),"")))</f>
        <v>3.7333333333333334</v>
      </c>
      <c r="N18" s="13">
        <f>IF('Données projet'!$A$36&gt;35,N17+M18-V17,IF(A18&lt;'Données projet'!$A$36,$K$205^A18,IF(A18='Données projet'!$A$36,'Données projet'!$B$36,N17+M18-V17)))</f>
        <v>56</v>
      </c>
      <c r="O18" s="13">
        <f>N18*VLOOKUP('Données projet'!$B$9,Paramètres!$A$1:$I$89,3,0)*VLOOKUP('Données projet'!$B$9,Paramètres!$A$1:$I$89,5,0)</f>
        <v>27.664000000000001</v>
      </c>
      <c r="P18" s="13">
        <f t="shared" si="33"/>
        <v>8.6621986186436075</v>
      </c>
      <c r="Q18" s="20">
        <f t="shared" si="2"/>
        <v>63.26812926080428</v>
      </c>
      <c r="R18" s="59">
        <f t="shared" si="0"/>
        <v>356.60146259413762</v>
      </c>
      <c r="S18" s="59">
        <f ca="1">AVERAGE(OFFSET($R$3,0,0,'Données projet'!$E$9+1,1))-AVERAGE(OFFSET($H$3,0,0,'Données projet'!$E$9+1,1))</f>
        <v>434.08297999735811</v>
      </c>
      <c r="T18" s="59">
        <f t="shared" si="34"/>
        <v>371.04090283546122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444.35103998081797</v>
      </c>
      <c r="AN18" s="59">
        <f ca="1">AVERAGE(OFFSET($AM$3,0,0,'Données projet'!$E$10+1,1))-AVERAGE(OFFSET($H$3,0,0,'Données projet'!$E$10+1,1))</f>
        <v>331.52724290297675</v>
      </c>
      <c r="AO18" s="59">
        <f t="shared" si="36"/>
        <v>322.79102610158054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57.018000000000001</v>
      </c>
      <c r="BF18" s="13">
        <f t="shared" si="37"/>
        <v>16.412103612717626</v>
      </c>
      <c r="BG18" s="20">
        <f t="shared" si="7"/>
        <v>127.89076379214985</v>
      </c>
      <c r="BH18" s="59">
        <f t="shared" si="8"/>
        <v>421.22409712548318</v>
      </c>
      <c r="BI18" s="59">
        <f ca="1">AVERAGE(OFFSET($BH$3,0,0,'Données projet'!$E$11+1,1))-AVERAGE(OFFSET($H$3,0,0,'Données projet'!$E$11+1,1))</f>
        <v>273.84349636755343</v>
      </c>
      <c r="BJ18" s="59">
        <f t="shared" si="38"/>
        <v>268.10688874775451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23</v>
      </c>
      <c r="BY18" s="12">
        <f>IF('Données projet'!$A$114&gt;35,BY17+BX18-CG17,IF(A18&lt;'Données projet'!$A$114,$BV$205^A18,IF(A18='Données projet'!$A$114,'Données projet'!$B$114,BY17+BX18-CG17)))</f>
        <v>154</v>
      </c>
      <c r="BZ18" s="13">
        <f>BY18*VLOOKUP('Données projet'!$B$12,Paramètres!$A$1:$I$89,3,0)*VLOOKUP('Données projet'!$B$12,Paramètres!$A$1:$I$89,5,0)</f>
        <v>96.096000000000004</v>
      </c>
      <c r="CA18" s="13">
        <f t="shared" si="39"/>
        <v>26.029778784173352</v>
      </c>
      <c r="CB18" s="20">
        <f t="shared" si="10"/>
        <v>212.70239804910193</v>
      </c>
      <c r="CC18" s="59">
        <f t="shared" si="11"/>
        <v>506.03573138243524</v>
      </c>
      <c r="CD18" s="59">
        <f ca="1">AVERAGE(OFFSET($CC$3,0,0,'Données projet'!$E$12+1,1))-AVERAGE(OFFSET($H$3,0,0,'Données projet'!$E$12+1,1))</f>
        <v>269.77739619445515</v>
      </c>
      <c r="CE18" s="59">
        <f t="shared" si="40"/>
        <v>347.56964743629885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4.4962209047399275</v>
      </c>
      <c r="CN18" s="22">
        <f t="shared" si="12"/>
        <v>4.4962209047399275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25.8</v>
      </c>
      <c r="N19" s="13">
        <f>IF('Données projet'!$A$36&gt;35,N18+M19-V18,IF(A19&lt;'Données projet'!$A$36,$K$205^A19,IF(A19='Données projet'!$A$36,'Données projet'!$B$36,N18+M19-V18)))</f>
        <v>81.8</v>
      </c>
      <c r="O19" s="13">
        <f>N19*VLOOKUP('Données projet'!$B$9,Paramètres!$A$1:$I$89,3,0)*VLOOKUP('Données projet'!$B$9,Paramètres!$A$1:$I$89,5,0)</f>
        <v>40.409199999999998</v>
      </c>
      <c r="P19" s="13">
        <f t="shared" si="33"/>
        <v>12.107041081610836</v>
      </c>
      <c r="Q19" s="20">
        <f t="shared" si="2"/>
        <v>91.465786550472217</v>
      </c>
      <c r="R19" s="59">
        <f t="shared" si="0"/>
        <v>384.79911988380553</v>
      </c>
      <c r="S19" s="59">
        <f ca="1">AVERAGE(OFFSET($R$3,0,0,'Données projet'!$E$9+1,1))-AVERAGE(OFFSET($H$3,0,0,'Données projet'!$E$9+1,1))</f>
        <v>434.08297999735811</v>
      </c>
      <c r="T19" s="59">
        <f t="shared" si="34"/>
        <v>371.04090283546122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399.15895823575607</v>
      </c>
      <c r="AN19" s="59">
        <f ca="1">AVERAGE(OFFSET($AM$3,0,0,'Données projet'!$E$10+1,1))-AVERAGE(OFFSET($H$3,0,0,'Données projet'!$E$10+1,1))</f>
        <v>331.52724290297675</v>
      </c>
      <c r="AO19" s="59">
        <f t="shared" si="36"/>
        <v>322.79102610158054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39.577200000000005</v>
      </c>
      <c r="BF19" s="13">
        <f t="shared" si="37"/>
        <v>11.886514509066235</v>
      </c>
      <c r="BG19" s="20">
        <f t="shared" si="7"/>
        <v>89.632636103290352</v>
      </c>
      <c r="BH19" s="59">
        <f t="shared" si="8"/>
        <v>382.96596943662365</v>
      </c>
      <c r="BI19" s="59">
        <f ca="1">AVERAGE(OFFSET($BH$3,0,0,'Données projet'!$E$11+1,1))-AVERAGE(OFFSET($H$3,0,0,'Données projet'!$E$11+1,1))</f>
        <v>273.84349636755343</v>
      </c>
      <c r="BJ19" s="59">
        <f t="shared" si="38"/>
        <v>268.10688874775451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23</v>
      </c>
      <c r="BY19" s="12">
        <f>IF('Données projet'!$A$114&gt;35,BY18+BX19-CG18,IF(A19&lt;'Données projet'!$A$114,$BV$205^A19,IF(A19='Données projet'!$A$114,'Données projet'!$B$114,BY18+BX19-CG18)))</f>
        <v>177</v>
      </c>
      <c r="BZ19" s="13">
        <f>BY19*VLOOKUP('Données projet'!$B$12,Paramètres!$A$1:$I$89,3,0)*VLOOKUP('Données projet'!$B$12,Paramètres!$A$1:$I$89,5,0)</f>
        <v>110.44799999999999</v>
      </c>
      <c r="CA19" s="13">
        <f t="shared" si="39"/>
        <v>29.436511885319565</v>
      </c>
      <c r="CB19" s="20">
        <f t="shared" si="10"/>
        <v>243.63219153359822</v>
      </c>
      <c r="CC19" s="59">
        <f t="shared" si="11"/>
        <v>536.96552486693156</v>
      </c>
      <c r="CD19" s="59">
        <f ca="1">AVERAGE(OFFSET($CC$3,0,0,'Données projet'!$E$12+1,1))-AVERAGE(OFFSET($H$3,0,0,'Données projet'!$E$12+1,1))</f>
        <v>269.77739619445515</v>
      </c>
      <c r="CE19" s="59">
        <f t="shared" si="40"/>
        <v>347.56964743629885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3.1793082914543169</v>
      </c>
      <c r="CN19" s="22">
        <f t="shared" si="12"/>
        <v>3.1793082914543169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25.8</v>
      </c>
      <c r="N20" s="13">
        <f>IF('Données projet'!$A$36&gt;35,N19+M20-V19,IF(A20&lt;'Données projet'!$A$36,$K$205^A20,IF(A20='Données projet'!$A$36,'Données projet'!$B$36,N19+M20-V19)))</f>
        <v>107.6</v>
      </c>
      <c r="O20" s="13">
        <f>N20*VLOOKUP('Données projet'!$B$9,Paramètres!$A$1:$I$89,3,0)*VLOOKUP('Données projet'!$B$9,Paramètres!$A$1:$I$89,5,0)</f>
        <v>53.154400000000003</v>
      </c>
      <c r="P20" s="13">
        <f t="shared" si="33"/>
        <v>15.425474064108334</v>
      </c>
      <c r="Q20" s="20">
        <f t="shared" si="2"/>
        <v>119.44328066165535</v>
      </c>
      <c r="R20" s="59">
        <f t="shared" si="0"/>
        <v>412.77661399498868</v>
      </c>
      <c r="S20" s="59">
        <f ca="1">AVERAGE(OFFSET($R$3,0,0,'Données projet'!$E$9+1,1))-AVERAGE(OFFSET($H$3,0,0,'Données projet'!$E$9+1,1))</f>
        <v>434.08297999735811</v>
      </c>
      <c r="T20" s="59">
        <f t="shared" si="34"/>
        <v>371.04090283546122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427.0146237532299</v>
      </c>
      <c r="AN20" s="59">
        <f ca="1">AVERAGE(OFFSET($AM$3,0,0,'Données projet'!$E$10+1,1))-AVERAGE(OFFSET($H$3,0,0,'Données projet'!$E$10+1,1))</f>
        <v>331.52724290297675</v>
      </c>
      <c r="AO20" s="59">
        <f t="shared" si="36"/>
        <v>322.79102610158054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50.31</v>
      </c>
      <c r="BF20" s="13">
        <f t="shared" si="37"/>
        <v>14.693789693291551</v>
      </c>
      <c r="BG20" s="20">
        <f t="shared" si="7"/>
        <v>113.21493371581612</v>
      </c>
      <c r="BH20" s="59">
        <f t="shared" si="8"/>
        <v>406.54826704914944</v>
      </c>
      <c r="BI20" s="59">
        <f ca="1">AVERAGE(OFFSET($BH$3,0,0,'Données projet'!$E$11+1,1))-AVERAGE(OFFSET($H$3,0,0,'Données projet'!$E$11+1,1))</f>
        <v>273.84349636755343</v>
      </c>
      <c r="BJ20" s="59">
        <f t="shared" si="38"/>
        <v>268.10688874775451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23</v>
      </c>
      <c r="BY20" s="12">
        <f>IF('Données projet'!$A$114&gt;35,BY19+BX20-CG19,IF(A20&lt;'Données projet'!$A$114,$BV$205^A20,IF(A20='Données projet'!$A$114,'Données projet'!$B$114,BY19+BX20-CG19)))</f>
        <v>200</v>
      </c>
      <c r="BZ20" s="13">
        <f>BY20*VLOOKUP('Données projet'!$B$12,Paramètres!$A$1:$I$89,3,0)*VLOOKUP('Données projet'!$B$12,Paramètres!$A$1:$I$89,5,0)</f>
        <v>124.80000000000001</v>
      </c>
      <c r="CA20" s="13">
        <f t="shared" si="39"/>
        <v>32.791952217579265</v>
      </c>
      <c r="CB20" s="20">
        <f t="shared" si="10"/>
        <v>274.47265011228387</v>
      </c>
      <c r="CC20" s="59">
        <f t="shared" si="11"/>
        <v>567.80598344561713</v>
      </c>
      <c r="CD20" s="59">
        <f ca="1">AVERAGE(OFFSET($CC$3,0,0,'Données projet'!$E$12+1,1))-AVERAGE(OFFSET($H$3,0,0,'Données projet'!$E$12+1,1))</f>
        <v>269.77739619445515</v>
      </c>
      <c r="CE20" s="59">
        <f t="shared" si="40"/>
        <v>347.56964743629885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2.2481104523699642</v>
      </c>
      <c r="CN20" s="22">
        <f t="shared" si="12"/>
        <v>2.2481104523699642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25.8</v>
      </c>
      <c r="N21" s="13">
        <f>IF('Données projet'!$A$36&gt;35,N20+M21-V20,IF(A21&lt;'Données projet'!$A$36,$K$205^A21,IF(A21='Données projet'!$A$36,'Données projet'!$B$36,N20+M21-V20)))</f>
        <v>133.4</v>
      </c>
      <c r="O21" s="13">
        <f>N21*VLOOKUP('Données projet'!$B$9,Paramètres!$A$1:$I$89,3,0)*VLOOKUP('Données projet'!$B$9,Paramètres!$A$1:$I$89,5,0)</f>
        <v>65.899600000000007</v>
      </c>
      <c r="P21" s="13">
        <f t="shared" si="33"/>
        <v>18.651634138580526</v>
      </c>
      <c r="Q21" s="20">
        <f t="shared" si="2"/>
        <v>147.26006612469442</v>
      </c>
      <c r="R21" s="59">
        <f t="shared" si="0"/>
        <v>440.59339945802776</v>
      </c>
      <c r="S21" s="59">
        <f ca="1">AVERAGE(OFFSET($R$3,0,0,'Données projet'!$E$9+1,1))-AVERAGE(OFFSET($H$3,0,0,'Données projet'!$E$9+1,1))</f>
        <v>434.08297999735811</v>
      </c>
      <c r="T21" s="59">
        <f t="shared" si="34"/>
        <v>371.04090283546122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454.72973221697941</v>
      </c>
      <c r="AN21" s="59">
        <f ca="1">AVERAGE(OFFSET($AM$3,0,0,'Données projet'!$E$10+1,1))-AVERAGE(OFFSET($H$3,0,0,'Données projet'!$E$10+1,1))</f>
        <v>331.52724290297675</v>
      </c>
      <c r="AO21" s="59">
        <f t="shared" si="36"/>
        <v>322.79102610158054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61.042800000000007</v>
      </c>
      <c r="BF21" s="13">
        <f t="shared" si="37"/>
        <v>17.431656590722341</v>
      </c>
      <c r="BG21" s="20">
        <f t="shared" si="7"/>
        <v>136.67634522884143</v>
      </c>
      <c r="BH21" s="59">
        <f t="shared" si="8"/>
        <v>430.00967856217471</v>
      </c>
      <c r="BI21" s="59">
        <f ca="1">AVERAGE(OFFSET($BH$3,0,0,'Données projet'!$E$11+1,1))-AVERAGE(OFFSET($H$3,0,0,'Données projet'!$E$11+1,1))</f>
        <v>273.84349636755343</v>
      </c>
      <c r="BJ21" s="59">
        <f t="shared" si="38"/>
        <v>268.10688874775451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223</v>
      </c>
      <c r="BW21" s="12">
        <f>VLOOKUP(A21,'Données projet'!$A$113:$I$133,9,0)</f>
        <v>23</v>
      </c>
      <c r="BX21" s="12">
        <f t="array" ref="BX21">INDEX(BW:BW,MIN(IF(ISNUMBER(BW21:BW217),ROW(BW21:BW217),"")))</f>
        <v>23</v>
      </c>
      <c r="BY21" s="12">
        <f>IF('Données projet'!$A$114&gt;35,BY20+BX21-CG20,IF(A21&lt;'Données projet'!$A$114,$BV$205^A21,IF(A21='Données projet'!$A$114,'Données projet'!$B$114,BY20+BX21-CG20)))</f>
        <v>223</v>
      </c>
      <c r="BZ21" s="13">
        <f>BY21*VLOOKUP('Données projet'!$B$12,Paramètres!$A$1:$I$89,3,0)*VLOOKUP('Données projet'!$B$12,Paramètres!$A$1:$I$89,5,0)</f>
        <v>139.15199999999999</v>
      </c>
      <c r="CA21" s="13">
        <f t="shared" si="39"/>
        <v>36.102671964783006</v>
      </c>
      <c r="CB21" s="20">
        <f t="shared" si="10"/>
        <v>305.23522033866374</v>
      </c>
      <c r="CC21" s="59">
        <f t="shared" si="11"/>
        <v>598.56855367199705</v>
      </c>
      <c r="CD21" s="59">
        <f ca="1">AVERAGE(OFFSET($CC$3,0,0,'Données projet'!$E$12+1,1))-AVERAGE(OFFSET($H$3,0,0,'Données projet'!$E$12+1,1))</f>
        <v>269.77739619445515</v>
      </c>
      <c r="CE21" s="59">
        <f t="shared" si="40"/>
        <v>347.56964743629885</v>
      </c>
      <c r="CF21" s="15">
        <f>IF(ISNA(VLOOKUP(A21,'Données projet'!$A$113:$I$133,3,0)),0,VLOOKUP(A21,'Données projet'!$A$113:$I$133,3,0))</f>
        <v>2</v>
      </c>
      <c r="CG21" s="15">
        <f>IF(ISNA(VLOOKUP(A21,'Données projet'!$A$113:$I$133,4,0)),0,VLOOKUP(A21,'Données projet'!$A$113:$I$133,4,0))</f>
        <v>84.3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0.6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41.704067321283624</v>
      </c>
      <c r="CM21" s="21">
        <f>EXP(-LN(2)/2)*CM20+(1-EXP(-LN(2)/2))/(LN(2)/2)*CG21*CJ21*VLOOKUP('Données projet'!$B$12,Paramètres!$A$1:$I$89,3,0)*0.475*44/12</f>
        <v>1.5896541457271587</v>
      </c>
      <c r="CN21" s="22">
        <f t="shared" si="12"/>
        <v>43.293721467010783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25.8</v>
      </c>
      <c r="N22" s="13">
        <f>IF('Données projet'!$A$36&gt;35,N21+M22-V21,IF(A22&lt;'Données projet'!$A$36,$K$205^A22,IF(A22='Données projet'!$A$36,'Données projet'!$B$36,N21+M22-V21)))</f>
        <v>159.20000000000002</v>
      </c>
      <c r="O22" s="13">
        <f>N22*VLOOKUP('Données projet'!$B$9,Paramètres!$A$1:$I$89,3,0)*VLOOKUP('Données projet'!$B$9,Paramètres!$A$1:$I$89,5,0)</f>
        <v>78.644800000000018</v>
      </c>
      <c r="P22" s="13">
        <f t="shared" si="33"/>
        <v>21.80550192131771</v>
      </c>
      <c r="Q22" s="20">
        <f t="shared" si="2"/>
        <v>174.95094251296169</v>
      </c>
      <c r="R22" s="59">
        <f t="shared" si="0"/>
        <v>468.28427584629503</v>
      </c>
      <c r="S22" s="59">
        <f ca="1">AVERAGE(OFFSET($R$3,0,0,'Données projet'!$E$9+1,1))-AVERAGE(OFFSET($H$3,0,0,'Données projet'!$E$9+1,1))</f>
        <v>434.08297999735811</v>
      </c>
      <c r="T22" s="59">
        <f t="shared" si="34"/>
        <v>371.04090283546122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482.33190877094154</v>
      </c>
      <c r="AN22" s="59">
        <f ca="1">AVERAGE(OFFSET($AM$3,0,0,'Données projet'!$E$10+1,1))-AVERAGE(OFFSET($H$3,0,0,'Données projet'!$E$10+1,1))</f>
        <v>331.52724290297675</v>
      </c>
      <c r="AO22" s="59">
        <f t="shared" si="36"/>
        <v>322.79102610158054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71.775599999999997</v>
      </c>
      <c r="BF22" s="13">
        <f t="shared" si="37"/>
        <v>20.113756735968991</v>
      </c>
      <c r="BG22" s="20">
        <f t="shared" si="7"/>
        <v>160.04062964847932</v>
      </c>
      <c r="BH22" s="59">
        <f t="shared" si="8"/>
        <v>453.37396298181261</v>
      </c>
      <c r="BI22" s="59">
        <f ca="1">AVERAGE(OFFSET($BH$3,0,0,'Données projet'!$E$11+1,1))-AVERAGE(OFFSET($H$3,0,0,'Données projet'!$E$11+1,1))</f>
        <v>273.84349636755343</v>
      </c>
      <c r="BJ22" s="59">
        <f t="shared" si="38"/>
        <v>268.10688874775451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19.216666666666669</v>
      </c>
      <c r="BY22" s="12">
        <f>IF('Données projet'!$A$114&gt;35,BY21+BX22-CG21,IF(A22&lt;'Données projet'!$A$114,$BV$205^A22,IF(A22='Données projet'!$A$114,'Données projet'!$B$114,BY21+BX22-CG21)))</f>
        <v>157.91666666666669</v>
      </c>
      <c r="BZ22" s="13">
        <f>BY22*VLOOKUP('Données projet'!$B$12,Paramètres!$A$1:$I$89,3,0)*VLOOKUP('Données projet'!$B$12,Paramètres!$A$1:$I$89,5,0)</f>
        <v>98.54000000000002</v>
      </c>
      <c r="CA22" s="13">
        <f t="shared" si="39"/>
        <v>26.613875509207226</v>
      </c>
      <c r="CB22" s="20">
        <f t="shared" si="10"/>
        <v>217.97633317853592</v>
      </c>
      <c r="CC22" s="59">
        <f t="shared" si="11"/>
        <v>511.30966651186924</v>
      </c>
      <c r="CD22" s="59">
        <f ca="1">AVERAGE(OFFSET($CC$3,0,0,'Données projet'!$E$12+1,1))-AVERAGE(OFFSET($H$3,0,0,'Données projet'!$E$12+1,1))</f>
        <v>269.77739619445515</v>
      </c>
      <c r="CE22" s="59">
        <f t="shared" si="40"/>
        <v>347.56964743629885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40.563667407261541</v>
      </c>
      <c r="CM22" s="21">
        <f>EXP(-LN(2)/2)*CM21+(1-EXP(-LN(2)/2))/(LN(2)/2)*CG22*CJ22*VLOOKUP('Données projet'!$B$12,Paramètres!$A$1:$I$89,3,0)*0.475*44/12</f>
        <v>1.1240552261849821</v>
      </c>
      <c r="CN22" s="22">
        <f t="shared" si="12"/>
        <v>41.687722633446526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185</v>
      </c>
      <c r="L23" s="12">
        <f>VLOOKUP(A23,'Données projet'!$A$35:$I$55,9,0)</f>
        <v>25.8</v>
      </c>
      <c r="M23" s="12">
        <f t="array" ref="M23">INDEX(L:L,MIN(IF(ISNUMBER(L23:L219),ROW(L23:L219),"")))</f>
        <v>25.8</v>
      </c>
      <c r="N23" s="13">
        <f>IF('Données projet'!$A$36&gt;35,N22+M23-V22,IF(A23&lt;'Données projet'!$A$36,$K$205^A23,IF(A23='Données projet'!$A$36,'Données projet'!$B$36,N22+M23-V22)))</f>
        <v>185.00000000000003</v>
      </c>
      <c r="O23" s="13">
        <f>N23*VLOOKUP('Données projet'!$B$9,Paramètres!$A$1:$I$89,3,0)*VLOOKUP('Données projet'!$B$9,Paramètres!$A$1:$I$89,5,0)</f>
        <v>91.390000000000015</v>
      </c>
      <c r="P23" s="13">
        <f t="shared" si="33"/>
        <v>24.900159909488206</v>
      </c>
      <c r="Q23" s="20">
        <f t="shared" si="2"/>
        <v>202.53869517569197</v>
      </c>
      <c r="R23" s="59">
        <f t="shared" si="0"/>
        <v>495.87202850902531</v>
      </c>
      <c r="S23" s="59">
        <f ca="1">AVERAGE(OFFSET($R$3,0,0,'Données projet'!$E$9+1,1))-AVERAGE(OFFSET($H$3,0,0,'Données projet'!$E$9+1,1))</f>
        <v>434.08297999735811</v>
      </c>
      <c r="T23" s="59">
        <f t="shared" si="34"/>
        <v>371.04090283546122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24.050878464057188</v>
      </c>
      <c r="AC23" s="22">
        <f t="shared" si="3"/>
        <v>24.050878464057188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509.83999567143223</v>
      </c>
      <c r="AN23" s="59">
        <f ca="1">AVERAGE(OFFSET($AM$3,0,0,'Données projet'!$E$10+1,1))-AVERAGE(OFFSET($H$3,0,0,'Données projet'!$E$10+1,1))</f>
        <v>331.52724290297675</v>
      </c>
      <c r="AO23" s="59">
        <f t="shared" si="36"/>
        <v>322.79102610158054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82.508400000000009</v>
      </c>
      <c r="BF23" s="13">
        <f t="shared" si="37"/>
        <v>22.749394597897183</v>
      </c>
      <c r="BG23" s="20">
        <f t="shared" si="7"/>
        <v>183.32399225800427</v>
      </c>
      <c r="BH23" s="59">
        <f t="shared" si="8"/>
        <v>476.65732559133755</v>
      </c>
      <c r="BI23" s="59">
        <f ca="1">AVERAGE(OFFSET($BH$3,0,0,'Données projet'!$E$11+1,1))-AVERAGE(OFFSET($H$3,0,0,'Données projet'!$E$11+1,1))</f>
        <v>273.84349636755343</v>
      </c>
      <c r="BJ23" s="59">
        <f t="shared" si="38"/>
        <v>268.10688874775451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19.216666666666669</v>
      </c>
      <c r="BY23" s="12">
        <f>IF('Données projet'!$A$114&gt;35,BY22+BX23-CG22,IF(A23&lt;'Données projet'!$A$114,$BV$205^A23,IF(A23='Données projet'!$A$114,'Données projet'!$B$114,BY22+BX23-CG22)))</f>
        <v>177.13333333333335</v>
      </c>
      <c r="BZ23" s="13">
        <f>BY23*VLOOKUP('Données projet'!$B$12,Paramètres!$A$1:$I$89,3,0)*VLOOKUP('Données projet'!$B$12,Paramètres!$A$1:$I$89,5,0)</f>
        <v>110.5312</v>
      </c>
      <c r="CA23" s="13">
        <f t="shared" si="39"/>
        <v>29.456104323655921</v>
      </c>
      <c r="CB23" s="20">
        <f t="shared" si="10"/>
        <v>243.81122169703403</v>
      </c>
      <c r="CC23" s="59">
        <f t="shared" si="11"/>
        <v>537.14455503036731</v>
      </c>
      <c r="CD23" s="59">
        <f ca="1">AVERAGE(OFFSET($CC$3,0,0,'Données projet'!$E$12+1,1))-AVERAGE(OFFSET($H$3,0,0,'Données projet'!$E$12+1,1))</f>
        <v>269.77739619445515</v>
      </c>
      <c r="CE23" s="59">
        <f t="shared" si="40"/>
        <v>347.56964743629885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39.454451788859416</v>
      </c>
      <c r="CM23" s="21">
        <f>EXP(-LN(2)/2)*CM22+(1-EXP(-LN(2)/2))/(LN(2)/2)*CG23*CJ23*VLOOKUP('Données projet'!$B$12,Paramètres!$A$1:$I$89,3,0)*0.475*44/12</f>
        <v>0.79482707286357934</v>
      </c>
      <c r="CN23" s="22">
        <f t="shared" si="12"/>
        <v>40.249278861722992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30.4</v>
      </c>
      <c r="N24" s="13">
        <f>IF('Données projet'!$A$36&gt;35,N23+M24-V23,IF(A24&lt;'Données projet'!$A$36,$K$205^A24,IF(A24='Données projet'!$A$36,'Données projet'!$B$36,N23+M24-V23)))</f>
        <v>172.40000000000003</v>
      </c>
      <c r="O24" s="13">
        <f>N24*VLOOKUP('Données projet'!$B$9,Paramètres!$A$1:$I$89,3,0)*VLOOKUP('Données projet'!$B$9,Paramètres!$A$1:$I$89,5,0)</f>
        <v>85.165600000000026</v>
      </c>
      <c r="P24" s="13">
        <f t="shared" si="33"/>
        <v>23.395564104516954</v>
      </c>
      <c r="Q24" s="20">
        <f t="shared" si="2"/>
        <v>189.07736081536709</v>
      </c>
      <c r="R24" s="59">
        <f t="shared" si="0"/>
        <v>482.41069414870037</v>
      </c>
      <c r="S24" s="59">
        <f ca="1">AVERAGE(OFFSET($R$3,0,0,'Données projet'!$E$9+1,1))-AVERAGE(OFFSET($H$3,0,0,'Données projet'!$E$9+1,1))</f>
        <v>434.08297999735811</v>
      </c>
      <c r="T24" s="59">
        <f t="shared" si="34"/>
        <v>371.04090283546122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17.006539255428336</v>
      </c>
      <c r="AC24" s="22">
        <f t="shared" si="3"/>
        <v>17.006539255428336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466.47321315048032</v>
      </c>
      <c r="AN24" s="59">
        <f ca="1">AVERAGE(OFFSET($AM$3,0,0,'Données projet'!$E$10+1,1))-AVERAGE(OFFSET($H$3,0,0,'Données projet'!$E$10+1,1))</f>
        <v>331.52724290297675</v>
      </c>
      <c r="AO24" s="59">
        <f t="shared" si="36"/>
        <v>322.79102610158054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65.604240000000004</v>
      </c>
      <c r="BF24" s="13">
        <f t="shared" si="37"/>
        <v>18.577749363333837</v>
      </c>
      <c r="BG24" s="20">
        <f t="shared" si="7"/>
        <v>146.61696480780643</v>
      </c>
      <c r="BH24" s="59">
        <f t="shared" si="8"/>
        <v>439.95029814113974</v>
      </c>
      <c r="BI24" s="59">
        <f ca="1">AVERAGE(OFFSET($BH$3,0,0,'Données projet'!$E$11+1,1))-AVERAGE(OFFSET($H$3,0,0,'Données projet'!$E$11+1,1))</f>
        <v>273.84349636755343</v>
      </c>
      <c r="BJ24" s="59">
        <f t="shared" si="38"/>
        <v>268.10688874775451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19.216666666666669</v>
      </c>
      <c r="BY24" s="12">
        <f>IF('Données projet'!$A$114&gt;35,BY23+BX24-CG23,IF(A24&lt;'Données projet'!$A$114,$BV$205^A24,IF(A24='Données projet'!$A$114,'Données projet'!$B$114,BY23+BX24-CG23)))</f>
        <v>196.35000000000002</v>
      </c>
      <c r="BZ24" s="13">
        <f>BY24*VLOOKUP('Données projet'!$B$12,Paramètres!$A$1:$I$89,3,0)*VLOOKUP('Données projet'!$B$12,Paramètres!$A$1:$I$89,5,0)</f>
        <v>122.5224</v>
      </c>
      <c r="CA24" s="13">
        <f t="shared" si="39"/>
        <v>32.26259352430629</v>
      </c>
      <c r="CB24" s="20">
        <f t="shared" si="10"/>
        <v>269.58386372150011</v>
      </c>
      <c r="CC24" s="59">
        <f t="shared" si="11"/>
        <v>562.91719705483342</v>
      </c>
      <c r="CD24" s="59">
        <f ca="1">AVERAGE(OFFSET($CC$3,0,0,'Données projet'!$E$12+1,1))-AVERAGE(OFFSET($H$3,0,0,'Données projet'!$E$12+1,1))</f>
        <v>269.77739619445515</v>
      </c>
      <c r="CE24" s="59">
        <f t="shared" si="40"/>
        <v>347.56964743629885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38.375567729873609</v>
      </c>
      <c r="CM24" s="21">
        <f>EXP(-LN(2)/2)*CM23+(1-EXP(-LN(2)/2))/(LN(2)/2)*CG24*CJ24*VLOOKUP('Données projet'!$B$12,Paramètres!$A$1:$I$89,3,0)*0.475*44/12</f>
        <v>0.56202761309249105</v>
      </c>
      <c r="CN24" s="22">
        <f t="shared" si="12"/>
        <v>38.937595342966098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30.4</v>
      </c>
      <c r="N25" s="13">
        <f>IF('Données projet'!$A$36&gt;35,N24+M25-V24,IF(A25&lt;'Données projet'!$A$36,$K$205^A25,IF(A25='Données projet'!$A$36,'Données projet'!$B$36,N24+M25-V24)))</f>
        <v>202.80000000000004</v>
      </c>
      <c r="O25" s="13">
        <f>N25*VLOOKUP('Données projet'!$B$9,Paramètres!$A$1:$I$89,3,0)*VLOOKUP('Données projet'!$B$9,Paramètres!$A$1:$I$89,5,0)</f>
        <v>100.18320000000003</v>
      </c>
      <c r="P25" s="13">
        <f t="shared" si="33"/>
        <v>27.005637771733042</v>
      </c>
      <c r="Q25" s="20">
        <f t="shared" si="2"/>
        <v>221.52055911910176</v>
      </c>
      <c r="R25" s="59">
        <f t="shared" si="0"/>
        <v>514.85389245243505</v>
      </c>
      <c r="S25" s="59">
        <f ca="1">AVERAGE(OFFSET($R$3,0,0,'Données projet'!$E$9+1,1))-AVERAGE(OFFSET($H$3,0,0,'Données projet'!$E$9+1,1))</f>
        <v>434.08297999735811</v>
      </c>
      <c r="T25" s="59">
        <f t="shared" si="34"/>
        <v>371.04090283546122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12.025439232028596</v>
      </c>
      <c r="AC25" s="22">
        <f t="shared" si="3"/>
        <v>12.025439232028596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495.40905087938222</v>
      </c>
      <c r="AN25" s="59">
        <f ca="1">AVERAGE(OFFSET($AM$3,0,0,'Données projet'!$E$10+1,1))-AVERAGE(OFFSET($H$3,0,0,'Données projet'!$E$10+1,1))</f>
        <v>331.52724290297675</v>
      </c>
      <c r="AO25" s="59">
        <f t="shared" si="36"/>
        <v>322.79102610158054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76.873680000000007</v>
      </c>
      <c r="BF25" s="13">
        <f t="shared" si="37"/>
        <v>21.371018263850033</v>
      </c>
      <c r="BG25" s="20">
        <f t="shared" si="7"/>
        <v>171.10951614287214</v>
      </c>
      <c r="BH25" s="59">
        <f t="shared" si="8"/>
        <v>464.44284947620542</v>
      </c>
      <c r="BI25" s="59">
        <f ca="1">AVERAGE(OFFSET($BH$3,0,0,'Données projet'!$E$11+1,1))-AVERAGE(OFFSET($H$3,0,0,'Données projet'!$E$11+1,1))</f>
        <v>273.84349636755343</v>
      </c>
      <c r="BJ25" s="59">
        <f t="shared" si="38"/>
        <v>268.10688874775451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19.216666666666669</v>
      </c>
      <c r="BY25" s="12">
        <f>IF('Données projet'!$A$114&gt;35,BY24+BX25-CG24,IF(A25&lt;'Données projet'!$A$114,$BV$205^A25,IF(A25='Données projet'!$A$114,'Données projet'!$B$114,BY24+BX25-CG24)))</f>
        <v>215.56666666666669</v>
      </c>
      <c r="BZ25" s="13">
        <f>BY25*VLOOKUP('Données projet'!$B$12,Paramètres!$A$1:$I$89,3,0)*VLOOKUP('Données projet'!$B$12,Paramètres!$A$1:$I$89,5,0)</f>
        <v>134.51360000000003</v>
      </c>
      <c r="CA25" s="13">
        <f t="shared" si="39"/>
        <v>35.037238995886284</v>
      </c>
      <c r="CB25" s="20">
        <f t="shared" si="10"/>
        <v>295.30104458450194</v>
      </c>
      <c r="CC25" s="59">
        <f t="shared" si="11"/>
        <v>588.63437791783531</v>
      </c>
      <c r="CD25" s="59">
        <f ca="1">AVERAGE(OFFSET($CC$3,0,0,'Données projet'!$E$12+1,1))-AVERAGE(OFFSET($H$3,0,0,'Données projet'!$E$12+1,1))</f>
        <v>269.77739619445515</v>
      </c>
      <c r="CE25" s="59">
        <f t="shared" si="40"/>
        <v>347.56964743629885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37.326185812216814</v>
      </c>
      <c r="CM25" s="21">
        <f>EXP(-LN(2)/2)*CM24+(1-EXP(-LN(2)/2))/(LN(2)/2)*CG25*CJ25*VLOOKUP('Données projet'!$B$12,Paramètres!$A$1:$I$89,3,0)*0.475*44/12</f>
        <v>0.39741353643178967</v>
      </c>
      <c r="CN25" s="22">
        <f t="shared" si="12"/>
        <v>37.723599348648605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30.4</v>
      </c>
      <c r="N26" s="13">
        <f>IF('Données projet'!$A$36&gt;35,N25+M26-V25,IF(A26&lt;'Données projet'!$A$36,$K$205^A26,IF(A26='Données projet'!$A$36,'Données projet'!$B$36,N25+M26-V25)))</f>
        <v>233.20000000000005</v>
      </c>
      <c r="O26" s="13">
        <f>N26*VLOOKUP('Données projet'!$B$9,Paramètres!$A$1:$I$89,3,0)*VLOOKUP('Données projet'!$B$9,Paramètres!$A$1:$I$89,5,0)</f>
        <v>115.20080000000002</v>
      </c>
      <c r="P26" s="13">
        <f t="shared" si="33"/>
        <v>30.553019712341356</v>
      </c>
      <c r="Q26" s="20">
        <f t="shared" si="2"/>
        <v>253.85456933232786</v>
      </c>
      <c r="R26" s="59">
        <f t="shared" si="0"/>
        <v>547.18790266566111</v>
      </c>
      <c r="S26" s="59">
        <f ca="1">AVERAGE(OFFSET($R$3,0,0,'Données projet'!$E$9+1,1))-AVERAGE(OFFSET($H$3,0,0,'Données projet'!$E$9+1,1))</f>
        <v>434.08297999735811</v>
      </c>
      <c r="T26" s="59">
        <f t="shared" si="34"/>
        <v>371.04090283546122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8.5032696277141682</v>
      </c>
      <c r="AC26" s="22">
        <f t="shared" si="3"/>
        <v>8.5032696277141682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524.24882135455778</v>
      </c>
      <c r="AN26" s="59">
        <f ca="1">AVERAGE(OFFSET($AM$3,0,0,'Données projet'!$E$10+1,1))-AVERAGE(OFFSET($H$3,0,0,'Données projet'!$E$10+1,1))</f>
        <v>331.52724290297675</v>
      </c>
      <c r="AO26" s="59">
        <f t="shared" si="36"/>
        <v>322.79102610158054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88.14312000000001</v>
      </c>
      <c r="BF26" s="13">
        <f t="shared" si="37"/>
        <v>24.116848324965968</v>
      </c>
      <c r="BG26" s="20">
        <f t="shared" si="7"/>
        <v>195.5194448326491</v>
      </c>
      <c r="BH26" s="59">
        <f t="shared" si="8"/>
        <v>488.85277816598239</v>
      </c>
      <c r="BI26" s="59">
        <f ca="1">AVERAGE(OFFSET($BH$3,0,0,'Données projet'!$E$11+1,1))-AVERAGE(OFFSET($H$3,0,0,'Données projet'!$E$11+1,1))</f>
        <v>273.84349636755343</v>
      </c>
      <c r="BJ26" s="59">
        <f t="shared" si="38"/>
        <v>268.10688874775451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19.216666666666669</v>
      </c>
      <c r="BY26" s="12">
        <f>IF('Données projet'!$A$114&gt;35,BY25+BX26-CG25,IF(A26&lt;'Données projet'!$A$114,$BV$205^A26,IF(A26='Données projet'!$A$114,'Données projet'!$B$114,BY25+BX26-CG25)))</f>
        <v>234.78333333333336</v>
      </c>
      <c r="BZ26" s="13">
        <f>BY26*VLOOKUP('Données projet'!$B$12,Paramètres!$A$1:$I$89,3,0)*VLOOKUP('Données projet'!$B$12,Paramètres!$A$1:$I$89,5,0)</f>
        <v>146.50480000000002</v>
      </c>
      <c r="CA26" s="13">
        <f t="shared" si="39"/>
        <v>37.783202245862846</v>
      </c>
      <c r="CB26" s="20">
        <f t="shared" si="10"/>
        <v>320.9682705782111</v>
      </c>
      <c r="CC26" s="59">
        <f t="shared" si="11"/>
        <v>614.30160391154436</v>
      </c>
      <c r="CD26" s="59">
        <f ca="1">AVERAGE(OFFSET($CC$3,0,0,'Données projet'!$E$12+1,1))-AVERAGE(OFFSET($H$3,0,0,'Données projet'!$E$12+1,1))</f>
        <v>269.77739619445515</v>
      </c>
      <c r="CE26" s="59">
        <f t="shared" si="40"/>
        <v>347.56964743629885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36.305499298282946</v>
      </c>
      <c r="CM26" s="21">
        <f>EXP(-LN(2)/2)*CM25+(1-EXP(-LN(2)/2))/(LN(2)/2)*CG26*CJ26*VLOOKUP('Données projet'!$B$12,Paramètres!$A$1:$I$89,3,0)*0.475*44/12</f>
        <v>0.28101380654624553</v>
      </c>
      <c r="CN26" s="22">
        <f t="shared" si="12"/>
        <v>36.586513104829194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30.4</v>
      </c>
      <c r="N27" s="13">
        <f>IF('Données projet'!$A$36&gt;35,N26+M27-V26,IF(A27&lt;'Données projet'!$A$36,$K$205^A27,IF(A27='Données projet'!$A$36,'Données projet'!$B$36,N26+M27-V26)))</f>
        <v>263.60000000000002</v>
      </c>
      <c r="O27" s="13">
        <f>N27*VLOOKUP('Données projet'!$B$9,Paramètres!$A$1:$I$89,3,0)*VLOOKUP('Données projet'!$B$9,Paramètres!$A$1:$I$89,5,0)</f>
        <v>130.2184</v>
      </c>
      <c r="P27" s="13">
        <f t="shared" si="33"/>
        <v>34.046820228703304</v>
      </c>
      <c r="Q27" s="20">
        <f t="shared" si="2"/>
        <v>286.09525856499152</v>
      </c>
      <c r="R27" s="59">
        <f t="shared" si="0"/>
        <v>579.42859189832484</v>
      </c>
      <c r="S27" s="59">
        <f ca="1">AVERAGE(OFFSET($R$3,0,0,'Données projet'!$E$9+1,1))-AVERAGE(OFFSET($H$3,0,0,'Données projet'!$E$9+1,1))</f>
        <v>434.08297999735811</v>
      </c>
      <c r="T27" s="59">
        <f t="shared" si="34"/>
        <v>371.04090283546122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6.0127196160142979</v>
      </c>
      <c r="AC27" s="22">
        <f t="shared" si="3"/>
        <v>6.0127196160142979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553.0062152438727</v>
      </c>
      <c r="AN27" s="59">
        <f ca="1">AVERAGE(OFFSET($AM$3,0,0,'Données projet'!$E$10+1,1))-AVERAGE(OFFSET($H$3,0,0,'Données projet'!$E$10+1,1))</f>
        <v>331.52724290297675</v>
      </c>
      <c r="AO27" s="59">
        <f t="shared" si="36"/>
        <v>322.79102610158054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99.412560000000013</v>
      </c>
      <c r="BF27" s="13">
        <f t="shared" si="37"/>
        <v>26.822000116688319</v>
      </c>
      <c r="BG27" s="20">
        <f t="shared" si="7"/>
        <v>219.85852553656548</v>
      </c>
      <c r="BH27" s="59">
        <f t="shared" si="8"/>
        <v>513.19185886989885</v>
      </c>
      <c r="BI27" s="59">
        <f ca="1">AVERAGE(OFFSET($BH$3,0,0,'Données projet'!$E$11+1,1))-AVERAGE(OFFSET($H$3,0,0,'Données projet'!$E$11+1,1))</f>
        <v>273.84349636755343</v>
      </c>
      <c r="BJ27" s="59">
        <f t="shared" si="38"/>
        <v>268.10688874775451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254</v>
      </c>
      <c r="BW27" s="12">
        <f>VLOOKUP(A27,'Données projet'!$A$113:$I$133,9,0)</f>
        <v>19.216666666666669</v>
      </c>
      <c r="BX27" s="12">
        <f t="array" ref="BX27">INDEX(BW:BW,MIN(IF(ISNUMBER(BW27:BW223),ROW(BW27:BW223),"")))</f>
        <v>19.216666666666669</v>
      </c>
      <c r="BY27" s="12">
        <f>IF('Données projet'!$A$114&gt;35,BY26+BX27-CG26,IF(A27&lt;'Données projet'!$A$114,$BV$205^A27,IF(A27='Données projet'!$A$114,'Données projet'!$B$114,BY26+BX27-CG26)))</f>
        <v>254.00000000000003</v>
      </c>
      <c r="BZ27" s="13">
        <f>BY27*VLOOKUP('Données projet'!$B$12,Paramètres!$A$1:$I$89,3,0)*VLOOKUP('Données projet'!$B$12,Paramètres!$A$1:$I$89,5,0)</f>
        <v>158.49600000000004</v>
      </c>
      <c r="CA27" s="13">
        <f t="shared" si="39"/>
        <v>40.503097769376929</v>
      </c>
      <c r="CB27" s="20">
        <f t="shared" si="10"/>
        <v>346.59009528166484</v>
      </c>
      <c r="CC27" s="59">
        <f t="shared" si="11"/>
        <v>639.9234286149981</v>
      </c>
      <c r="CD27" s="59">
        <f ca="1">AVERAGE(OFFSET($CC$3,0,0,'Données projet'!$E$12+1,1))-AVERAGE(OFFSET($H$3,0,0,'Données projet'!$E$12+1,1))</f>
        <v>269.77739619445515</v>
      </c>
      <c r="CE27" s="59">
        <f t="shared" si="40"/>
        <v>347.56964743629885</v>
      </c>
      <c r="CF27" s="15">
        <f>IF(ISNA(VLOOKUP(A27,'Données projet'!$A$113:$I$133,3,0)),0,VLOOKUP(A27,'Données projet'!$A$113:$I$133,3,0))</f>
        <v>3</v>
      </c>
      <c r="CG27" s="15">
        <f>IF(ISNA(VLOOKUP(A27,'Données projet'!$A$113:$I$133,4,0)),0,VLOOKUP(A27,'Données projet'!$A$113:$I$133,4,0))</f>
        <v>73.7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0.6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71.77286303125355</v>
      </c>
      <c r="CM27" s="21">
        <f>EXP(-LN(2)/2)*CM26+(1-EXP(-LN(2)/2))/(LN(2)/2)*CG27*CJ27*VLOOKUP('Données projet'!$B$12,Paramètres!$A$1:$I$89,3,0)*0.475*44/12</f>
        <v>0.19870676821589484</v>
      </c>
      <c r="CN27" s="22">
        <f t="shared" si="12"/>
        <v>71.971569799469449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294</v>
      </c>
      <c r="L28" s="12">
        <f>VLOOKUP(A28,'Données projet'!$A$35:$I$55,9,0)</f>
        <v>30.4</v>
      </c>
      <c r="M28" s="12">
        <f t="array" ref="M28">INDEX(L:L,MIN(IF(ISNUMBER(L28:L224),ROW(L28:L224),"")))</f>
        <v>30.4</v>
      </c>
      <c r="N28" s="13">
        <f>IF('Données projet'!$A$36&gt;35,N27+M28-V27,IF(A28&lt;'Données projet'!$A$36,$K$205^A28,IF(A28='Données projet'!$A$36,'Données projet'!$B$36,N27+M28-V27)))</f>
        <v>294</v>
      </c>
      <c r="O28" s="13">
        <f>N28*VLOOKUP('Données projet'!$B$9,Paramètres!$A$1:$I$89,3,0)*VLOOKUP('Données projet'!$B$9,Paramètres!$A$1:$I$89,5,0)</f>
        <v>145.23599999999999</v>
      </c>
      <c r="P28" s="13">
        <f t="shared" si="33"/>
        <v>37.493924289345522</v>
      </c>
      <c r="Q28" s="20">
        <f t="shared" si="2"/>
        <v>318.25461813727674</v>
      </c>
      <c r="R28" s="59">
        <f t="shared" si="0"/>
        <v>611.58795147061005</v>
      </c>
      <c r="S28" s="59">
        <f ca="1">AVERAGE(OFFSET($R$3,0,0,'Données projet'!$E$9+1,1))-AVERAGE(OFFSET($H$3,0,0,'Données projet'!$E$9+1,1))</f>
        <v>434.08297999735811</v>
      </c>
      <c r="T28" s="59">
        <f t="shared" si="34"/>
        <v>371.04090283546122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27.64364848595531</v>
      </c>
      <c r="AB28" s="21">
        <f>EXP(-LN(2)/2)*AB27+(1-EXP(-LN(2)/2))/(LN(2)/2)*V28*Y28*VLOOKUP('Données projet'!$B$9,Paramètres!$A$1:$I$89,3,0)*0.475*44/12</f>
        <v>4.2516348138570841</v>
      </c>
      <c r="AC28" s="22">
        <f t="shared" si="3"/>
        <v>31.895283299812395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581.6916365875195</v>
      </c>
      <c r="AN28" s="59">
        <f ca="1">AVERAGE(OFFSET($AM$3,0,0,'Données projet'!$E$10+1,1))-AVERAGE(OFFSET($H$3,0,0,'Données projet'!$E$10+1,1))</f>
        <v>331.52724290297675</v>
      </c>
      <c r="AO28" s="59">
        <f t="shared" si="36"/>
        <v>322.79102610158054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110.68200000000003</v>
      </c>
      <c r="BF28" s="13">
        <f t="shared" si="37"/>
        <v>29.49161124389969</v>
      </c>
      <c r="BG28" s="20">
        <f t="shared" si="7"/>
        <v>244.13570624979198</v>
      </c>
      <c r="BH28" s="59">
        <f t="shared" si="8"/>
        <v>537.46903958312532</v>
      </c>
      <c r="BI28" s="59">
        <f ca="1">AVERAGE(OFFSET($BH$3,0,0,'Données projet'!$E$11+1,1))-AVERAGE(OFFSET($H$3,0,0,'Données projet'!$E$11+1,1))</f>
        <v>273.84349636755343</v>
      </c>
      <c r="BJ28" s="59">
        <f t="shared" si="38"/>
        <v>268.10688874775451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16.616666666666664</v>
      </c>
      <c r="BY28" s="12">
        <f>IF('Données projet'!$A$114&gt;35,BY27+BX28-CG27,IF(A28&lt;'Données projet'!$A$114,$BV$205^A28,IF(A28='Données projet'!$A$114,'Données projet'!$B$114,BY27+BX28-CG27)))</f>
        <v>196.91666666666669</v>
      </c>
      <c r="BZ28" s="13">
        <f>BY28*VLOOKUP('Données projet'!$B$12,Paramètres!$A$1:$I$89,3,0)*VLOOKUP('Données projet'!$B$12,Paramètres!$A$1:$I$89,5,0)</f>
        <v>122.87600000000002</v>
      </c>
      <c r="CA28" s="13">
        <f t="shared" si="39"/>
        <v>32.344851661523322</v>
      </c>
      <c r="CB28" s="20">
        <f t="shared" si="10"/>
        <v>270.34298331048649</v>
      </c>
      <c r="CC28" s="59">
        <f t="shared" si="11"/>
        <v>563.67631664381975</v>
      </c>
      <c r="CD28" s="59">
        <f ca="1">AVERAGE(OFFSET($CC$3,0,0,'Données projet'!$E$12+1,1))-AVERAGE(OFFSET($H$3,0,0,'Données projet'!$E$12+1,1))</f>
        <v>269.77739619445515</v>
      </c>
      <c r="CE28" s="59">
        <f t="shared" si="40"/>
        <v>347.56964743629885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69.81023031729309</v>
      </c>
      <c r="CM28" s="21">
        <f>EXP(-LN(2)/2)*CM27+(1-EXP(-LN(2)/2))/(LN(2)/2)*CG28*CJ28*VLOOKUP('Données projet'!$B$12,Paramètres!$A$1:$I$89,3,0)*0.475*44/12</f>
        <v>0.14050690327312276</v>
      </c>
      <c r="CN28" s="22">
        <f t="shared" si="12"/>
        <v>69.950737220566211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31.8</v>
      </c>
      <c r="N29" s="13">
        <f>IF('Données projet'!$A$36&gt;35,N28+M29-V28,IF(A29&lt;'Données projet'!$A$36,$K$205^A29,IF(A29='Données projet'!$A$36,'Données projet'!$B$36,N28+M29-V28)))</f>
        <v>248.8</v>
      </c>
      <c r="O29" s="13">
        <f>N29*VLOOKUP('Données projet'!$B$9,Paramètres!$A$1:$I$89,3,0)*VLOOKUP('Données projet'!$B$9,Paramètres!$A$1:$I$89,5,0)</f>
        <v>122.90720000000002</v>
      </c>
      <c r="P29" s="13">
        <f t="shared" si="33"/>
        <v>32.352108408527776</v>
      </c>
      <c r="Q29" s="20">
        <f t="shared" si="2"/>
        <v>270.40996214485261</v>
      </c>
      <c r="R29" s="59">
        <f t="shared" si="0"/>
        <v>563.74329547818593</v>
      </c>
      <c r="S29" s="59">
        <f ca="1">AVERAGE(OFFSET($R$3,0,0,'Données projet'!$E$9+1,1))-AVERAGE(OFFSET($H$3,0,0,'Données projet'!$E$9+1,1))</f>
        <v>434.08297999735811</v>
      </c>
      <c r="T29" s="59">
        <f t="shared" si="34"/>
        <v>371.04090283546122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26.887731464390569</v>
      </c>
      <c r="AB29" s="21">
        <f>EXP(-LN(2)/2)*AB28+(1-EXP(-LN(2)/2))/(LN(2)/2)*V29*Y29*VLOOKUP('Données projet'!$B$9,Paramètres!$A$1:$I$89,3,0)*0.475*44/12</f>
        <v>3.006359808007149</v>
      </c>
      <c r="AC29" s="22">
        <f t="shared" si="3"/>
        <v>29.894091272397716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537.95239149490544</v>
      </c>
      <c r="AN29" s="59">
        <f ca="1">AVERAGE(OFFSET($AM$3,0,0,'Données projet'!$E$10+1,1))-AVERAGE(OFFSET($H$3,0,0,'Données projet'!$E$10+1,1))</f>
        <v>331.52724290297675</v>
      </c>
      <c r="AO29" s="59">
        <f t="shared" si="36"/>
        <v>322.79102610158054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93.509520000000023</v>
      </c>
      <c r="BF29" s="13">
        <f t="shared" si="37"/>
        <v>25.409743099681585</v>
      </c>
      <c r="BG29" s="20">
        <f t="shared" si="7"/>
        <v>207.11771656527881</v>
      </c>
      <c r="BH29" s="59">
        <f t="shared" si="8"/>
        <v>500.45104989861215</v>
      </c>
      <c r="BI29" s="59">
        <f ca="1">AVERAGE(OFFSET($BH$3,0,0,'Données projet'!$E$11+1,1))-AVERAGE(OFFSET($H$3,0,0,'Données projet'!$E$11+1,1))</f>
        <v>273.84349636755343</v>
      </c>
      <c r="BJ29" s="59">
        <f t="shared" si="38"/>
        <v>268.10688874775451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16.616666666666664</v>
      </c>
      <c r="BY29" s="12">
        <f>IF('Données projet'!$A$114&gt;35,BY28+BX29-CG28,IF(A29&lt;'Données projet'!$A$114,$BV$205^A29,IF(A29='Données projet'!$A$114,'Données projet'!$B$114,BY28+BX29-CG28)))</f>
        <v>213.53333333333336</v>
      </c>
      <c r="BZ29" s="13">
        <f>BY29*VLOOKUP('Données projet'!$B$12,Paramètres!$A$1:$I$89,3,0)*VLOOKUP('Données projet'!$B$12,Paramètres!$A$1:$I$89,5,0)</f>
        <v>133.24480000000003</v>
      </c>
      <c r="CA29" s="13">
        <f t="shared" si="39"/>
        <v>34.745058146398875</v>
      </c>
      <c r="CB29" s="20">
        <f t="shared" si="10"/>
        <v>292.58233627164475</v>
      </c>
      <c r="CC29" s="59">
        <f t="shared" si="11"/>
        <v>585.91566960497812</v>
      </c>
      <c r="CD29" s="59">
        <f ca="1">AVERAGE(OFFSET($CC$3,0,0,'Données projet'!$E$12+1,1))-AVERAGE(OFFSET($H$3,0,0,'Données projet'!$E$12+1,1))</f>
        <v>269.77739619445515</v>
      </c>
      <c r="CE29" s="59">
        <f t="shared" si="40"/>
        <v>347.56964743629885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67.901265898106246</v>
      </c>
      <c r="CM29" s="21">
        <f>EXP(-LN(2)/2)*CM28+(1-EXP(-LN(2)/2))/(LN(2)/2)*CG29*CJ29*VLOOKUP('Données projet'!$B$12,Paramètres!$A$1:$I$89,3,0)*0.475*44/12</f>
        <v>9.9353384107947418E-2</v>
      </c>
      <c r="CN29" s="22">
        <f t="shared" si="12"/>
        <v>68.000619282214188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31.8</v>
      </c>
      <c r="N30" s="13">
        <f>IF('Données projet'!$A$36&gt;35,N29+M30-V29,IF(A30&lt;'Données projet'!$A$36,$K$205^A30,IF(A30='Données projet'!$A$36,'Données projet'!$B$36,N29+M30-V29)))</f>
        <v>280.60000000000002</v>
      </c>
      <c r="O30" s="13">
        <f>N30*VLOOKUP('Données projet'!$B$9,Paramètres!$A$1:$I$89,3,0)*VLOOKUP('Données projet'!$B$9,Paramètres!$A$1:$I$89,5,0)</f>
        <v>138.61640000000003</v>
      </c>
      <c r="P30" s="13">
        <f t="shared" si="33"/>
        <v>35.97985917844175</v>
      </c>
      <c r="Q30" s="20">
        <f t="shared" si="2"/>
        <v>304.08848473578604</v>
      </c>
      <c r="R30" s="59">
        <f t="shared" si="0"/>
        <v>597.42181806911935</v>
      </c>
      <c r="S30" s="59">
        <f ca="1">AVERAGE(OFFSET($R$3,0,0,'Données projet'!$E$9+1,1))-AVERAGE(OFFSET($H$3,0,0,'Données projet'!$E$9+1,1))</f>
        <v>434.08297999735811</v>
      </c>
      <c r="T30" s="59">
        <f t="shared" si="34"/>
        <v>371.04090283546122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26.152485033532464</v>
      </c>
      <c r="AB30" s="21">
        <f>EXP(-LN(2)/2)*AB29+(1-EXP(-LN(2)/2))/(LN(2)/2)*V30*Y30*VLOOKUP('Données projet'!$B$9,Paramètres!$A$1:$I$89,3,0)*0.475*44/12</f>
        <v>2.125817406928542</v>
      </c>
      <c r="AC30" s="22">
        <f t="shared" si="3"/>
        <v>28.278302440461005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565.99133569467222</v>
      </c>
      <c r="AN30" s="59">
        <f ca="1">AVERAGE(OFFSET($AM$3,0,0,'Données projet'!$E$10+1,1))-AVERAGE(OFFSET($H$3,0,0,'Données projet'!$E$10+1,1))</f>
        <v>331.52724290297675</v>
      </c>
      <c r="AO30" s="59">
        <f t="shared" si="36"/>
        <v>322.79102610158054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104.51064000000002</v>
      </c>
      <c r="BF30" s="13">
        <f t="shared" si="37"/>
        <v>28.033820555448408</v>
      </c>
      <c r="BG30" s="20">
        <f t="shared" si="7"/>
        <v>230.84826880073933</v>
      </c>
      <c r="BH30" s="59">
        <f t="shared" si="8"/>
        <v>524.18160213407259</v>
      </c>
      <c r="BI30" s="59">
        <f ca="1">AVERAGE(OFFSET($BH$3,0,0,'Données projet'!$E$11+1,1))-AVERAGE(OFFSET($H$3,0,0,'Données projet'!$E$11+1,1))</f>
        <v>273.84349636755343</v>
      </c>
      <c r="BJ30" s="59">
        <f t="shared" si="38"/>
        <v>268.10688874775451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16.616666666666664</v>
      </c>
      <c r="BY30" s="12">
        <f>IF('Données projet'!$A$114&gt;35,BY29+BX30-CG29,IF(A30&lt;'Données projet'!$A$114,$BV$205^A30,IF(A30='Données projet'!$A$114,'Données projet'!$B$114,BY29+BX30-CG29)))</f>
        <v>230.15000000000003</v>
      </c>
      <c r="BZ30" s="13">
        <f>BY30*VLOOKUP('Données projet'!$B$12,Paramètres!$A$1:$I$89,3,0)*VLOOKUP('Données projet'!$B$12,Paramètres!$A$1:$I$89,5,0)</f>
        <v>143.61360000000002</v>
      </c>
      <c r="CA30" s="13">
        <f t="shared" si="39"/>
        <v>37.123598716010569</v>
      </c>
      <c r="CB30" s="20">
        <f t="shared" si="10"/>
        <v>314.78395443038511</v>
      </c>
      <c r="CC30" s="59">
        <f t="shared" si="11"/>
        <v>608.11728776371842</v>
      </c>
      <c r="CD30" s="59">
        <f ca="1">AVERAGE(OFFSET($CC$3,0,0,'Données projet'!$E$12+1,1))-AVERAGE(OFFSET($H$3,0,0,'Données projet'!$E$12+1,1))</f>
        <v>269.77739619445515</v>
      </c>
      <c r="CE30" s="59">
        <f t="shared" si="40"/>
        <v>347.56964743629885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66.044502211350149</v>
      </c>
      <c r="CM30" s="21">
        <f>EXP(-LN(2)/2)*CM29+(1-EXP(-LN(2)/2))/(LN(2)/2)*CG30*CJ30*VLOOKUP('Données projet'!$B$12,Paramètres!$A$1:$I$89,3,0)*0.475*44/12</f>
        <v>7.0253451636561381E-2</v>
      </c>
      <c r="CN30" s="22">
        <f t="shared" si="12"/>
        <v>66.11475566298671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31.8</v>
      </c>
      <c r="N31" s="13">
        <f>IF('Données projet'!$A$36&gt;35,N30+M31-V30,IF(A31&lt;'Données projet'!$A$36,$K$205^A31,IF(A31='Données projet'!$A$36,'Données projet'!$B$36,N30+M31-V30)))</f>
        <v>312.40000000000003</v>
      </c>
      <c r="O31" s="13">
        <f>N31*VLOOKUP('Données projet'!$B$9,Paramètres!$A$1:$I$89,3,0)*VLOOKUP('Données projet'!$B$9,Paramètres!$A$1:$I$89,5,0)</f>
        <v>154.32560000000004</v>
      </c>
      <c r="P31" s="13">
        <f t="shared" si="33"/>
        <v>39.559961367244483</v>
      </c>
      <c r="Q31" s="20">
        <f t="shared" si="2"/>
        <v>337.6840193812842</v>
      </c>
      <c r="R31" s="59">
        <f t="shared" si="0"/>
        <v>631.01735271461757</v>
      </c>
      <c r="S31" s="59">
        <f ca="1">AVERAGE(OFFSET($R$3,0,0,'Données projet'!$E$9+1,1))-AVERAGE(OFFSET($H$3,0,0,'Données projet'!$E$9+1,1))</f>
        <v>434.08297999735811</v>
      </c>
      <c r="T31" s="59">
        <f t="shared" si="34"/>
        <v>371.04090283546122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25.437343954991103</v>
      </c>
      <c r="AB31" s="21">
        <f>EXP(-LN(2)/2)*AB30+(1-EXP(-LN(2)/2))/(LN(2)/2)*V31*Y31*VLOOKUP('Données projet'!$B$9,Paramètres!$A$1:$I$89,3,0)*0.475*44/12</f>
        <v>1.5031799040035745</v>
      </c>
      <c r="AC31" s="22">
        <f t="shared" si="3"/>
        <v>26.940523858994677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593.96544093312218</v>
      </c>
      <c r="AN31" s="59">
        <f ca="1">AVERAGE(OFFSET($AM$3,0,0,'Données projet'!$E$10+1,1))-AVERAGE(OFFSET($H$3,0,0,'Données projet'!$E$10+1,1))</f>
        <v>331.52724290297675</v>
      </c>
      <c r="AO31" s="59">
        <f t="shared" si="36"/>
        <v>322.79102610158054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115.51176000000004</v>
      </c>
      <c r="BF31" s="13">
        <f t="shared" si="37"/>
        <v>30.625879972253081</v>
      </c>
      <c r="BG31" s="20">
        <f t="shared" si="7"/>
        <v>254.52305628500753</v>
      </c>
      <c r="BH31" s="59">
        <f t="shared" si="8"/>
        <v>547.85638961834081</v>
      </c>
      <c r="BI31" s="59">
        <f ca="1">AVERAGE(OFFSET($BH$3,0,0,'Données projet'!$E$11+1,1))-AVERAGE(OFFSET($H$3,0,0,'Données projet'!$E$11+1,1))</f>
        <v>273.84349636755343</v>
      </c>
      <c r="BJ31" s="59">
        <f t="shared" si="38"/>
        <v>268.10688874775451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16.616666666666664</v>
      </c>
      <c r="BY31" s="12">
        <f>IF('Données projet'!$A$114&gt;35,BY30+BX31-CG30,IF(A31&lt;'Données projet'!$A$114,$BV$205^A31,IF(A31='Données projet'!$A$114,'Données projet'!$B$114,BY30+BX31-CG30)))</f>
        <v>246.76666666666671</v>
      </c>
      <c r="BZ31" s="13">
        <f>BY31*VLOOKUP('Données projet'!$B$12,Paramètres!$A$1:$I$89,3,0)*VLOOKUP('Données projet'!$B$12,Paramètres!$A$1:$I$89,5,0)</f>
        <v>153.98240000000004</v>
      </c>
      <c r="CA31" s="13">
        <f t="shared" si="39"/>
        <v>39.482215533662355</v>
      </c>
      <c r="CB31" s="20">
        <f t="shared" si="10"/>
        <v>336.95087205446197</v>
      </c>
      <c r="CC31" s="59">
        <f t="shared" si="11"/>
        <v>630.28420538779528</v>
      </c>
      <c r="CD31" s="59">
        <f ca="1">AVERAGE(OFFSET($CC$3,0,0,'Données projet'!$E$12+1,1))-AVERAGE(OFFSET($H$3,0,0,'Données projet'!$E$12+1,1))</f>
        <v>269.77739619445515</v>
      </c>
      <c r="CE31" s="59">
        <f t="shared" si="40"/>
        <v>347.56964743629885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64.238511825251351</v>
      </c>
      <c r="CM31" s="21">
        <f>EXP(-LN(2)/2)*CM30+(1-EXP(-LN(2)/2))/(LN(2)/2)*CG31*CJ31*VLOOKUP('Données projet'!$B$12,Paramètres!$A$1:$I$89,3,0)*0.475*44/12</f>
        <v>4.9676692053973709E-2</v>
      </c>
      <c r="CN31" s="22">
        <f t="shared" si="12"/>
        <v>64.288188517305329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31.8</v>
      </c>
      <c r="N32" s="13">
        <f>IF('Données projet'!$A$36&gt;35,N31+M32-V31,IF(A32&lt;'Données projet'!$A$36,$K$205^A32,IF(A32='Données projet'!$A$36,'Données projet'!$B$36,N31+M32-V31)))</f>
        <v>344.20000000000005</v>
      </c>
      <c r="O32" s="13">
        <f>N32*VLOOKUP('Données projet'!$B$9,Paramètres!$A$1:$I$89,3,0)*VLOOKUP('Données projet'!$B$9,Paramètres!$A$1:$I$89,5,0)</f>
        <v>170.03480000000005</v>
      </c>
      <c r="P32" s="13">
        <f t="shared" si="33"/>
        <v>43.097817534817381</v>
      </c>
      <c r="Q32" s="20">
        <f t="shared" si="2"/>
        <v>371.20597553980701</v>
      </c>
      <c r="R32" s="59">
        <f t="shared" si="0"/>
        <v>664.53930887314027</v>
      </c>
      <c r="S32" s="59">
        <f ca="1">AVERAGE(OFFSET($R$3,0,0,'Données projet'!$E$9+1,1))-AVERAGE(OFFSET($H$3,0,0,'Données projet'!$E$9+1,1))</f>
        <v>434.08297999735811</v>
      </c>
      <c r="T32" s="59">
        <f t="shared" si="34"/>
        <v>371.04090283546122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24.741758446850092</v>
      </c>
      <c r="AB32" s="21">
        <f>EXP(-LN(2)/2)*AB31+(1-EXP(-LN(2)/2))/(LN(2)/2)*V32*Y32*VLOOKUP('Données projet'!$B$9,Paramètres!$A$1:$I$89,3,0)*0.475*44/12</f>
        <v>1.062908703464271</v>
      </c>
      <c r="AC32" s="22">
        <f t="shared" si="3"/>
        <v>25.804667150314362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621.88158489796797</v>
      </c>
      <c r="AN32" s="59">
        <f ca="1">AVERAGE(OFFSET($AM$3,0,0,'Données projet'!$E$10+1,1))-AVERAGE(OFFSET($H$3,0,0,'Données projet'!$E$10+1,1))</f>
        <v>331.52724290297675</v>
      </c>
      <c r="AO32" s="59">
        <f t="shared" si="36"/>
        <v>322.79102610158054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126.51288000000005</v>
      </c>
      <c r="BF32" s="13">
        <f t="shared" si="37"/>
        <v>33.189317611674916</v>
      </c>
      <c r="BG32" s="20">
        <f t="shared" si="7"/>
        <v>278.1479941736672</v>
      </c>
      <c r="BH32" s="59">
        <f t="shared" si="8"/>
        <v>571.48132750700051</v>
      </c>
      <c r="BI32" s="59">
        <f ca="1">AVERAGE(OFFSET($BH$3,0,0,'Données projet'!$E$11+1,1))-AVERAGE(OFFSET($H$3,0,0,'Données projet'!$E$11+1,1))</f>
        <v>273.84349636755343</v>
      </c>
      <c r="BJ32" s="59">
        <f t="shared" si="38"/>
        <v>268.10688874775451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16.616666666666664</v>
      </c>
      <c r="BY32" s="12">
        <f>IF('Données projet'!$A$114&gt;35,BY31+BX32-CG31,IF(A32&lt;'Données projet'!$A$114,$BV$205^A32,IF(A32='Données projet'!$A$114,'Données projet'!$B$114,BY31+BX32-CG31)))</f>
        <v>263.38333333333338</v>
      </c>
      <c r="BZ32" s="13">
        <f>BY32*VLOOKUP('Données projet'!$B$12,Paramètres!$A$1:$I$89,3,0)*VLOOKUP('Données projet'!$B$12,Paramètres!$A$1:$I$89,5,0)</f>
        <v>164.35120000000003</v>
      </c>
      <c r="CA32" s="13">
        <f t="shared" si="39"/>
        <v>41.822402860152515</v>
      </c>
      <c r="CB32" s="20">
        <f t="shared" si="10"/>
        <v>359.08569164809904</v>
      </c>
      <c r="CC32" s="59">
        <f t="shared" si="11"/>
        <v>652.41902498143236</v>
      </c>
      <c r="CD32" s="59">
        <f ca="1">AVERAGE(OFFSET($CC$3,0,0,'Données projet'!$E$12+1,1))-AVERAGE(OFFSET($H$3,0,0,'Données projet'!$E$12+1,1))</f>
        <v>269.77739619445515</v>
      </c>
      <c r="CE32" s="59">
        <f t="shared" si="40"/>
        <v>347.56964743629885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62.481906341233334</v>
      </c>
      <c r="CM32" s="21">
        <f>EXP(-LN(2)/2)*CM31+(1-EXP(-LN(2)/2))/(LN(2)/2)*CG32*CJ32*VLOOKUP('Données projet'!$B$12,Paramètres!$A$1:$I$89,3,0)*0.475*44/12</f>
        <v>3.5126725818280691E-2</v>
      </c>
      <c r="CN32" s="22">
        <f t="shared" si="12"/>
        <v>62.517033067051614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376</v>
      </c>
      <c r="L33" s="12">
        <f>VLOOKUP(A33,'Données projet'!$A$35:$I$55,9,0)</f>
        <v>31.8</v>
      </c>
      <c r="M33" s="12">
        <f t="array" ref="M33">INDEX(L:L,MIN(IF(ISNUMBER(L33:L229),ROW(L33:L229),"")))</f>
        <v>31.8</v>
      </c>
      <c r="N33" s="13">
        <f>IF('Données projet'!$A$36&gt;35,N32+M33-V32,IF(A33&lt;'Données projet'!$A$36,$K$205^A33,IF(A33='Données projet'!$A$36,'Données projet'!$B$36,N32+M33-V32)))</f>
        <v>376.00000000000006</v>
      </c>
      <c r="O33" s="13">
        <f>N33*VLOOKUP('Données projet'!$B$9,Paramètres!$A$1:$I$89,3,0)*VLOOKUP('Données projet'!$B$9,Paramètres!$A$1:$I$89,5,0)</f>
        <v>185.74400000000003</v>
      </c>
      <c r="P33" s="13">
        <f t="shared" si="33"/>
        <v>46.597774644336511</v>
      </c>
      <c r="Q33" s="20">
        <f t="shared" si="2"/>
        <v>404.66192417221941</v>
      </c>
      <c r="R33" s="59">
        <f t="shared" si="0"/>
        <v>697.99525750555267</v>
      </c>
      <c r="S33" s="59">
        <f ca="1">AVERAGE(OFFSET($R$3,0,0,'Données projet'!$E$9+1,1))-AVERAGE(OFFSET($H$3,0,0,'Données projet'!$E$9+1,1))</f>
        <v>434.08297999735811</v>
      </c>
      <c r="T33" s="59">
        <f t="shared" si="34"/>
        <v>371.04090283546122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51.708842246963755</v>
      </c>
      <c r="AB33" s="21">
        <f>EXP(-LN(2)/2)*AB32+(1-EXP(-LN(2)/2))/(LN(2)/2)*V33*Y33*VLOOKUP('Données projet'!$B$9,Paramètres!$A$1:$I$89,3,0)*0.475*44/12</f>
        <v>0.75158995200178724</v>
      </c>
      <c r="AC33" s="22">
        <f t="shared" si="3"/>
        <v>52.460432198965542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331.52724290297675</v>
      </c>
      <c r="AO33" s="59">
        <f t="shared" si="36"/>
        <v>322.79102610158054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137.51400000000004</v>
      </c>
      <c r="BF33" s="13">
        <f t="shared" si="37"/>
        <v>35.726905311681854</v>
      </c>
      <c r="BG33" s="20">
        <f t="shared" si="7"/>
        <v>301.72791008451264</v>
      </c>
      <c r="BH33" s="59">
        <f t="shared" si="8"/>
        <v>595.06124341784596</v>
      </c>
      <c r="BI33" s="59">
        <f ca="1">AVERAGE(OFFSET($BH$3,0,0,'Données projet'!$E$11+1,1))-AVERAGE(OFFSET($H$3,0,0,'Données projet'!$E$11+1,1))</f>
        <v>273.84349636755343</v>
      </c>
      <c r="BJ33" s="59">
        <f t="shared" si="38"/>
        <v>268.10688874775451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280</v>
      </c>
      <c r="BW33" s="12">
        <f>VLOOKUP(A33,'Données projet'!$A$113:$I$133,9,0)</f>
        <v>16.616666666666664</v>
      </c>
      <c r="BX33" s="12">
        <f t="array" ref="BX33">INDEX(BW:BW,MIN(IF(ISNUMBER(BW33:BW229),ROW(BW33:BW229),"")))</f>
        <v>16.616666666666664</v>
      </c>
      <c r="BY33" s="12">
        <f>IF('Données projet'!$A$114&gt;35,BY32+BX33-CG32,IF(A33&lt;'Données projet'!$A$114,$BV$205^A33,IF(A33='Données projet'!$A$114,'Données projet'!$B$114,BY32+BX33-CG32)))</f>
        <v>280.00000000000006</v>
      </c>
      <c r="BZ33" s="13">
        <f>BY33*VLOOKUP('Données projet'!$B$12,Paramètres!$A$1:$I$89,3,0)*VLOOKUP('Données projet'!$B$12,Paramètres!$A$1:$I$89,5,0)</f>
        <v>174.72000000000006</v>
      </c>
      <c r="CA33" s="13">
        <f t="shared" si="39"/>
        <v>44.145455754865246</v>
      </c>
      <c r="CB33" s="20">
        <f t="shared" si="10"/>
        <v>381.19066877305704</v>
      </c>
      <c r="CC33" s="59">
        <f t="shared" si="11"/>
        <v>674.5240021063903</v>
      </c>
      <c r="CD33" s="59">
        <f ca="1">AVERAGE(OFFSET($CC$3,0,0,'Données projet'!$E$12+1,1))-AVERAGE(OFFSET($H$3,0,0,'Données projet'!$E$12+1,1))</f>
        <v>269.77739619445515</v>
      </c>
      <c r="CE33" s="59">
        <f t="shared" si="40"/>
        <v>347.56964743629885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62.6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0.6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91.742191961336417</v>
      </c>
      <c r="CM33" s="21">
        <f>EXP(-LN(2)/2)*CM32+(1-EXP(-LN(2)/2))/(LN(2)/2)*CG33*CJ33*VLOOKUP('Données projet'!$B$12,Paramètres!$A$1:$I$89,3,0)*0.475*44/12</f>
        <v>2.4838346026986854E-2</v>
      </c>
      <c r="CN33" s="22">
        <f t="shared" si="12"/>
        <v>91.767030307363399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30.8</v>
      </c>
      <c r="N34" s="13">
        <f>IF('Données projet'!$A$36&gt;35,N33+M34-V33,IF(A34&lt;'Données projet'!$A$36,$K$205^A34,IF(A34='Données projet'!$A$36,'Données projet'!$B$36,N33+M34-V33)))</f>
        <v>329.80000000000007</v>
      </c>
      <c r="O34" s="13">
        <f>N34*VLOOKUP('Données projet'!$B$9,Paramètres!$A$1:$I$89,3,0)*VLOOKUP('Données projet'!$B$9,Paramètres!$A$1:$I$89,5,0)</f>
        <v>162.92120000000003</v>
      </c>
      <c r="P34" s="13">
        <f t="shared" si="33"/>
        <v>41.500704809983084</v>
      </c>
      <c r="Q34" s="20">
        <f t="shared" si="2"/>
        <v>356.03481754405396</v>
      </c>
      <c r="R34" s="59">
        <f t="shared" si="0"/>
        <v>649.36815087738728</v>
      </c>
      <c r="S34" s="59">
        <f ca="1">AVERAGE(OFFSET($R$3,0,0,'Données projet'!$E$9+1,1))-AVERAGE(OFFSET($H$3,0,0,'Données projet'!$E$9+1,1))</f>
        <v>434.08297999735811</v>
      </c>
      <c r="T34" s="59">
        <f t="shared" si="34"/>
        <v>371.04090283546122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50.294861236470702</v>
      </c>
      <c r="AB34" s="21">
        <f>EXP(-LN(2)/2)*AB33+(1-EXP(-LN(2)/2))/(LN(2)/2)*V34*Y34*VLOOKUP('Données projet'!$B$9,Paramètres!$A$1:$I$89,3,0)*0.475*44/12</f>
        <v>0.53145435173213551</v>
      </c>
      <c r="AC34" s="22">
        <f t="shared" si="3"/>
        <v>50.826315588202839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331.52724290297675</v>
      </c>
      <c r="AO34" s="59">
        <f t="shared" si="36"/>
        <v>322.79102610158054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119.53656000000004</v>
      </c>
      <c r="BF34" s="13">
        <f t="shared" si="37"/>
        <v>31.566885194519276</v>
      </c>
      <c r="BG34" s="20">
        <f t="shared" si="7"/>
        <v>263.17183371378781</v>
      </c>
      <c r="BH34" s="59">
        <f t="shared" si="8"/>
        <v>556.50516704712118</v>
      </c>
      <c r="BI34" s="59">
        <f ca="1">AVERAGE(OFFSET($BH$3,0,0,'Données projet'!$E$11+1,1))-AVERAGE(OFFSET($H$3,0,0,'Données projet'!$E$11+1,1))</f>
        <v>273.84349636755343</v>
      </c>
      <c r="BJ34" s="59">
        <f t="shared" si="38"/>
        <v>268.10688874775451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232.00000000000009</v>
      </c>
      <c r="BZ34" s="13">
        <f>BY34*VLOOKUP('Données projet'!$B$12,Paramètres!$A$1:$I$89,3,0)*VLOOKUP('Données projet'!$B$12,Paramètres!$A$1:$I$89,5,0)</f>
        <v>144.76800000000006</v>
      </c>
      <c r="CA34" s="13">
        <f t="shared" si="39"/>
        <v>37.387149255707826</v>
      </c>
      <c r="CB34" s="20">
        <f t="shared" si="10"/>
        <v>317.25355162035788</v>
      </c>
      <c r="CC34" s="59">
        <f t="shared" si="11"/>
        <v>610.5868849536912</v>
      </c>
      <c r="CD34" s="59">
        <f ca="1">AVERAGE(OFFSET($CC$3,0,0,'Données projet'!$E$12+1,1))-AVERAGE(OFFSET($H$3,0,0,'Données projet'!$E$12+1,1))</f>
        <v>269.77739619445515</v>
      </c>
      <c r="CE34" s="59">
        <f t="shared" si="40"/>
        <v>347.56964743629885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89.233496897641473</v>
      </c>
      <c r="CM34" s="21">
        <f>EXP(-LN(2)/2)*CM33+(1-EXP(-LN(2)/2))/(LN(2)/2)*CG34*CJ34*VLOOKUP('Données projet'!$B$12,Paramètres!$A$1:$I$89,3,0)*0.475*44/12</f>
        <v>1.7563362909140345E-2</v>
      </c>
      <c r="CN34" s="22">
        <f t="shared" si="12"/>
        <v>89.251060260550616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30.8</v>
      </c>
      <c r="N35" s="13">
        <f>IF('Données projet'!$A$36&gt;35,N34+M35-V34,IF(A35&lt;'Données projet'!$A$36,$K$205^A35,IF(A35='Données projet'!$A$36,'Données projet'!$B$36,N34+M35-V34)))</f>
        <v>360.60000000000008</v>
      </c>
      <c r="O35" s="13">
        <f>N35*VLOOKUP('Données projet'!$B$9,Paramètres!$A$1:$I$89,3,0)*VLOOKUP('Données projet'!$B$9,Paramètres!$A$1:$I$89,5,0)</f>
        <v>178.13640000000004</v>
      </c>
      <c r="P35" s="13">
        <f t="shared" si="33"/>
        <v>44.907318700411338</v>
      </c>
      <c r="Q35" s="20">
        <f t="shared" ref="Q35:Q66" si="53">(O35+P35)*0.475*44/12</f>
        <v>388.46781006988311</v>
      </c>
      <c r="R35" s="59">
        <f t="shared" si="0"/>
        <v>681.80114340321643</v>
      </c>
      <c r="S35" s="59">
        <f ca="1">AVERAGE(OFFSET($R$3,0,0,'Données projet'!$E$9+1,1))-AVERAGE(OFFSET($H$3,0,0,'Données projet'!$E$9+1,1))</f>
        <v>434.08297999735811</v>
      </c>
      <c r="T35" s="59">
        <f t="shared" si="34"/>
        <v>371.04090283546122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48.919545611067612</v>
      </c>
      <c r="AB35" s="21">
        <f>EXP(-LN(2)/2)*AB34+(1-EXP(-LN(2)/2))/(LN(2)/2)*V35*Y35*VLOOKUP('Données projet'!$B$9,Paramètres!$A$1:$I$89,3,0)*0.475*44/12</f>
        <v>0.37579497600089362</v>
      </c>
      <c r="AC35" s="22">
        <f t="shared" si="3"/>
        <v>49.295340587068509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331.52724290297675</v>
      </c>
      <c r="AO35" s="59">
        <f t="shared" si="36"/>
        <v>322.79102610158054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129.73272000000003</v>
      </c>
      <c r="BF35" s="13">
        <f t="shared" si="37"/>
        <v>33.934591376003993</v>
      </c>
      <c r="BG35" s="20">
        <f t="shared" si="7"/>
        <v>285.05390064654028</v>
      </c>
      <c r="BH35" s="59">
        <f t="shared" si="8"/>
        <v>578.3872339798736</v>
      </c>
      <c r="BI35" s="59">
        <f ca="1">AVERAGE(OFFSET($BH$3,0,0,'Données projet'!$E$11+1,1))-AVERAGE(OFFSET($H$3,0,0,'Données projet'!$E$11+1,1))</f>
        <v>273.84349636755343</v>
      </c>
      <c r="BJ35" s="59">
        <f t="shared" si="38"/>
        <v>268.10688874775451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246.60000000000008</v>
      </c>
      <c r="BZ35" s="13">
        <f>BY35*VLOOKUP('Données projet'!$B$12,Paramètres!$A$1:$I$89,3,0)*VLOOKUP('Données projet'!$B$12,Paramètres!$A$1:$I$89,5,0)</f>
        <v>153.87840000000006</v>
      </c>
      <c r="CA35" s="13">
        <f t="shared" si="39"/>
        <v>39.458652209792398</v>
      </c>
      <c r="CB35" s="20">
        <f t="shared" si="10"/>
        <v>336.72869926538851</v>
      </c>
      <c r="CC35" s="59">
        <f t="shared" si="11"/>
        <v>630.06203259872177</v>
      </c>
      <c r="CD35" s="59">
        <f ca="1">AVERAGE(OFFSET($CC$3,0,0,'Données projet'!$E$12+1,1))-AVERAGE(OFFSET($H$3,0,0,'Données projet'!$E$12+1,1))</f>
        <v>269.77739619445515</v>
      </c>
      <c r="CE35" s="59">
        <f t="shared" si="40"/>
        <v>347.56964743629885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86.793402232389809</v>
      </c>
      <c r="CM35" s="21">
        <f>EXP(-LN(2)/2)*CM34+(1-EXP(-LN(2)/2))/(LN(2)/2)*CG35*CJ35*VLOOKUP('Données projet'!$B$12,Paramètres!$A$1:$I$89,3,0)*0.475*44/12</f>
        <v>1.2419173013493427E-2</v>
      </c>
      <c r="CN35" s="22">
        <f t="shared" si="12"/>
        <v>86.805821405403307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30.8</v>
      </c>
      <c r="N36" s="13">
        <f>IF('Données projet'!$A$36&gt;35,N35+M36-V35,IF(A36&lt;'Données projet'!$A$36,$K$205^A36,IF(A36='Données projet'!$A$36,'Données projet'!$B$36,N35+M36-V35)))</f>
        <v>391.40000000000009</v>
      </c>
      <c r="O36" s="13">
        <f>N36*VLOOKUP('Données projet'!$B$9,Paramètres!$A$1:$I$89,3,0)*VLOOKUP('Données projet'!$B$9,Paramètres!$A$1:$I$89,5,0)</f>
        <v>193.35160000000005</v>
      </c>
      <c r="P36" s="13">
        <f t="shared" si="33"/>
        <v>48.280188235092567</v>
      </c>
      <c r="Q36" s="20">
        <f t="shared" si="53"/>
        <v>420.84203117611963</v>
      </c>
      <c r="R36" s="59">
        <f t="shared" si="0"/>
        <v>714.17536450945295</v>
      </c>
      <c r="S36" s="59">
        <f ca="1">AVERAGE(OFFSET($R$3,0,0,'Données projet'!$E$9+1,1))-AVERAGE(OFFSET($H$3,0,0,'Données projet'!$E$9+1,1))</f>
        <v>434.08297999735811</v>
      </c>
      <c r="T36" s="59">
        <f t="shared" si="34"/>
        <v>371.04090283546122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47.581838063765872</v>
      </c>
      <c r="AB36" s="21">
        <f>EXP(-LN(2)/2)*AB35+(1-EXP(-LN(2)/2))/(LN(2)/2)*V36*Y36*VLOOKUP('Données projet'!$B$9,Paramètres!$A$1:$I$89,3,0)*0.475*44/12</f>
        <v>0.26572717586606776</v>
      </c>
      <c r="AC36" s="22">
        <f t="shared" si="3"/>
        <v>47.84756523963194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331.52724290297675</v>
      </c>
      <c r="AO36" s="59">
        <f t="shared" si="36"/>
        <v>322.79102610158054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139.92888000000002</v>
      </c>
      <c r="BF36" s="13">
        <f t="shared" si="37"/>
        <v>36.280712419916505</v>
      </c>
      <c r="BG36" s="20">
        <f t="shared" si="7"/>
        <v>306.89837346468795</v>
      </c>
      <c r="BH36" s="59">
        <f t="shared" si="8"/>
        <v>600.23170679802126</v>
      </c>
      <c r="BI36" s="59">
        <f ca="1">AVERAGE(OFFSET($BH$3,0,0,'Données projet'!$E$11+1,1))-AVERAGE(OFFSET($H$3,0,0,'Données projet'!$E$11+1,1))</f>
        <v>273.84349636755343</v>
      </c>
      <c r="BJ36" s="59">
        <f t="shared" si="38"/>
        <v>268.10688874775451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261.2000000000001</v>
      </c>
      <c r="BZ36" s="13">
        <f>BY36*VLOOKUP('Données projet'!$B$12,Paramètres!$A$1:$I$89,3,0)*VLOOKUP('Données projet'!$B$12,Paramètres!$A$1:$I$89,5,0)</f>
        <v>162.98880000000005</v>
      </c>
      <c r="CA36" s="13">
        <f t="shared" si="39"/>
        <v>41.515919734048659</v>
      </c>
      <c r="CB36" s="20">
        <f t="shared" si="10"/>
        <v>356.17905353680152</v>
      </c>
      <c r="CC36" s="59">
        <f t="shared" si="11"/>
        <v>649.51238687013483</v>
      </c>
      <c r="CD36" s="59">
        <f ca="1">AVERAGE(OFFSET($CC$3,0,0,'Données projet'!$E$12+1,1))-AVERAGE(OFFSET($H$3,0,0,'Données projet'!$E$12+1,1))</f>
        <v>269.77739619445515</v>
      </c>
      <c r="CE36" s="59">
        <f t="shared" si="40"/>
        <v>347.56964743629885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84.420032084078457</v>
      </c>
      <c r="CM36" s="21">
        <f>EXP(-LN(2)/2)*CM35+(1-EXP(-LN(2)/2))/(LN(2)/2)*CG36*CJ36*VLOOKUP('Données projet'!$B$12,Paramètres!$A$1:$I$89,3,0)*0.475*44/12</f>
        <v>8.7816814545701727E-3</v>
      </c>
      <c r="CN36" s="22">
        <f t="shared" si="12"/>
        <v>84.428813765533022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30.8</v>
      </c>
      <c r="N37" s="13">
        <f>IF('Données projet'!$A$36&gt;35,N36+M37-V36,IF(A37&lt;'Données projet'!$A$36,$K$205^A37,IF(A37='Données projet'!$A$36,'Données projet'!$B$36,N36+M37-V36)))</f>
        <v>422.2000000000001</v>
      </c>
      <c r="O37" s="13">
        <f>N37*VLOOKUP('Données projet'!$B$9,Paramètres!$A$1:$I$89,3,0)*VLOOKUP('Données projet'!$B$9,Paramètres!$A$1:$I$89,5,0)</f>
        <v>208.56680000000006</v>
      </c>
      <c r="P37" s="13">
        <f t="shared" si="33"/>
        <v>51.622270722899735</v>
      </c>
      <c r="Q37" s="20">
        <f t="shared" si="53"/>
        <v>453.16263150905041</v>
      </c>
      <c r="R37" s="59">
        <f t="shared" si="0"/>
        <v>746.49596484238373</v>
      </c>
      <c r="S37" s="59">
        <f ca="1">AVERAGE(OFFSET($R$3,0,0,'Données projet'!$E$9+1,1))-AVERAGE(OFFSET($H$3,0,0,'Données projet'!$E$9+1,1))</f>
        <v>434.08297999735811</v>
      </c>
      <c r="T37" s="59">
        <f t="shared" si="34"/>
        <v>371.04090283546122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46.280710199692081</v>
      </c>
      <c r="AB37" s="21">
        <f>EXP(-LN(2)/2)*AB36+(1-EXP(-LN(2)/2))/(LN(2)/2)*V37*Y37*VLOOKUP('Données projet'!$B$9,Paramètres!$A$1:$I$89,3,0)*0.475*44/12</f>
        <v>0.18789748800044681</v>
      </c>
      <c r="AC37" s="22">
        <f t="shared" si="3"/>
        <v>46.468607687692526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331.52724290297675</v>
      </c>
      <c r="AO37" s="59">
        <f t="shared" si="36"/>
        <v>322.79102610158054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150.12504000000001</v>
      </c>
      <c r="BF37" s="13">
        <f t="shared" si="37"/>
        <v>38.607000031363413</v>
      </c>
      <c r="BG37" s="20">
        <f t="shared" si="7"/>
        <v>328.70830305462459</v>
      </c>
      <c r="BH37" s="59">
        <f t="shared" si="8"/>
        <v>622.04163638795785</v>
      </c>
      <c r="BI37" s="59">
        <f ca="1">AVERAGE(OFFSET($BH$3,0,0,'Données projet'!$E$11+1,1))-AVERAGE(OFFSET($H$3,0,0,'Données projet'!$E$11+1,1))</f>
        <v>273.84349636755343</v>
      </c>
      <c r="BJ37" s="59">
        <f t="shared" si="38"/>
        <v>268.10688874775451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275.80000000000013</v>
      </c>
      <c r="BZ37" s="13">
        <f>BY37*VLOOKUP('Données projet'!$B$12,Paramètres!$A$1:$I$89,3,0)*VLOOKUP('Données projet'!$B$12,Paramètres!$A$1:$I$89,5,0)</f>
        <v>172.09920000000005</v>
      </c>
      <c r="CA37" s="13">
        <f t="shared" si="39"/>
        <v>43.559838214506989</v>
      </c>
      <c r="CB37" s="20">
        <f t="shared" si="10"/>
        <v>375.60615822359978</v>
      </c>
      <c r="CC37" s="59">
        <f t="shared" si="11"/>
        <v>668.93949155693304</v>
      </c>
      <c r="CD37" s="59">
        <f ca="1">AVERAGE(OFFSET($CC$3,0,0,'Données projet'!$E$12+1,1))-AVERAGE(OFFSET($H$3,0,0,'Données projet'!$E$12+1,1))</f>
        <v>269.77739619445515</v>
      </c>
      <c r="CE37" s="59">
        <f t="shared" si="40"/>
        <v>347.56964743629885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82.111561867282788</v>
      </c>
      <c r="CM37" s="21">
        <f>EXP(-LN(2)/2)*CM36+(1-EXP(-LN(2)/2))/(LN(2)/2)*CG37*CJ37*VLOOKUP('Données projet'!$B$12,Paramètres!$A$1:$I$89,3,0)*0.475*44/12</f>
        <v>6.2095865067467136E-3</v>
      </c>
      <c r="CN37" s="22">
        <f t="shared" si="12"/>
        <v>82.11777145378953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453</v>
      </c>
      <c r="L38" s="12">
        <f>VLOOKUP(A38,'Données projet'!$A$35:$I$55,9,0)</f>
        <v>30.8</v>
      </c>
      <c r="M38" s="12">
        <f t="array" ref="M38">INDEX(L:L,MIN(IF(ISNUMBER(L38:L234),ROW(L38:L234),"")))</f>
        <v>30.8</v>
      </c>
      <c r="N38" s="13">
        <f>IF('Données projet'!$A$36&gt;35,N37+M38-V37,IF(A38&lt;'Données projet'!$A$36,$K$205^A38,IF(A38='Données projet'!$A$36,'Données projet'!$B$36,N37+M38-V37)))</f>
        <v>453.00000000000011</v>
      </c>
      <c r="O38" s="13">
        <f>N38*VLOOKUP('Données projet'!$B$9,Paramètres!$A$1:$I$89,3,0)*VLOOKUP('Données projet'!$B$9,Paramètres!$A$1:$I$89,5,0)</f>
        <v>223.78200000000007</v>
      </c>
      <c r="P38" s="13">
        <f t="shared" si="33"/>
        <v>54.936067529408966</v>
      </c>
      <c r="Q38" s="20">
        <f t="shared" si="53"/>
        <v>485.43396761372065</v>
      </c>
      <c r="R38" s="59">
        <f t="shared" si="0"/>
        <v>778.76730094705397</v>
      </c>
      <c r="S38" s="59">
        <f ca="1">AVERAGE(OFFSET($R$3,0,0,'Données projet'!$E$9+1,1))-AVERAGE(OFFSET($H$3,0,0,'Données projet'!$E$9+1,1))</f>
        <v>434.08297999735811</v>
      </c>
      <c r="T38" s="59">
        <f t="shared" si="34"/>
        <v>371.04090283546122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27.752922315805076</v>
      </c>
      <c r="AA38" s="21">
        <f>EXP(-LN(2)/25)*AA37+(1-EXP(-LN(2)/25))/(LN(2)/25)*Calculateur!V38*Calculateur!X38*VLOOKUP('Données projet'!$B$9,Paramètres!$A$1:$I$89,3,0)*0.475*44/12</f>
        <v>45.015161745484725</v>
      </c>
      <c r="AB38" s="21">
        <f>EXP(-LN(2)/2)*AB37+(1-EXP(-LN(2)/2))/(LN(2)/2)*V38*Y38*VLOOKUP('Données projet'!$B$9,Paramètres!$A$1:$I$89,3,0)*0.475*44/12</f>
        <v>0.13286358793303388</v>
      </c>
      <c r="AC38" s="22">
        <f t="shared" si="3"/>
        <v>72.900947649222829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331.52724290297675</v>
      </c>
      <c r="AO38" s="59">
        <f t="shared" si="36"/>
        <v>322.79102610158054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19.577942327869806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19.577942327869806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160.3212</v>
      </c>
      <c r="BF38" s="13">
        <f t="shared" si="37"/>
        <v>40.914954505069986</v>
      </c>
      <c r="BG38" s="20">
        <f t="shared" si="7"/>
        <v>350.48630242966351</v>
      </c>
      <c r="BH38" s="59">
        <f t="shared" si="8"/>
        <v>643.81963576299677</v>
      </c>
      <c r="BI38" s="59">
        <f ca="1">AVERAGE(OFFSET($BH$3,0,0,'Données projet'!$E$11+1,1))-AVERAGE(OFFSET($H$3,0,0,'Données projet'!$E$11+1,1))</f>
        <v>273.84349636755343</v>
      </c>
      <c r="BJ38" s="59">
        <f t="shared" si="38"/>
        <v>268.10688874775451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16.506892550949051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16.506892550949051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290.40000000000015</v>
      </c>
      <c r="BZ38" s="13">
        <f>BY38*VLOOKUP('Données projet'!$B$12,Paramètres!$A$1:$I$89,3,0)*VLOOKUP('Données projet'!$B$12,Paramètres!$A$1:$I$89,5,0)</f>
        <v>181.20960000000008</v>
      </c>
      <c r="CA38" s="13">
        <f t="shared" si="39"/>
        <v>45.591194891830348</v>
      </c>
      <c r="CB38" s="20">
        <f t="shared" si="10"/>
        <v>395.01138443660466</v>
      </c>
      <c r="CC38" s="59">
        <f t="shared" si="11"/>
        <v>688.34471776993792</v>
      </c>
      <c r="CD38" s="59">
        <f ca="1">AVERAGE(OFFSET($CC$3,0,0,'Données projet'!$E$12+1,1))-AVERAGE(OFFSET($H$3,0,0,'Données projet'!$E$12+1,1))</f>
        <v>269.77739619445515</v>
      </c>
      <c r="CE38" s="59">
        <f t="shared" si="40"/>
        <v>347.56964743629885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79.866216889962573</v>
      </c>
      <c r="CM38" s="21">
        <f>EXP(-LN(2)/2)*CM37+(1-EXP(-LN(2)/2))/(LN(2)/2)*CG38*CJ38*VLOOKUP('Données projet'!$B$12,Paramètres!$A$1:$I$89,3,0)*0.475*44/12</f>
        <v>4.3908407272850863E-3</v>
      </c>
      <c r="CN38" s="22">
        <f t="shared" si="12"/>
        <v>79.870607730689855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29.6</v>
      </c>
      <c r="N39" s="13">
        <f>IF('Données projet'!$A$36&gt;35,N38+M39-V38,IF(A39&lt;'Données projet'!$A$36,$K$205^A39,IF(A39='Données projet'!$A$36,'Données projet'!$B$36,N38+M39-V38)))</f>
        <v>405.60000000000014</v>
      </c>
      <c r="O39" s="13">
        <f>N39*VLOOKUP('Données projet'!$B$9,Paramètres!$A$1:$I$89,3,0)*VLOOKUP('Données projet'!$B$9,Paramètres!$A$1:$I$89,5,0)</f>
        <v>200.36640000000006</v>
      </c>
      <c r="P39" s="13">
        <f t="shared" si="33"/>
        <v>49.824682775783181</v>
      </c>
      <c r="Q39" s="20">
        <f t="shared" si="53"/>
        <v>435.74946916782238</v>
      </c>
      <c r="R39" s="59">
        <f t="shared" si="0"/>
        <v>729.0828025011557</v>
      </c>
      <c r="S39" s="59">
        <f ca="1">AVERAGE(OFFSET($R$3,0,0,'Données projet'!$E$9+1,1))-AVERAGE(OFFSET($H$3,0,0,'Données projet'!$E$9+1,1))</f>
        <v>434.08297999735811</v>
      </c>
      <c r="T39" s="59">
        <f t="shared" si="34"/>
        <v>371.04090283546122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27.208704436803288</v>
      </c>
      <c r="AA39" s="21">
        <f>EXP(-LN(2)/25)*AA38+(1-EXP(-LN(2)/25))/(LN(2)/25)*Calculateur!V39*Calculateur!X39*VLOOKUP('Données projet'!$B$9,Paramètres!$A$1:$I$89,3,0)*0.475*44/12</f>
        <v>43.784219780309975</v>
      </c>
      <c r="AB39" s="21">
        <f>EXP(-LN(2)/2)*AB38+(1-EXP(-LN(2)/2))/(LN(2)/2)*V39*Y39*VLOOKUP('Données projet'!$B$9,Paramètres!$A$1:$I$89,3,0)*0.475*44/12</f>
        <v>9.3948744000223405E-2</v>
      </c>
      <c r="AC39" s="22">
        <f t="shared" si="3"/>
        <v>71.086872961113485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331.52724290297675</v>
      </c>
      <c r="AO39" s="59">
        <f t="shared" si="36"/>
        <v>322.79102610158054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19.194030820185986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19.194030820185986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141.00216</v>
      </c>
      <c r="BF39" s="13">
        <f t="shared" si="37"/>
        <v>36.526490885878076</v>
      </c>
      <c r="BG39" s="20">
        <f t="shared" si="7"/>
        <v>309.19573362623765</v>
      </c>
      <c r="BH39" s="59">
        <f t="shared" si="8"/>
        <v>602.52906695957097</v>
      </c>
      <c r="BI39" s="59">
        <f ca="1">AVERAGE(OFFSET($BH$3,0,0,'Données projet'!$E$11+1,1))-AVERAGE(OFFSET($H$3,0,0,'Données projet'!$E$11+1,1))</f>
        <v>273.84349636755343</v>
      </c>
      <c r="BJ39" s="59">
        <f t="shared" si="38"/>
        <v>268.10688874775451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16.183202456235243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16.183202456235243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305</v>
      </c>
      <c r="BW39" s="12">
        <f>VLOOKUP(A39,'Données projet'!$A$113:$I$133,9,0)</f>
        <v>14.6</v>
      </c>
      <c r="BX39" s="12">
        <f t="array" ref="BX39">INDEX(BW:BW,MIN(IF(ISNUMBER(BW39:BW235),ROW(BW39:BW235),"")))</f>
        <v>14.6</v>
      </c>
      <c r="BY39" s="12">
        <f>IF('Données projet'!$A$114&gt;35,BY38+BX39-CG38,IF(A39&lt;'Données projet'!$A$114,$BV$205^A39,IF(A39='Données projet'!$A$114,'Données projet'!$B$114,BY38+BX39-CG38)))</f>
        <v>305.00000000000017</v>
      </c>
      <c r="BZ39" s="13">
        <f>BY39*VLOOKUP('Données projet'!$B$12,Paramètres!$A$1:$I$89,3,0)*VLOOKUP('Données projet'!$B$12,Paramètres!$A$1:$I$89,5,0)</f>
        <v>190.32000000000008</v>
      </c>
      <c r="CA39" s="13">
        <f t="shared" si="39"/>
        <v>47.610693377401923</v>
      </c>
      <c r="CB39" s="20">
        <f t="shared" si="10"/>
        <v>414.39595763230847</v>
      </c>
      <c r="CC39" s="59">
        <f t="shared" si="11"/>
        <v>707.72929096564178</v>
      </c>
      <c r="CD39" s="59">
        <f ca="1">AVERAGE(OFFSET($CC$3,0,0,'Données projet'!$E$12+1,1))-AVERAGE(OFFSET($H$3,0,0,'Données projet'!$E$12+1,1))</f>
        <v>269.77739619445515</v>
      </c>
      <c r="CE39" s="59">
        <f t="shared" si="40"/>
        <v>347.56964743629885</v>
      </c>
      <c r="CF39" s="15">
        <f>IF(ISNA(VLOOKUP(A39,'Données projet'!$A$113:$I$133,3,0)),0,VLOOKUP(A39,'Données projet'!$A$113:$I$133,3,0))</f>
        <v>5</v>
      </c>
      <c r="CG39" s="15">
        <f>IF(ISNA(VLOOKUP(A39,'Données projet'!$A$113:$I$133,4,0)),0,VLOOKUP(A39,'Données projet'!$A$113:$I$133,4,0))</f>
        <v>58.4</v>
      </c>
      <c r="CH39" s="16">
        <f>IF(ISNA(VLOOKUP(A39,'Données projet'!$A$113:$I$133,5,0)),0%,VLOOKUP(A39,'Données projet'!$A$113:$I$133,5,0)*VLOOKUP('Données projet'!$B$12,Paramètres!$A$1:$I$89,7,0))</f>
        <v>0.6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29.005278755607325</v>
      </c>
      <c r="CL39" s="21">
        <f>EXP(-LN(2)/25)*CL38+(1-EXP(-LN(2)/25))/(LN(2)/25)*Calculateur!CG39*Calculateur!CI39*VLOOKUP('Données projet'!$B$12,Paramètres!$A$1:$I$89,3,0)*0.475*44/12</f>
        <v>77.682270989124731</v>
      </c>
      <c r="CM39" s="21">
        <f>EXP(-LN(2)/2)*CM38+(1-EXP(-LN(2)/2))/(LN(2)/2)*CG39*CJ39*VLOOKUP('Données projet'!$B$12,Paramètres!$A$1:$I$89,3,0)*0.475*44/12</f>
        <v>3.1047932533733568E-3</v>
      </c>
      <c r="CN39" s="22">
        <f t="shared" si="12"/>
        <v>106.69065453798542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29.6</v>
      </c>
      <c r="N40" s="13">
        <f>IF('Données projet'!$A$36&gt;35,N39+M40-V39,IF(A40&lt;'Données projet'!$A$36,$K$205^A40,IF(A40='Données projet'!$A$36,'Données projet'!$B$36,N39+M40-V39)))</f>
        <v>435.20000000000016</v>
      </c>
      <c r="O40" s="13">
        <f>N40*VLOOKUP('Données projet'!$B$9,Paramètres!$A$1:$I$89,3,0)*VLOOKUP('Données projet'!$B$9,Paramètres!$A$1:$I$89,5,0)</f>
        <v>214.98880000000008</v>
      </c>
      <c r="P40" s="13">
        <f t="shared" si="33"/>
        <v>53.024269883045626</v>
      </c>
      <c r="Q40" s="20">
        <f t="shared" si="53"/>
        <v>466.78943004630463</v>
      </c>
      <c r="R40" s="59">
        <f t="shared" si="0"/>
        <v>760.12276337963795</v>
      </c>
      <c r="S40" s="59">
        <f ca="1">AVERAGE(OFFSET($R$3,0,0,'Données projet'!$E$9+1,1))-AVERAGE(OFFSET($H$3,0,0,'Données projet'!$E$9+1,1))</f>
        <v>434.08297999735811</v>
      </c>
      <c r="T40" s="59">
        <f t="shared" si="34"/>
        <v>371.04090283546122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26.675158338468595</v>
      </c>
      <c r="AA40" s="21">
        <f>EXP(-LN(2)/25)*AA39+(1-EXP(-LN(2)/25))/(LN(2)/25)*Calculateur!V40*Calculateur!X40*VLOOKUP('Données projet'!$B$9,Paramètres!$A$1:$I$89,3,0)*0.475*44/12</f>
        <v>42.586937987905351</v>
      </c>
      <c r="AB40" s="21">
        <f>EXP(-LN(2)/2)*AB39+(1-EXP(-LN(2)/2))/(LN(2)/2)*V40*Y40*VLOOKUP('Données projet'!$B$9,Paramètres!$A$1:$I$89,3,0)*0.475*44/12</f>
        <v>6.6431793966516939E-2</v>
      </c>
      <c r="AC40" s="22">
        <f t="shared" si="3"/>
        <v>69.328528120340465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331.52724290297675</v>
      </c>
      <c r="AO40" s="59">
        <f t="shared" si="36"/>
        <v>322.79102610158054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18.817647583004948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18.817647583004948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149.85671999999997</v>
      </c>
      <c r="BF40" s="13">
        <f t="shared" si="37"/>
        <v>38.546022915923054</v>
      </c>
      <c r="BG40" s="20">
        <f t="shared" si="7"/>
        <v>328.13477724523256</v>
      </c>
      <c r="BH40" s="59">
        <f t="shared" si="8"/>
        <v>621.46811057856587</v>
      </c>
      <c r="BI40" s="59">
        <f ca="1">AVERAGE(OFFSET($BH$3,0,0,'Données projet'!$E$11+1,1))-AVERAGE(OFFSET($H$3,0,0,'Données projet'!$E$11+1,1))</f>
        <v>273.84349636755343</v>
      </c>
      <c r="BJ40" s="59">
        <f t="shared" si="38"/>
        <v>268.10688874775451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15.86585972684731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15.86585972684731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13.9</v>
      </c>
      <c r="BY40" s="12">
        <f>IF('Données projet'!$A$114&gt;35,BY39+BX40-CG39,IF(A40&lt;'Données projet'!$A$114,$BV$205^A40,IF(A40='Données projet'!$A$114,'Données projet'!$B$114,BY39+BX40-CG39)))</f>
        <v>260.50000000000017</v>
      </c>
      <c r="BZ40" s="13">
        <f>BY40*VLOOKUP('Données projet'!$B$12,Paramètres!$A$1:$I$89,3,0)*VLOOKUP('Données projet'!$B$12,Paramètres!$A$1:$I$89,5,0)</f>
        <v>162.55200000000011</v>
      </c>
      <c r="CA40" s="13">
        <f t="shared" si="39"/>
        <v>41.417594941550192</v>
      </c>
      <c r="CB40" s="20">
        <f t="shared" si="10"/>
        <v>355.24704452320003</v>
      </c>
      <c r="CC40" s="59">
        <f t="shared" si="11"/>
        <v>648.58037785653335</v>
      </c>
      <c r="CD40" s="59">
        <f ca="1">AVERAGE(OFFSET($CC$3,0,0,'Données projet'!$E$12+1,1))-AVERAGE(OFFSET($H$3,0,0,'Données projet'!$E$12+1,1))</f>
        <v>269.77739619445515</v>
      </c>
      <c r="CE40" s="59">
        <f t="shared" si="40"/>
        <v>347.56964743629885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28.436502930683019</v>
      </c>
      <c r="CL40" s="21">
        <f>EXP(-LN(2)/25)*CL39+(1-EXP(-LN(2)/25))/(LN(2)/25)*Calculateur!CG40*Calculateur!CI40*VLOOKUP('Données projet'!$B$12,Paramètres!$A$1:$I$89,3,0)*0.475*44/12</f>
        <v>75.558045203794023</v>
      </c>
      <c r="CM40" s="21">
        <f>EXP(-LN(2)/2)*CM39+(1-EXP(-LN(2)/2))/(LN(2)/2)*CG40*CJ40*VLOOKUP('Données projet'!$B$12,Paramètres!$A$1:$I$89,3,0)*0.475*44/12</f>
        <v>2.1954203636425432E-3</v>
      </c>
      <c r="CN40" s="22">
        <f t="shared" si="12"/>
        <v>103.99674355484069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29.6</v>
      </c>
      <c r="N41" s="13">
        <f>IF('Données projet'!$A$36&gt;35,N40+M41-V40,IF(A41&lt;'Données projet'!$A$36,$K$205^A41,IF(A41='Données projet'!$A$36,'Données projet'!$B$36,N40+M41-V40)))</f>
        <v>464.80000000000018</v>
      </c>
      <c r="O41" s="13">
        <f>N41*VLOOKUP('Données projet'!$B$9,Paramètres!$A$1:$I$89,3,0)*VLOOKUP('Données projet'!$B$9,Paramètres!$A$1:$I$89,5,0)</f>
        <v>229.61120000000011</v>
      </c>
      <c r="P41" s="13">
        <f t="shared" si="33"/>
        <v>56.19860560493467</v>
      </c>
      <c r="Q41" s="20">
        <f t="shared" si="53"/>
        <v>497.78541142859484</v>
      </c>
      <c r="R41" s="59">
        <f t="shared" si="0"/>
        <v>791.11874476192816</v>
      </c>
      <c r="S41" s="59">
        <f ca="1">AVERAGE(OFFSET($R$3,0,0,'Données projet'!$E$9+1,1))-AVERAGE(OFFSET($H$3,0,0,'Données projet'!$E$9+1,1))</f>
        <v>434.08297999735811</v>
      </c>
      <c r="T41" s="59">
        <f t="shared" si="34"/>
        <v>371.04090283546122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26.152074753691259</v>
      </c>
      <c r="AA41" s="21">
        <f>EXP(-LN(2)/25)*AA40+(1-EXP(-LN(2)/25))/(LN(2)/25)*Calculateur!V41*Calculateur!X41*VLOOKUP('Données projet'!$B$9,Paramètres!$A$1:$I$89,3,0)*0.475*44/12</f>
        <v>41.422395929076345</v>
      </c>
      <c r="AB41" s="21">
        <f>EXP(-LN(2)/2)*AB40+(1-EXP(-LN(2)/2))/(LN(2)/2)*V41*Y41*VLOOKUP('Données projet'!$B$9,Paramètres!$A$1:$I$89,3,0)*0.475*44/12</f>
        <v>4.6974372000111703E-2</v>
      </c>
      <c r="AC41" s="22">
        <f t="shared" si="3"/>
        <v>67.621445054767719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331.52724290297675</v>
      </c>
      <c r="AO41" s="59">
        <f t="shared" si="36"/>
        <v>322.79102610158054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18.448644991533925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18.448644991533925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158.71127999999999</v>
      </c>
      <c r="BF41" s="13">
        <f t="shared" si="37"/>
        <v>40.551704343293025</v>
      </c>
      <c r="BG41" s="20">
        <f t="shared" si="7"/>
        <v>347.04969773123526</v>
      </c>
      <c r="BH41" s="59">
        <f t="shared" si="8"/>
        <v>640.38303106456851</v>
      </c>
      <c r="BI41" s="59">
        <f ca="1">AVERAGE(OFFSET($BH$3,0,0,'Données projet'!$E$11+1,1))-AVERAGE(OFFSET($H$3,0,0,'Données projet'!$E$11+1,1))</f>
        <v>273.84349636755343</v>
      </c>
      <c r="BJ41" s="59">
        <f t="shared" si="38"/>
        <v>268.10688874775451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15.554739894822722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15.554739894822722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13.9</v>
      </c>
      <c r="BY41" s="12">
        <f>IF('Données projet'!$A$114&gt;35,BY40+BX41-CG40,IF(A41&lt;'Données projet'!$A$114,$BV$205^A41,IF(A41='Données projet'!$A$114,'Données projet'!$B$114,BY40+BX41-CG40)))</f>
        <v>274.40000000000015</v>
      </c>
      <c r="BZ41" s="13">
        <f>BY41*VLOOKUP('Données projet'!$B$12,Paramètres!$A$1:$I$89,3,0)*VLOOKUP('Données projet'!$B$12,Paramètres!$A$1:$I$89,5,0)</f>
        <v>171.2256000000001</v>
      </c>
      <c r="CA41" s="13">
        <f t="shared" si="39"/>
        <v>43.364402348589557</v>
      </c>
      <c r="CB41" s="20">
        <f t="shared" si="10"/>
        <v>373.74425409046029</v>
      </c>
      <c r="CC41" s="59">
        <f t="shared" si="11"/>
        <v>667.0775874237936</v>
      </c>
      <c r="CD41" s="59">
        <f ca="1">AVERAGE(OFFSET($CC$3,0,0,'Données projet'!$E$12+1,1))-AVERAGE(OFFSET($H$3,0,0,'Données projet'!$E$12+1,1))</f>
        <v>269.77739619445515</v>
      </c>
      <c r="CE41" s="59">
        <f t="shared" si="40"/>
        <v>347.56964743629885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27.878880452766481</v>
      </c>
      <c r="CL41" s="21">
        <f>EXP(-LN(2)/25)*CL40+(1-EXP(-LN(2)/25))/(LN(2)/25)*Calculateur!CG41*Calculateur!CI41*VLOOKUP('Données projet'!$B$12,Paramètres!$A$1:$I$89,3,0)*0.475*44/12</f>
        <v>73.491906484271368</v>
      </c>
      <c r="CM41" s="21">
        <f>EXP(-LN(2)/2)*CM40+(1-EXP(-LN(2)/2))/(LN(2)/2)*CG41*CJ41*VLOOKUP('Données projet'!$B$12,Paramètres!$A$1:$I$89,3,0)*0.475*44/12</f>
        <v>1.5523966266866784E-3</v>
      </c>
      <c r="CN41" s="22">
        <f t="shared" si="12"/>
        <v>101.37233933366454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29.6</v>
      </c>
      <c r="N42" s="13">
        <f>IF('Données projet'!$A$36&gt;35,N41+M42-V41,IF(A42&lt;'Données projet'!$A$36,$K$205^A42,IF(A42='Données projet'!$A$36,'Données projet'!$B$36,N41+M42-V41)))</f>
        <v>494.4000000000002</v>
      </c>
      <c r="O42" s="13">
        <f>N42*VLOOKUP('Données projet'!$B$9,Paramètres!$A$1:$I$89,3,0)*VLOOKUP('Données projet'!$B$9,Paramètres!$A$1:$I$89,5,0)</f>
        <v>244.23360000000011</v>
      </c>
      <c r="P42" s="13">
        <f t="shared" si="33"/>
        <v>59.34948107502936</v>
      </c>
      <c r="Q42" s="20">
        <f t="shared" si="53"/>
        <v>528.7405328723429</v>
      </c>
      <c r="R42" s="59">
        <f t="shared" si="0"/>
        <v>822.07386620567627</v>
      </c>
      <c r="S42" s="59">
        <f ca="1">AVERAGE(OFFSET($R$3,0,0,'Données projet'!$E$9+1,1))-AVERAGE(OFFSET($H$3,0,0,'Données projet'!$E$9+1,1))</f>
        <v>434.08297999735811</v>
      </c>
      <c r="T42" s="59">
        <f t="shared" si="34"/>
        <v>371.04090283546122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25.639248518961924</v>
      </c>
      <c r="AA42" s="21">
        <f>EXP(-LN(2)/25)*AA41+(1-EXP(-LN(2)/25))/(LN(2)/25)*Calculateur!V42*Calculateur!X42*VLOOKUP('Données projet'!$B$9,Paramètres!$A$1:$I$89,3,0)*0.475*44/12</f>
        <v>40.289698334086623</v>
      </c>
      <c r="AB42" s="21">
        <f>EXP(-LN(2)/2)*AB41+(1-EXP(-LN(2)/2))/(LN(2)/2)*V42*Y42*VLOOKUP('Données projet'!$B$9,Paramètres!$A$1:$I$89,3,0)*0.475*44/12</f>
        <v>3.3215896983258469E-2</v>
      </c>
      <c r="AC42" s="22">
        <f t="shared" si="3"/>
        <v>65.962162750031808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331.52724290297675</v>
      </c>
      <c r="AO42" s="59">
        <f t="shared" si="36"/>
        <v>322.79102610158054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18.086878315812292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18.086878315812292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167.56583999999995</v>
      </c>
      <c r="BF42" s="13">
        <f t="shared" si="37"/>
        <v>42.54439596624875</v>
      </c>
      <c r="BG42" s="20">
        <f t="shared" si="7"/>
        <v>365.94199430788308</v>
      </c>
      <c r="BH42" s="59">
        <f t="shared" si="8"/>
        <v>659.27532764121634</v>
      </c>
      <c r="BI42" s="59">
        <f ca="1">AVERAGE(OFFSET($BH$3,0,0,'Données projet'!$E$11+1,1))-AVERAGE(OFFSET($H$3,0,0,'Données projet'!$E$11+1,1))</f>
        <v>273.84349636755343</v>
      </c>
      <c r="BJ42" s="59">
        <f t="shared" si="38"/>
        <v>268.10688874775451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15.249720932939777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15.249720932939777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13.9</v>
      </c>
      <c r="BY42" s="12">
        <f>IF('Données projet'!$A$114&gt;35,BY41+BX42-CG41,IF(A42&lt;'Données projet'!$A$114,$BV$205^A42,IF(A42='Données projet'!$A$114,'Données projet'!$B$114,BY41+BX42-CG41)))</f>
        <v>288.30000000000013</v>
      </c>
      <c r="BZ42" s="13">
        <f>BY42*VLOOKUP('Données projet'!$B$12,Paramètres!$A$1:$I$89,3,0)*VLOOKUP('Données projet'!$B$12,Paramètres!$A$1:$I$89,5,0)</f>
        <v>179.89920000000006</v>
      </c>
      <c r="CA42" s="13">
        <f t="shared" si="39"/>
        <v>45.299759292628629</v>
      </c>
      <c r="CB42" s="20">
        <f t="shared" si="10"/>
        <v>392.22152076799495</v>
      </c>
      <c r="CC42" s="59">
        <f t="shared" si="11"/>
        <v>685.55485410132826</v>
      </c>
      <c r="CD42" s="59">
        <f ca="1">AVERAGE(OFFSET($CC$3,0,0,'Données projet'!$E$12+1,1))-AVERAGE(OFFSET($H$3,0,0,'Données projet'!$E$12+1,1))</f>
        <v>269.77739619445515</v>
      </c>
      <c r="CE42" s="59">
        <f t="shared" si="40"/>
        <v>347.56964743629885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27.332192611525759</v>
      </c>
      <c r="CL42" s="21">
        <f>EXP(-LN(2)/25)*CL41+(1-EXP(-LN(2)/25))/(LN(2)/25)*Calculateur!CG42*Calculateur!CI42*VLOOKUP('Données projet'!$B$12,Paramètres!$A$1:$I$89,3,0)*0.475*44/12</f>
        <v>71.482266436687567</v>
      </c>
      <c r="CM42" s="21">
        <f>EXP(-LN(2)/2)*CM41+(1-EXP(-LN(2)/2))/(LN(2)/2)*CG42*CJ42*VLOOKUP('Données projet'!$B$12,Paramètres!$A$1:$I$89,3,0)*0.475*44/12</f>
        <v>1.0977101818212716E-3</v>
      </c>
      <c r="CN42" s="22">
        <f t="shared" si="12"/>
        <v>98.815556758395147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524</v>
      </c>
      <c r="L43" s="12">
        <f>VLOOKUP(A43,'Données projet'!$A$35:$I$55,9,0)</f>
        <v>29.6</v>
      </c>
      <c r="M43" s="12">
        <f t="array" ref="M43">INDEX(L:L,MIN(IF(ISNUMBER(L43:L239),ROW(L43:L239),"")))</f>
        <v>29.6</v>
      </c>
      <c r="N43" s="13">
        <f>IF('Données projet'!$A$36&gt;35,N42+M43-V42,IF(A43&lt;'Données projet'!$A$36,$K$205^A43,IF(A43='Données projet'!$A$36,'Données projet'!$B$36,N42+M43-V42)))</f>
        <v>524.00000000000023</v>
      </c>
      <c r="O43" s="13">
        <f>N43*VLOOKUP('Données projet'!$B$9,Paramètres!$A$1:$I$89,3,0)*VLOOKUP('Données projet'!$B$9,Paramètres!$A$1:$I$89,5,0)</f>
        <v>258.85600000000011</v>
      </c>
      <c r="P43" s="13">
        <f t="shared" si="33"/>
        <v>62.478460837483958</v>
      </c>
      <c r="Q43" s="20">
        <f t="shared" si="53"/>
        <v>559.65751929195142</v>
      </c>
      <c r="R43" s="59">
        <f t="shared" si="0"/>
        <v>852.99085262528479</v>
      </c>
      <c r="S43" s="59">
        <f ca="1">AVERAGE(OFFSET($R$3,0,0,'Données projet'!$E$9+1,1))-AVERAGE(OFFSET($H$3,0,0,'Données projet'!$E$9+1,1))</f>
        <v>434.08297999735811</v>
      </c>
      <c r="T43" s="59">
        <f t="shared" si="34"/>
        <v>371.04090283546122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52.889400809707595</v>
      </c>
      <c r="AA43" s="21">
        <f>EXP(-LN(2)/25)*AA42+(1-EXP(-LN(2)/25))/(LN(2)/25)*Calculateur!V43*Calculateur!X43*VLOOKUP('Données projet'!$B$9,Paramètres!$A$1:$I$89,3,0)*0.475*44/12</f>
        <v>39.187974414397871</v>
      </c>
      <c r="AB43" s="21">
        <f>EXP(-LN(2)/2)*AB42+(1-EXP(-LN(2)/2))/(LN(2)/2)*V43*Y43*VLOOKUP('Données projet'!$B$9,Paramètres!$A$1:$I$89,3,0)*0.475*44/12</f>
        <v>2.3487186000055851E-2</v>
      </c>
      <c r="AC43" s="22">
        <f t="shared" si="3"/>
        <v>92.10086241010552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331.52724290297675</v>
      </c>
      <c r="AO43" s="59">
        <f t="shared" si="36"/>
        <v>322.79102610158054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36.377865023821677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36.377865023821677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176.42039999999997</v>
      </c>
      <c r="BF43" s="13">
        <f t="shared" si="37"/>
        <v>44.5248624718784</v>
      </c>
      <c r="BG43" s="20">
        <f t="shared" si="7"/>
        <v>384.81299880518822</v>
      </c>
      <c r="BH43" s="59">
        <f t="shared" si="8"/>
        <v>678.14633213852153</v>
      </c>
      <c r="BI43" s="59">
        <f ca="1">AVERAGE(OFFSET($BH$3,0,0,'Données projet'!$E$11+1,1))-AVERAGE(OFFSET($H$3,0,0,'Données projet'!$E$11+1,1))</f>
        <v>273.84349636755343</v>
      </c>
      <c r="BJ43" s="59">
        <f t="shared" si="38"/>
        <v>268.10688874775451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30.67153325537906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30.67153325537906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13.9</v>
      </c>
      <c r="BY43" s="12">
        <f>IF('Données projet'!$A$114&gt;35,BY42+BX43-CG42,IF(A43&lt;'Données projet'!$A$114,$BV$205^A43,IF(A43='Données projet'!$A$114,'Données projet'!$B$114,BY42+BX43-CG42)))</f>
        <v>302.2000000000001</v>
      </c>
      <c r="BZ43" s="13">
        <f>BY43*VLOOKUP('Données projet'!$B$12,Paramètres!$A$1:$I$89,3,0)*VLOOKUP('Données projet'!$B$12,Paramètres!$A$1:$I$89,5,0)</f>
        <v>188.57280000000006</v>
      </c>
      <c r="CA43" s="13">
        <f t="shared" si="39"/>
        <v>47.224280864708376</v>
      </c>
      <c r="CB43" s="20">
        <f t="shared" si="10"/>
        <v>410.6799158393672</v>
      </c>
      <c r="CC43" s="59">
        <f t="shared" si="11"/>
        <v>704.01324917270051</v>
      </c>
      <c r="CD43" s="59">
        <f ca="1">AVERAGE(OFFSET($CC$3,0,0,'Données projet'!$E$12+1,1))-AVERAGE(OFFSET($H$3,0,0,'Données projet'!$E$12+1,1))</f>
        <v>269.77739619445515</v>
      </c>
      <c r="CE43" s="59">
        <f t="shared" si="40"/>
        <v>347.56964743629885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26.796224985405107</v>
      </c>
      <c r="CL43" s="21">
        <f>EXP(-LN(2)/25)*CL42+(1-EXP(-LN(2)/25))/(LN(2)/25)*Calculateur!CG43*Calculateur!CI43*VLOOKUP('Données projet'!$B$12,Paramètres!$A$1:$I$89,3,0)*0.475*44/12</f>
        <v>69.527580101887324</v>
      </c>
      <c r="CM43" s="21">
        <f>EXP(-LN(2)/2)*CM42+(1-EXP(-LN(2)/2))/(LN(2)/2)*CG43*CJ43*VLOOKUP('Données projet'!$B$12,Paramètres!$A$1:$I$89,3,0)*0.475*44/12</f>
        <v>7.761983133433392E-4</v>
      </c>
      <c r="CN43" s="22">
        <f t="shared" si="12"/>
        <v>96.324581285605774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28.2</v>
      </c>
      <c r="N44" s="13">
        <f>IF('Données projet'!$A$36&gt;35,N43+M44-V43,IF(A44&lt;'Données projet'!$A$36,$K$205^A44,IF(A44='Données projet'!$A$36,'Données projet'!$B$36,N43+M44-V43)))</f>
        <v>475.20000000000027</v>
      </c>
      <c r="O44" s="13">
        <f>N44*VLOOKUP('Données projet'!$B$9,Paramètres!$A$1:$I$89,3,0)*VLOOKUP('Données projet'!$B$9,Paramètres!$A$1:$I$89,5,0)</f>
        <v>234.74880000000016</v>
      </c>
      <c r="P44" s="13">
        <f t="shared" si="33"/>
        <v>57.308258637037845</v>
      </c>
      <c r="Q44" s="20">
        <f t="shared" si="53"/>
        <v>508.66604379284121</v>
      </c>
      <c r="R44" s="59">
        <f t="shared" si="0"/>
        <v>801.99937712617452</v>
      </c>
      <c r="S44" s="59">
        <f ca="1">AVERAGE(OFFSET($R$3,0,0,'Données projet'!$E$9+1,1))-AVERAGE(OFFSET($H$3,0,0,'Données projet'!$E$9+1,1))</f>
        <v>434.08297999735811</v>
      </c>
      <c r="T44" s="59">
        <f t="shared" si="34"/>
        <v>371.04090283546122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51.852271919178378</v>
      </c>
      <c r="AA44" s="21">
        <f>EXP(-LN(2)/25)*AA43+(1-EXP(-LN(2)/25))/(LN(2)/25)*Calculateur!V44*Calculateur!X44*VLOOKUP('Données projet'!$B$9,Paramètres!$A$1:$I$89,3,0)*0.475*44/12</f>
        <v>38.11637719323015</v>
      </c>
      <c r="AB44" s="21">
        <f>EXP(-LN(2)/2)*AB43+(1-EXP(-LN(2)/2))/(LN(2)/2)*V44*Y44*VLOOKUP('Données projet'!$B$9,Paramètres!$A$1:$I$89,3,0)*0.475*44/12</f>
        <v>1.6607948491629235E-2</v>
      </c>
      <c r="AC44" s="22">
        <f t="shared" si="3"/>
        <v>89.985257060900153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331.52724290297675</v>
      </c>
      <c r="AO44" s="59">
        <f t="shared" si="36"/>
        <v>322.79102610158054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35.664517279011285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35.664517279011285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157.23551999999995</v>
      </c>
      <c r="BF44" s="13">
        <f t="shared" si="37"/>
        <v>40.218348142057707</v>
      </c>
      <c r="BG44" s="20">
        <f t="shared" si="7"/>
        <v>343.89882034741709</v>
      </c>
      <c r="BH44" s="59">
        <f t="shared" si="8"/>
        <v>637.23215368075034</v>
      </c>
      <c r="BI44" s="59">
        <f ca="1">AVERAGE(OFFSET($BH$3,0,0,'Données projet'!$E$11+1,1))-AVERAGE(OFFSET($H$3,0,0,'Données projet'!$E$11+1,1))</f>
        <v>273.84349636755343</v>
      </c>
      <c r="BJ44" s="59">
        <f t="shared" si="38"/>
        <v>268.10688874775451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30.07008319602912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30.07008319602912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13.9</v>
      </c>
      <c r="BY44" s="12">
        <f>IF('Données projet'!$A$114&gt;35,BY43+BX44-CG43,IF(A44&lt;'Données projet'!$A$114,$BV$205^A44,IF(A44='Données projet'!$A$114,'Données projet'!$B$114,BY43+BX44-CG43)))</f>
        <v>316.10000000000008</v>
      </c>
      <c r="BZ44" s="13">
        <f>BY44*VLOOKUP('Données projet'!$B$12,Paramètres!$A$1:$I$89,3,0)*VLOOKUP('Données projet'!$B$12,Paramètres!$A$1:$I$89,5,0)</f>
        <v>197.24640000000005</v>
      </c>
      <c r="CA44" s="13">
        <f t="shared" si="39"/>
        <v>49.138522374247245</v>
      </c>
      <c r="CB44" s="20">
        <f t="shared" si="10"/>
        <v>429.12040646848072</v>
      </c>
      <c r="CC44" s="59">
        <f t="shared" si="11"/>
        <v>722.45373980181398</v>
      </c>
      <c r="CD44" s="59">
        <f ca="1">AVERAGE(OFFSET($CC$3,0,0,'Données projet'!$E$12+1,1))-AVERAGE(OFFSET($H$3,0,0,'Données projet'!$E$12+1,1))</f>
        <v>269.77739619445515</v>
      </c>
      <c r="CE44" s="59">
        <f t="shared" si="40"/>
        <v>347.56964743629885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26.270767357524711</v>
      </c>
      <c r="CL44" s="21">
        <f>EXP(-LN(2)/25)*CL43+(1-EXP(-LN(2)/25))/(LN(2)/25)*Calculateur!CG44*Calculateur!CI44*VLOOKUP('Données projet'!$B$12,Paramètres!$A$1:$I$89,3,0)*0.475*44/12</f>
        <v>67.62634476770468</v>
      </c>
      <c r="CM44" s="21">
        <f>EXP(-LN(2)/2)*CM43+(1-EXP(-LN(2)/2))/(LN(2)/2)*CG44*CJ44*VLOOKUP('Données projet'!$B$12,Paramètres!$A$1:$I$89,3,0)*0.475*44/12</f>
        <v>5.4885509091063579E-4</v>
      </c>
      <c r="CN44" s="22">
        <f t="shared" si="12"/>
        <v>93.89766098032031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28.2</v>
      </c>
      <c r="N45" s="13">
        <f>IF('Données projet'!$A$36&gt;35,N44+M45-V44,IF(A45&lt;'Données projet'!$A$36,$K$205^A45,IF(A45='Données projet'!$A$36,'Données projet'!$B$36,N44+M45-V44)))</f>
        <v>503.40000000000026</v>
      </c>
      <c r="O45" s="13">
        <f>N45*VLOOKUP('Données projet'!$B$9,Paramètres!$A$1:$I$89,3,0)*VLOOKUP('Données projet'!$B$9,Paramètres!$A$1:$I$89,5,0)</f>
        <v>248.67960000000016</v>
      </c>
      <c r="P45" s="13">
        <f t="shared" si="33"/>
        <v>60.303109981559402</v>
      </c>
      <c r="Q45" s="20">
        <f t="shared" si="53"/>
        <v>538.14488655121613</v>
      </c>
      <c r="R45" s="59">
        <f t="shared" si="0"/>
        <v>831.47821988454939</v>
      </c>
      <c r="S45" s="59">
        <f ca="1">AVERAGE(OFFSET($R$3,0,0,'Données projet'!$E$9+1,1))-AVERAGE(OFFSET($H$3,0,0,'Données projet'!$E$9+1,1))</f>
        <v>434.08297999735811</v>
      </c>
      <c r="T45" s="59">
        <f t="shared" si="34"/>
        <v>371.04090283546122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50.835480493606276</v>
      </c>
      <c r="AA45" s="21">
        <f>EXP(-LN(2)/25)*AA44+(1-EXP(-LN(2)/25))/(LN(2)/25)*Calculateur!V45*Calculateur!X45*VLOOKUP('Données projet'!$B$9,Paramètres!$A$1:$I$89,3,0)*0.475*44/12</f>
        <v>37.074082854428113</v>
      </c>
      <c r="AB45" s="21">
        <f>EXP(-LN(2)/2)*AB44+(1-EXP(-LN(2)/2))/(LN(2)/2)*V45*Y45*VLOOKUP('Données projet'!$B$9,Paramètres!$A$1:$I$89,3,0)*0.475*44/12</f>
        <v>1.1743593000027926E-2</v>
      </c>
      <c r="AC45" s="22">
        <f t="shared" si="3"/>
        <v>87.92130694103443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331.52724290297675</v>
      </c>
      <c r="AO45" s="59">
        <f t="shared" si="36"/>
        <v>322.79102610158054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34.965157848377466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34.965157848377466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164.88263999999995</v>
      </c>
      <c r="BF45" s="13">
        <f t="shared" si="37"/>
        <v>41.941874385207427</v>
      </c>
      <c r="BG45" s="20">
        <f t="shared" si="7"/>
        <v>360.21936255423617</v>
      </c>
      <c r="BH45" s="59">
        <f t="shared" si="8"/>
        <v>653.55269588756948</v>
      </c>
      <c r="BI45" s="59">
        <f ca="1">AVERAGE(OFFSET($BH$3,0,0,'Données projet'!$E$11+1,1))-AVERAGE(OFFSET($H$3,0,0,'Données projet'!$E$11+1,1))</f>
        <v>273.84349636755343</v>
      </c>
      <c r="BJ45" s="59">
        <f t="shared" si="38"/>
        <v>268.10688874775451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29.480427205494721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29.480427205494721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330</v>
      </c>
      <c r="BW45" s="12">
        <f>VLOOKUP(A45,'Données projet'!$A$113:$I$133,9,0)</f>
        <v>13.9</v>
      </c>
      <c r="BX45" s="12">
        <f t="array" ref="BX45">INDEX(BW:BW,MIN(IF(ISNUMBER(BW45:BW241),ROW(BW45:BW241),"")))</f>
        <v>13.9</v>
      </c>
      <c r="BY45" s="12">
        <f>IF('Données projet'!$A$114&gt;35,BY44+BX45-CG44,IF(A45&lt;'Données projet'!$A$114,$BV$205^A45,IF(A45='Données projet'!$A$114,'Données projet'!$B$114,BY44+BX45-CG44)))</f>
        <v>330.00000000000006</v>
      </c>
      <c r="BZ45" s="13">
        <f>BY45*VLOOKUP('Données projet'!$B$12,Paramètres!$A$1:$I$89,3,0)*VLOOKUP('Données projet'!$B$12,Paramètres!$A$1:$I$89,5,0)</f>
        <v>205.92000000000004</v>
      </c>
      <c r="CA45" s="13">
        <f t="shared" si="39"/>
        <v>51.042987531485686</v>
      </c>
      <c r="CB45" s="20">
        <f t="shared" si="10"/>
        <v>447.54386995067097</v>
      </c>
      <c r="CC45" s="59">
        <f t="shared" si="11"/>
        <v>740.87720328400428</v>
      </c>
      <c r="CD45" s="59">
        <f ca="1">AVERAGE(OFFSET($CC$3,0,0,'Données projet'!$E$12+1,1))-AVERAGE(OFFSET($H$3,0,0,'Données projet'!$E$12+1,1))</f>
        <v>269.77739619445515</v>
      </c>
      <c r="CE45" s="59">
        <f t="shared" si="40"/>
        <v>347.56964743629885</v>
      </c>
      <c r="CF45" s="15">
        <f>IF(ISNA(VLOOKUP(A45,'Données projet'!$A$113:$I$133,3,0)),0,VLOOKUP(A45,'Données projet'!$A$113:$I$133,3,0))</f>
        <v>6</v>
      </c>
      <c r="CG45" s="15">
        <f>IF(ISNA(VLOOKUP(A45,'Données projet'!$A$113:$I$133,4,0)),0,VLOOKUP(A45,'Données projet'!$A$113:$I$133,4,0))</f>
        <v>54.6</v>
      </c>
      <c r="CH45" s="16">
        <f>IF(ISNA(VLOOKUP(A45,'Données projet'!$A$113:$I$133,5,0)),0%,VLOOKUP(A45,'Données projet'!$A$113:$I$133,5,0)*VLOOKUP('Données projet'!$B$12,Paramètres!$A$1:$I$89,7,0))</f>
        <v>0.6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52.873562606793925</v>
      </c>
      <c r="CL45" s="21">
        <f>EXP(-LN(2)/25)*CL44+(1-EXP(-LN(2)/25))/(LN(2)/25)*Calculateur!CG45*Calculateur!CI45*VLOOKUP('Données projet'!$B$12,Paramètres!$A$1:$I$89,3,0)*0.475*44/12</f>
        <v>65.77709881371689</v>
      </c>
      <c r="CM45" s="21">
        <f>EXP(-LN(2)/2)*CM44+(1-EXP(-LN(2)/2))/(LN(2)/2)*CG45*CJ45*VLOOKUP('Données projet'!$B$12,Paramètres!$A$1:$I$89,3,0)*0.475*44/12</f>
        <v>3.880991566716696E-4</v>
      </c>
      <c r="CN45" s="22">
        <f t="shared" si="12"/>
        <v>118.65104951966748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28.2</v>
      </c>
      <c r="N46" s="13">
        <f>IF('Données projet'!$A$36&gt;35,N45+M46-V45,IF(A46&lt;'Données projet'!$A$36,$K$205^A46,IF(A46='Données projet'!$A$36,'Données projet'!$B$36,N45+M46-V45)))</f>
        <v>531.60000000000025</v>
      </c>
      <c r="O46" s="13">
        <f>N46*VLOOKUP('Données projet'!$B$9,Paramètres!$A$1:$I$89,3,0)*VLOOKUP('Données projet'!$B$9,Paramètres!$A$1:$I$89,5,0)</f>
        <v>262.61040000000014</v>
      </c>
      <c r="P46" s="13">
        <f t="shared" si="33"/>
        <v>63.278485817210225</v>
      </c>
      <c r="Q46" s="20">
        <f t="shared" si="53"/>
        <v>567.58980946497468</v>
      </c>
      <c r="R46" s="59">
        <f t="shared" si="0"/>
        <v>860.92314279830794</v>
      </c>
      <c r="S46" s="59">
        <f ca="1">AVERAGE(OFFSET($R$3,0,0,'Données projet'!$E$9+1,1))-AVERAGE(OFFSET($H$3,0,0,'Données projet'!$E$9+1,1))</f>
        <v>434.08297999735811</v>
      </c>
      <c r="T46" s="59">
        <f t="shared" si="34"/>
        <v>371.04090283546122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49.838627727708115</v>
      </c>
      <c r="AA46" s="21">
        <f>EXP(-LN(2)/25)*AA45+(1-EXP(-LN(2)/25))/(LN(2)/25)*Calculateur!V46*Calculateur!X46*VLOOKUP('Données projet'!$B$9,Paramètres!$A$1:$I$89,3,0)*0.475*44/12</f>
        <v>36.060290109132495</v>
      </c>
      <c r="AB46" s="21">
        <f>EXP(-LN(2)/2)*AB45+(1-EXP(-LN(2)/2))/(LN(2)/2)*V46*Y46*VLOOKUP('Données projet'!$B$9,Paramètres!$A$1:$I$89,3,0)*0.475*44/12</f>
        <v>8.3039742458146173E-3</v>
      </c>
      <c r="AC46" s="22">
        <f t="shared" si="3"/>
        <v>85.90722181108643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331.52724290297675</v>
      </c>
      <c r="AO46" s="59">
        <f t="shared" si="36"/>
        <v>322.79102610158054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34.279512429611238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34.279512429611238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172.52975999999995</v>
      </c>
      <c r="BF46" s="13">
        <f t="shared" si="37"/>
        <v>43.656117667170463</v>
      </c>
      <c r="BG46" s="20">
        <f t="shared" si="7"/>
        <v>376.52373693698843</v>
      </c>
      <c r="BH46" s="59">
        <f t="shared" si="8"/>
        <v>669.85707027032174</v>
      </c>
      <c r="BI46" s="59">
        <f ca="1">AVERAGE(OFFSET($BH$3,0,0,'Données projet'!$E$11+1,1))-AVERAGE(OFFSET($H$3,0,0,'Données projet'!$E$11+1,1))</f>
        <v>273.84349636755343</v>
      </c>
      <c r="BJ46" s="59">
        <f t="shared" si="38"/>
        <v>268.10688874775451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28.902334009280061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28.902334009280061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12.933333333333337</v>
      </c>
      <c r="BY46" s="12">
        <f>IF('Données projet'!$A$114&gt;35,BY45+BX46-CG45,IF(A46&lt;'Données projet'!$A$114,$BV$205^A46,IF(A46='Données projet'!$A$114,'Données projet'!$B$114,BY45+BX46-CG45)))</f>
        <v>288.33333333333337</v>
      </c>
      <c r="BZ46" s="13">
        <f>BY46*VLOOKUP('Données projet'!$B$12,Paramètres!$A$1:$I$89,3,0)*VLOOKUP('Données projet'!$B$12,Paramètres!$A$1:$I$89,5,0)</f>
        <v>179.92000000000002</v>
      </c>
      <c r="CA46" s="13">
        <f t="shared" si="39"/>
        <v>45.304387180011844</v>
      </c>
      <c r="CB46" s="20">
        <f t="shared" si="10"/>
        <v>392.26580767185396</v>
      </c>
      <c r="CC46" s="59">
        <f t="shared" si="11"/>
        <v>685.59914100518722</v>
      </c>
      <c r="CD46" s="59">
        <f ca="1">AVERAGE(OFFSET($CC$3,0,0,'Données projet'!$E$12+1,1))-AVERAGE(OFFSET($H$3,0,0,'Données projet'!$E$12+1,1))</f>
        <v>269.77739619445515</v>
      </c>
      <c r="CE46" s="59">
        <f t="shared" si="40"/>
        <v>347.56964743629885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51.836744293763495</v>
      </c>
      <c r="CL46" s="21">
        <f>EXP(-LN(2)/25)*CL45+(1-EXP(-LN(2)/25))/(LN(2)/25)*Calculateur!CG46*Calculateur!CI46*VLOOKUP('Données projet'!$B$12,Paramètres!$A$1:$I$89,3,0)*0.475*44/12</f>
        <v>63.978420587588509</v>
      </c>
      <c r="CM46" s="21">
        <f>EXP(-LN(2)/2)*CM45+(1-EXP(-LN(2)/2))/(LN(2)/2)*CG46*CJ46*VLOOKUP('Données projet'!$B$12,Paramètres!$A$1:$I$89,3,0)*0.475*44/12</f>
        <v>2.744275454553179E-4</v>
      </c>
      <c r="CN46" s="22">
        <f t="shared" si="12"/>
        <v>115.81543930889745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28.2</v>
      </c>
      <c r="N47" s="13">
        <f>IF('Données projet'!$A$36&gt;35,N46+M47-V46,IF(A47&lt;'Données projet'!$A$36,$K$205^A47,IF(A47='Données projet'!$A$36,'Données projet'!$B$36,N46+M47-V46)))</f>
        <v>559.8000000000003</v>
      </c>
      <c r="O47" s="13">
        <f>N47*VLOOKUP('Données projet'!$B$9,Paramètres!$A$1:$I$89,3,0)*VLOOKUP('Données projet'!$B$9,Paramètres!$A$1:$I$89,5,0)</f>
        <v>276.54120000000012</v>
      </c>
      <c r="P47" s="13">
        <f t="shared" si="33"/>
        <v>66.235537078709044</v>
      </c>
      <c r="Q47" s="20">
        <f t="shared" si="53"/>
        <v>597.00281707875183</v>
      </c>
      <c r="R47" s="59">
        <f t="shared" si="0"/>
        <v>890.33615041208509</v>
      </c>
      <c r="S47" s="59">
        <f ca="1">AVERAGE(OFFSET($R$3,0,0,'Données projet'!$E$9+1,1))-AVERAGE(OFFSET($H$3,0,0,'Données projet'!$E$9+1,1))</f>
        <v>434.08297999735811</v>
      </c>
      <c r="T47" s="59">
        <f t="shared" si="34"/>
        <v>371.04090283546122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48.861322636529067</v>
      </c>
      <c r="AA47" s="21">
        <f>EXP(-LN(2)/25)*AA46+(1-EXP(-LN(2)/25))/(LN(2)/25)*Calculateur!V47*Calculateur!X47*VLOOKUP('Données projet'!$B$9,Paramètres!$A$1:$I$89,3,0)*0.475*44/12</f>
        <v>35.07421957977003</v>
      </c>
      <c r="AB47" s="21">
        <f>EXP(-LN(2)/2)*AB46+(1-EXP(-LN(2)/2))/(LN(2)/2)*V47*Y47*VLOOKUP('Données projet'!$B$9,Paramètres!$A$1:$I$89,3,0)*0.475*44/12</f>
        <v>5.8717965000139628E-3</v>
      </c>
      <c r="AC47" s="22">
        <f t="shared" si="3"/>
        <v>83.941414012799115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331.52724290297675</v>
      </c>
      <c r="AO47" s="59">
        <f t="shared" si="36"/>
        <v>322.79102610158054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33.607312099304608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33.607312099304608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180.17687999999995</v>
      </c>
      <c r="BF47" s="13">
        <f t="shared" si="37"/>
        <v>45.361536457946897</v>
      </c>
      <c r="BG47" s="20">
        <f t="shared" si="7"/>
        <v>392.81274199759076</v>
      </c>
      <c r="BH47" s="59">
        <f t="shared" si="8"/>
        <v>686.14607533092408</v>
      </c>
      <c r="BI47" s="59">
        <f ca="1">AVERAGE(OFFSET($BH$3,0,0,'Données projet'!$E$11+1,1))-AVERAGE(OFFSET($H$3,0,0,'Données projet'!$E$11+1,1))</f>
        <v>273.84349636755343</v>
      </c>
      <c r="BJ47" s="59">
        <f t="shared" si="38"/>
        <v>268.10688874775451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28.335576868041137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28.335576868041137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12.933333333333337</v>
      </c>
      <c r="BY47" s="12">
        <f>IF('Données projet'!$A$114&gt;35,BY46+BX47-CG46,IF(A47&lt;'Données projet'!$A$114,$BV$205^A47,IF(A47='Données projet'!$A$114,'Données projet'!$B$114,BY46+BX47-CG46)))</f>
        <v>301.26666666666671</v>
      </c>
      <c r="BZ47" s="13">
        <f>BY47*VLOOKUP('Données projet'!$B$12,Paramètres!$A$1:$I$89,3,0)*VLOOKUP('Données projet'!$B$12,Paramètres!$A$1:$I$89,5,0)</f>
        <v>187.99040000000002</v>
      </c>
      <c r="CA47" s="13">
        <f t="shared" si="39"/>
        <v>47.095384246362833</v>
      </c>
      <c r="CB47" s="20">
        <f t="shared" si="10"/>
        <v>409.44107422908195</v>
      </c>
      <c r="CC47" s="59">
        <f t="shared" si="11"/>
        <v>702.77440756241526</v>
      </c>
      <c r="CD47" s="59">
        <f ca="1">AVERAGE(OFFSET($CC$3,0,0,'Données projet'!$E$12+1,1))-AVERAGE(OFFSET($H$3,0,0,'Données projet'!$E$12+1,1))</f>
        <v>269.77739619445515</v>
      </c>
      <c r="CE47" s="59">
        <f t="shared" si="40"/>
        <v>347.56964743629885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50.820257355454864</v>
      </c>
      <c r="CL47" s="21">
        <f>EXP(-LN(2)/25)*CL46+(1-EXP(-LN(2)/25))/(LN(2)/25)*Calculateur!CG47*Calculateur!CI47*VLOOKUP('Données projet'!$B$12,Paramètres!$A$1:$I$89,3,0)*0.475*44/12</f>
        <v>62.228927312141984</v>
      </c>
      <c r="CM47" s="21">
        <f>EXP(-LN(2)/2)*CM46+(1-EXP(-LN(2)/2))/(LN(2)/2)*CG47*CJ47*VLOOKUP('Données projet'!$B$12,Paramètres!$A$1:$I$89,3,0)*0.475*44/12</f>
        <v>1.940495783358348E-4</v>
      </c>
      <c r="CN47" s="22">
        <f t="shared" si="12"/>
        <v>113.04937871717519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588</v>
      </c>
      <c r="L48" s="12">
        <f>VLOOKUP(A48,'Données projet'!$A$35:$I$55,9,0)</f>
        <v>28.2</v>
      </c>
      <c r="M48" s="12">
        <f t="array" ref="M48">INDEX(L:L,MIN(IF(ISNUMBER(L48:L244),ROW(L48:L244),"")))</f>
        <v>28.2</v>
      </c>
      <c r="N48" s="13">
        <f>IF('Données projet'!$A$36&gt;35,N47+M48-V47,IF(A48&lt;'Données projet'!$A$36,$K$205^A48,IF(A48='Données projet'!$A$36,'Données projet'!$B$36,N47+M48-V47)))</f>
        <v>588.00000000000034</v>
      </c>
      <c r="O48" s="13">
        <f>N48*VLOOKUP('Données projet'!$B$9,Paramètres!$A$1:$I$89,3,0)*VLOOKUP('Données projet'!$B$9,Paramètres!$A$1:$I$89,5,0)</f>
        <v>290.47200000000021</v>
      </c>
      <c r="P48" s="13">
        <f t="shared" si="33"/>
        <v>69.175292193663694</v>
      </c>
      <c r="Q48" s="20">
        <f t="shared" si="53"/>
        <v>626.38570057063134</v>
      </c>
      <c r="R48" s="59">
        <f t="shared" si="0"/>
        <v>919.7190339039646</v>
      </c>
      <c r="S48" s="59">
        <f ca="1">AVERAGE(OFFSET($R$3,0,0,'Données projet'!$E$9+1,1))-AVERAGE(OFFSET($H$3,0,0,'Données projet'!$E$9+1,1))</f>
        <v>434.08297999735811</v>
      </c>
      <c r="T48" s="59">
        <f t="shared" si="34"/>
        <v>371.04090283546122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77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75.656104217895873</v>
      </c>
      <c r="AA48" s="21">
        <f>EXP(-LN(2)/25)*AA47+(1-EXP(-LN(2)/25))/(LN(2)/25)*Calculateur!V48*Calculateur!X48*VLOOKUP('Données projet'!$B$9,Paramètres!$A$1:$I$89,3,0)*0.475*44/12</f>
        <v>34.115113200888175</v>
      </c>
      <c r="AB48" s="21">
        <f>EXP(-LN(2)/2)*AB47+(1-EXP(-LN(2)/2))/(LN(2)/2)*V48*Y48*VLOOKUP('Données projet'!$B$9,Paramètres!$A$1:$I$89,3,0)*0.475*44/12</f>
        <v>4.1519871229073087E-3</v>
      </c>
      <c r="AC48" s="22">
        <f t="shared" si="3"/>
        <v>109.77536940590696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331.52724290297675</v>
      </c>
      <c r="AO48" s="59">
        <f t="shared" si="36"/>
        <v>322.79102610158054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45.067971791392978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45.067971791392978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187.82399999999993</v>
      </c>
      <c r="BF48" s="13">
        <f t="shared" si="37"/>
        <v>47.058548109182688</v>
      </c>
      <c r="BG48" s="20">
        <f t="shared" si="7"/>
        <v>409.08710462349296</v>
      </c>
      <c r="BH48" s="59">
        <f t="shared" si="8"/>
        <v>702.42043795682628</v>
      </c>
      <c r="BI48" s="59">
        <f ca="1">AVERAGE(OFFSET($BH$3,0,0,'Données projet'!$E$11+1,1))-AVERAGE(OFFSET($H$3,0,0,'Données projet'!$E$11+1,1))</f>
        <v>273.84349636755343</v>
      </c>
      <c r="BJ48" s="59">
        <f t="shared" si="38"/>
        <v>268.10688874775451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37.998486020194072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37.998486020194072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12.933333333333337</v>
      </c>
      <c r="BY48" s="12">
        <f>IF('Données projet'!$A$114&gt;35,BY47+BX48-CG47,IF(A48&lt;'Données projet'!$A$114,$BV$205^A48,IF(A48='Données projet'!$A$114,'Données projet'!$B$114,BY47+BX48-CG47)))</f>
        <v>314.20000000000005</v>
      </c>
      <c r="BZ48" s="13">
        <f>BY48*VLOOKUP('Données projet'!$B$12,Paramètres!$A$1:$I$89,3,0)*VLOOKUP('Données projet'!$B$12,Paramètres!$A$1:$I$89,5,0)</f>
        <v>196.0608</v>
      </c>
      <c r="CA48" s="13">
        <f t="shared" si="39"/>
        <v>48.877451065142239</v>
      </c>
      <c r="CB48" s="20">
        <f t="shared" si="10"/>
        <v>426.60078727178939</v>
      </c>
      <c r="CC48" s="59">
        <f t="shared" si="11"/>
        <v>719.93412060512264</v>
      </c>
      <c r="CD48" s="59">
        <f ca="1">AVERAGE(OFFSET($CC$3,0,0,'Données projet'!$E$12+1,1))-AVERAGE(OFFSET($H$3,0,0,'Données projet'!$E$12+1,1))</f>
        <v>269.77739619445515</v>
      </c>
      <c r="CE48" s="59">
        <f t="shared" si="40"/>
        <v>347.56964743629885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49.823703106010655</v>
      </c>
      <c r="CL48" s="21">
        <f>EXP(-LN(2)/25)*CL47+(1-EXP(-LN(2)/25))/(LN(2)/25)*Calculateur!CG48*Calculateur!CI48*VLOOKUP('Données projet'!$B$12,Paramètres!$A$1:$I$89,3,0)*0.475*44/12</f>
        <v>60.527274022314401</v>
      </c>
      <c r="CM48" s="21">
        <f>EXP(-LN(2)/2)*CM47+(1-EXP(-LN(2)/2))/(LN(2)/2)*CG48*CJ48*VLOOKUP('Données projet'!$B$12,Paramètres!$A$1:$I$89,3,0)*0.475*44/12</f>
        <v>1.3721377272765895E-4</v>
      </c>
      <c r="CN48" s="22">
        <f t="shared" si="12"/>
        <v>110.35111434209779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26.6</v>
      </c>
      <c r="N49" s="13">
        <f>IF('Données projet'!$A$36&gt;35,N48+M49-V48,IF(A49&lt;'Données projet'!$A$36,$K$205^A49,IF(A49='Données projet'!$A$36,'Données projet'!$B$36,N48+M49-V48)))</f>
        <v>537.60000000000036</v>
      </c>
      <c r="O49" s="13">
        <f>N49*VLOOKUP('Données projet'!$B$9,Paramètres!$A$1:$I$89,3,0)*VLOOKUP('Données projet'!$B$9,Paramètres!$A$1:$I$89,5,0)</f>
        <v>265.5744000000002</v>
      </c>
      <c r="P49" s="13">
        <f t="shared" si="33"/>
        <v>63.909143775438601</v>
      </c>
      <c r="Q49" s="20">
        <f t="shared" si="53"/>
        <v>573.85050540888926</v>
      </c>
      <c r="R49" s="59">
        <f t="shared" si="0"/>
        <v>867.18383874222263</v>
      </c>
      <c r="S49" s="59">
        <f ca="1">AVERAGE(OFFSET($R$3,0,0,'Données projet'!$E$9+1,1))-AVERAGE(OFFSET($H$3,0,0,'Données projet'!$E$9+1,1))</f>
        <v>434.08297999735811</v>
      </c>
      <c r="T49" s="59">
        <f t="shared" si="34"/>
        <v>371.04090283546122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74.172534159850002</v>
      </c>
      <c r="AA49" s="21">
        <f>EXP(-LN(2)/25)*AA48+(1-EXP(-LN(2)/25))/(LN(2)/25)*Calculateur!V49*Calculateur!X49*VLOOKUP('Données projet'!$B$9,Paramètres!$A$1:$I$89,3,0)*0.475*44/12</f>
        <v>33.182233636374058</v>
      </c>
      <c r="AB49" s="21">
        <f>EXP(-LN(2)/2)*AB48+(1-EXP(-LN(2)/2))/(LN(2)/2)*V49*Y49*VLOOKUP('Données projet'!$B$9,Paramètres!$A$1:$I$89,3,0)*0.475*44/12</f>
        <v>2.9358982500069814E-3</v>
      </c>
      <c r="AC49" s="22">
        <f t="shared" si="3"/>
        <v>107.35770369447405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331.52724290297675</v>
      </c>
      <c r="AO49" s="59">
        <f t="shared" si="36"/>
        <v>322.79102610158054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44.184216353312266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44.184216353312266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176.95703999999995</v>
      </c>
      <c r="BF49" s="13">
        <f t="shared" si="37"/>
        <v>44.64451330516016</v>
      </c>
      <c r="BG49" s="20">
        <f t="shared" si="7"/>
        <v>385.95603867315384</v>
      </c>
      <c r="BH49" s="59">
        <f t="shared" si="8"/>
        <v>679.28937200648716</v>
      </c>
      <c r="BI49" s="59">
        <f ca="1">AVERAGE(OFFSET($BH$3,0,0,'Données projet'!$E$11+1,1))-AVERAGE(OFFSET($H$3,0,0,'Données projet'!$E$11+1,1))</f>
        <v>273.84349636755343</v>
      </c>
      <c r="BJ49" s="59">
        <f t="shared" si="38"/>
        <v>268.10688874775451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37.253358886126023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37.253358886126023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12.933333333333337</v>
      </c>
      <c r="BY49" s="12">
        <f>IF('Données projet'!$A$114&gt;35,BY48+BX49-CG48,IF(A49&lt;'Données projet'!$A$114,$BV$205^A49,IF(A49='Données projet'!$A$114,'Données projet'!$B$114,BY48+BX49-CG48)))</f>
        <v>327.13333333333338</v>
      </c>
      <c r="BZ49" s="13">
        <f>BY49*VLOOKUP('Données projet'!$B$12,Paramètres!$A$1:$I$89,3,0)*VLOOKUP('Données projet'!$B$12,Paramètres!$A$1:$I$89,5,0)</f>
        <v>204.13120000000004</v>
      </c>
      <c r="CA49" s="13">
        <f t="shared" si="39"/>
        <v>50.650997272003906</v>
      </c>
      <c r="CB49" s="20">
        <f t="shared" si="10"/>
        <v>443.74566024874019</v>
      </c>
      <c r="CC49" s="59">
        <f t="shared" si="11"/>
        <v>737.07899358207351</v>
      </c>
      <c r="CD49" s="59">
        <f ca="1">AVERAGE(OFFSET($CC$3,0,0,'Données projet'!$E$12+1,1))-AVERAGE(OFFSET($H$3,0,0,'Données projet'!$E$12+1,1))</f>
        <v>269.77739619445515</v>
      </c>
      <c r="CE49" s="59">
        <f t="shared" si="40"/>
        <v>347.56964743629885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48.84669067755997</v>
      </c>
      <c r="CL49" s="21">
        <f>EXP(-LN(2)/25)*CL48+(1-EXP(-LN(2)/25))/(LN(2)/25)*Calculateur!CG49*Calculateur!CI49*VLOOKUP('Données projet'!$B$12,Paramètres!$A$1:$I$89,3,0)*0.475*44/12</f>
        <v>58.872152531183211</v>
      </c>
      <c r="CM49" s="21">
        <f>EXP(-LN(2)/2)*CM48+(1-EXP(-LN(2)/2))/(LN(2)/2)*CG49*CJ49*VLOOKUP('Données projet'!$B$12,Paramètres!$A$1:$I$89,3,0)*0.475*44/12</f>
        <v>9.70247891679174E-5</v>
      </c>
      <c r="CN49" s="22">
        <f t="shared" si="12"/>
        <v>107.71894023353235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26.6</v>
      </c>
      <c r="N50" s="13">
        <f>IF('Données projet'!$A$36&gt;35,N49+M50-V49,IF(A50&lt;'Données projet'!$A$36,$K$205^A50,IF(A50='Données projet'!$A$36,'Données projet'!$B$36,N49+M50-V49)))</f>
        <v>564.20000000000039</v>
      </c>
      <c r="O50" s="13">
        <f>N50*VLOOKUP('Données projet'!$B$9,Paramètres!$A$1:$I$89,3,0)*VLOOKUP('Données projet'!$B$9,Paramètres!$A$1:$I$89,5,0)</f>
        <v>278.7148000000002</v>
      </c>
      <c r="P50" s="13">
        <f t="shared" si="33"/>
        <v>66.695336497146968</v>
      </c>
      <c r="Q50" s="20">
        <f t="shared" si="53"/>
        <v>601.58932106586462</v>
      </c>
      <c r="R50" s="59">
        <f t="shared" si="0"/>
        <v>894.92265439919788</v>
      </c>
      <c r="S50" s="59">
        <f ca="1">AVERAGE(OFFSET($R$3,0,0,'Données projet'!$E$9+1,1))-AVERAGE(OFFSET($H$3,0,0,'Données projet'!$E$9+1,1))</f>
        <v>434.08297999735811</v>
      </c>
      <c r="T50" s="59">
        <f t="shared" si="34"/>
        <v>371.04090283546122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72.718056005754022</v>
      </c>
      <c r="AA50" s="21">
        <f>EXP(-LN(2)/25)*AA49+(1-EXP(-LN(2)/25))/(LN(2)/25)*Calculateur!V50*Calculateur!X50*VLOOKUP('Données projet'!$B$9,Paramètres!$A$1:$I$89,3,0)*0.475*44/12</f>
        <v>32.27486371260958</v>
      </c>
      <c r="AB50" s="21">
        <f>EXP(-LN(2)/2)*AB49+(1-EXP(-LN(2)/2))/(LN(2)/2)*V50*Y50*VLOOKUP('Données projet'!$B$9,Paramètres!$A$1:$I$89,3,0)*0.475*44/12</f>
        <v>2.0759935614536543E-3</v>
      </c>
      <c r="AC50" s="22">
        <f t="shared" si="3"/>
        <v>104.99499571192504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331.52724290297675</v>
      </c>
      <c r="AO50" s="59">
        <f t="shared" si="36"/>
        <v>322.79102610158054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43.317790820334722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43.317790820334722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183.53087999999994</v>
      </c>
      <c r="BF50" s="13">
        <f t="shared" si="37"/>
        <v>46.106851562826662</v>
      </c>
      <c r="BG50" s="20">
        <f t="shared" si="7"/>
        <v>399.95238247192304</v>
      </c>
      <c r="BH50" s="59">
        <f t="shared" si="8"/>
        <v>693.28571580525636</v>
      </c>
      <c r="BI50" s="59">
        <f ca="1">AVERAGE(OFFSET($BH$3,0,0,'Données projet'!$E$11+1,1))-AVERAGE(OFFSET($H$3,0,0,'Données projet'!$E$11+1,1))</f>
        <v>273.84349636755343</v>
      </c>
      <c r="BJ50" s="59">
        <f t="shared" si="38"/>
        <v>268.10688874775451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36.522843240674369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36.522843240674369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12.933333333333337</v>
      </c>
      <c r="BY50" s="12">
        <f>IF('Données projet'!$A$114&gt;35,BY49+BX50-CG49,IF(A50&lt;'Données projet'!$A$114,$BV$205^A50,IF(A50='Données projet'!$A$114,'Données projet'!$B$114,BY49+BX50-CG49)))</f>
        <v>340.06666666666672</v>
      </c>
      <c r="BZ50" s="13">
        <f>BY50*VLOOKUP('Données projet'!$B$12,Paramètres!$A$1:$I$89,3,0)*VLOOKUP('Données projet'!$B$12,Paramètres!$A$1:$I$89,5,0)</f>
        <v>212.20160000000004</v>
      </c>
      <c r="CA50" s="13">
        <f t="shared" si="39"/>
        <v>52.416398278764817</v>
      </c>
      <c r="CB50" s="20">
        <f t="shared" si="10"/>
        <v>460.87634700218206</v>
      </c>
      <c r="CC50" s="59">
        <f t="shared" si="11"/>
        <v>754.20968033551537</v>
      </c>
      <c r="CD50" s="59">
        <f ca="1">AVERAGE(OFFSET($CC$3,0,0,'Données projet'!$E$12+1,1))-AVERAGE(OFFSET($H$3,0,0,'Données projet'!$E$12+1,1))</f>
        <v>269.77739619445515</v>
      </c>
      <c r="CE50" s="59">
        <f t="shared" si="40"/>
        <v>347.56964743629885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47.888836866912463</v>
      </c>
      <c r="CL50" s="21">
        <f>EXP(-LN(2)/25)*CL49+(1-EXP(-LN(2)/25))/(LN(2)/25)*Calculateur!CG50*Calculateur!CI50*VLOOKUP('Données projet'!$B$12,Paramètres!$A$1:$I$89,3,0)*0.475*44/12</f>
        <v>57.262290424266055</v>
      </c>
      <c r="CM50" s="21">
        <f>EXP(-LN(2)/2)*CM49+(1-EXP(-LN(2)/2))/(LN(2)/2)*CG50*CJ50*VLOOKUP('Données projet'!$B$12,Paramètres!$A$1:$I$89,3,0)*0.475*44/12</f>
        <v>6.8606886363829474E-5</v>
      </c>
      <c r="CN50" s="22">
        <f t="shared" si="12"/>
        <v>105.15119589806487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26.6</v>
      </c>
      <c r="N51" s="13">
        <f>IF('Données projet'!$A$36&gt;35,N50+M51-V50,IF(A51&lt;'Données projet'!$A$36,$K$205^A51,IF(A51='Données projet'!$A$36,'Données projet'!$B$36,N50+M51-V50)))</f>
        <v>590.80000000000041</v>
      </c>
      <c r="O51" s="13">
        <f>N51*VLOOKUP('Données projet'!$B$9,Paramètres!$A$1:$I$89,3,0)*VLOOKUP('Données projet'!$B$9,Paramètres!$A$1:$I$89,5,0)</f>
        <v>291.8552000000002</v>
      </c>
      <c r="P51" s="13">
        <f t="shared" si="33"/>
        <v>69.466274947200503</v>
      </c>
      <c r="Q51" s="20">
        <f t="shared" si="53"/>
        <v>629.30156886637451</v>
      </c>
      <c r="R51" s="59">
        <f t="shared" si="0"/>
        <v>922.63490219970777</v>
      </c>
      <c r="S51" s="59">
        <f ca="1">AVERAGE(OFFSET($R$3,0,0,'Données projet'!$E$9+1,1))-AVERAGE(OFFSET($H$3,0,0,'Données projet'!$E$9+1,1))</f>
        <v>434.08297999735811</v>
      </c>
      <c r="T51" s="59">
        <f t="shared" si="34"/>
        <v>371.04090283546122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71.292099281115796</v>
      </c>
      <c r="AA51" s="21">
        <f>EXP(-LN(2)/25)*AA50+(1-EXP(-LN(2)/25))/(LN(2)/25)*Calculateur!V51*Calculateur!X51*VLOOKUP('Données projet'!$B$9,Paramètres!$A$1:$I$89,3,0)*0.475*44/12</f>
        <v>31.392305867126954</v>
      </c>
      <c r="AB51" s="21">
        <f>EXP(-LN(2)/2)*AB50+(1-EXP(-LN(2)/2))/(LN(2)/2)*V51*Y51*VLOOKUP('Données projet'!$B$9,Paramètres!$A$1:$I$89,3,0)*0.475*44/12</f>
        <v>1.4679491250034907E-3</v>
      </c>
      <c r="AC51" s="22">
        <f t="shared" si="3"/>
        <v>102.68587309736775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331.52724290297675</v>
      </c>
      <c r="AO51" s="59">
        <f t="shared" si="36"/>
        <v>322.79102610158054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42.468355363591478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42.468355363591478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190.10471999999996</v>
      </c>
      <c r="BF51" s="13">
        <f t="shared" si="37"/>
        <v>47.563104213884252</v>
      </c>
      <c r="BG51" s="20">
        <f t="shared" si="7"/>
        <v>413.93812717251495</v>
      </c>
      <c r="BH51" s="59">
        <f t="shared" si="8"/>
        <v>707.27146050584827</v>
      </c>
      <c r="BI51" s="59">
        <f ca="1">AVERAGE(OFFSET($BH$3,0,0,'Données projet'!$E$11+1,1))-AVERAGE(OFFSET($H$3,0,0,'Données projet'!$E$11+1,1))</f>
        <v>273.84349636755343</v>
      </c>
      <c r="BJ51" s="59">
        <f t="shared" si="38"/>
        <v>268.10688874775451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35.80665256145948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35.80665256145948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353</v>
      </c>
      <c r="BW51" s="12">
        <f>VLOOKUP(A51,'Données projet'!$A$113:$I$133,9,0)</f>
        <v>12.933333333333337</v>
      </c>
      <c r="BX51" s="12">
        <f t="array" ref="BX51">INDEX(BW:BW,MIN(IF(ISNUMBER(BW51:BW247),ROW(BW51:BW247),"")))</f>
        <v>12.933333333333337</v>
      </c>
      <c r="BY51" s="12">
        <f>IF('Données projet'!$A$114&gt;35,BY50+BX51-CG50,IF(A51&lt;'Données projet'!$A$114,$BV$205^A51,IF(A51='Données projet'!$A$114,'Données projet'!$B$114,BY50+BX51-CG50)))</f>
        <v>353.00000000000006</v>
      </c>
      <c r="BZ51" s="13">
        <f>BY51*VLOOKUP('Données projet'!$B$12,Paramètres!$A$1:$I$89,3,0)*VLOOKUP('Données projet'!$B$12,Paramètres!$A$1:$I$89,5,0)</f>
        <v>220.27200000000005</v>
      </c>
      <c r="CA51" s="13">
        <f t="shared" si="39"/>
        <v>54.173999324746809</v>
      </c>
      <c r="CB51" s="20">
        <f t="shared" si="10"/>
        <v>477.99344882393416</v>
      </c>
      <c r="CC51" s="59">
        <f t="shared" si="11"/>
        <v>771.32678215726742</v>
      </c>
      <c r="CD51" s="59">
        <f ca="1">AVERAGE(OFFSET($CC$3,0,0,'Données projet'!$E$12+1,1))-AVERAGE(OFFSET($H$3,0,0,'Données projet'!$E$12+1,1))</f>
        <v>269.77739619445515</v>
      </c>
      <c r="CE51" s="59">
        <f t="shared" si="40"/>
        <v>347.56964743629885</v>
      </c>
      <c r="CF51" s="15">
        <f>IF(ISNA(VLOOKUP(A51,'Données projet'!$A$113:$I$133,3,0)),0,VLOOKUP(A51,'Données projet'!$A$113:$I$133,3,0))</f>
        <v>7</v>
      </c>
      <c r="CG51" s="15">
        <f>IF(ISNA(VLOOKUP(A51,'Données projet'!$A$113:$I$133,4,0)),0,VLOOKUP(A51,'Données projet'!$A$113:$I$133,4,0))</f>
        <v>48.2</v>
      </c>
      <c r="CH51" s="16">
        <f>IF(ISNA(VLOOKUP(A51,'Données projet'!$A$113:$I$133,5,0)),0%,VLOOKUP(A51,'Données projet'!$A$113:$I$133,5,0)*VLOOKUP('Données projet'!$B$12,Paramètres!$A$1:$I$89,7,0))</f>
        <v>0.6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70.889054273276997</v>
      </c>
      <c r="CL51" s="21">
        <f>EXP(-LN(2)/25)*CL50+(1-EXP(-LN(2)/25))/(LN(2)/25)*Calculateur!CG51*Calculateur!CI51*VLOOKUP('Données projet'!$B$12,Paramètres!$A$1:$I$89,3,0)*0.475*44/12</f>
        <v>55.696450081321522</v>
      </c>
      <c r="CM51" s="21">
        <f>EXP(-LN(2)/2)*CM50+(1-EXP(-LN(2)/2))/(LN(2)/2)*CG51*CJ51*VLOOKUP('Données projet'!$B$12,Paramètres!$A$1:$I$89,3,0)*0.475*44/12</f>
        <v>4.85123945839587E-5</v>
      </c>
      <c r="CN51" s="22">
        <f t="shared" si="12"/>
        <v>126.58555286699311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26.6</v>
      </c>
      <c r="N52" s="13">
        <f>IF('Données projet'!$A$36&gt;35,N51+M52-V51,IF(A52&lt;'Données projet'!$A$36,$K$205^A52,IF(A52='Données projet'!$A$36,'Données projet'!$B$36,N51+M52-V51)))</f>
        <v>617.40000000000043</v>
      </c>
      <c r="O52" s="13">
        <f>N52*VLOOKUP('Données projet'!$B$9,Paramètres!$A$1:$I$89,3,0)*VLOOKUP('Données projet'!$B$9,Paramètres!$A$1:$I$89,5,0)</f>
        <v>304.99560000000025</v>
      </c>
      <c r="P52" s="13">
        <f t="shared" si="33"/>
        <v>72.222724395804605</v>
      </c>
      <c r="Q52" s="20">
        <f t="shared" si="53"/>
        <v>656.98858165602678</v>
      </c>
      <c r="R52" s="59">
        <f t="shared" si="0"/>
        <v>950.32191498936004</v>
      </c>
      <c r="S52" s="59">
        <f ca="1">AVERAGE(OFFSET($R$3,0,0,'Données projet'!$E$9+1,1))-AVERAGE(OFFSET($H$3,0,0,'Données projet'!$E$9+1,1))</f>
        <v>434.08297999735811</v>
      </c>
      <c r="T52" s="59">
        <f t="shared" si="34"/>
        <v>371.04090283546122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69.894104698099994</v>
      </c>
      <c r="AA52" s="21">
        <f>EXP(-LN(2)/25)*AA51+(1-EXP(-LN(2)/25))/(LN(2)/25)*Calculateur!V52*Calculateur!X52*VLOOKUP('Données projet'!$B$9,Paramètres!$A$1:$I$89,3,0)*0.475*44/12</f>
        <v>30.53388161234075</v>
      </c>
      <c r="AB52" s="21">
        <f>EXP(-LN(2)/2)*AB51+(1-EXP(-LN(2)/2))/(LN(2)/2)*V52*Y52*VLOOKUP('Données projet'!$B$9,Paramètres!$A$1:$I$89,3,0)*0.475*44/12</f>
        <v>1.0379967807268272E-3</v>
      </c>
      <c r="AC52" s="22">
        <f t="shared" si="3"/>
        <v>100.42902430722147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331.52724290297675</v>
      </c>
      <c r="AO52" s="59">
        <f t="shared" si="36"/>
        <v>322.79102610158054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41.635576818050495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41.635576818050495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196.67855999999995</v>
      </c>
      <c r="BF52" s="13">
        <f t="shared" si="37"/>
        <v>49.013505817347365</v>
      </c>
      <c r="BG52" s="20">
        <f t="shared" si="7"/>
        <v>427.91368129854658</v>
      </c>
      <c r="BH52" s="59">
        <f t="shared" si="8"/>
        <v>721.24701463187989</v>
      </c>
      <c r="BI52" s="59">
        <f ca="1">AVERAGE(OFFSET($BH$3,0,0,'Données projet'!$E$11+1,1))-AVERAGE(OFFSET($H$3,0,0,'Données projet'!$E$11+1,1))</f>
        <v>273.84349636755343</v>
      </c>
      <c r="BJ52" s="59">
        <f t="shared" si="38"/>
        <v>268.10688874775451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35.104505944630809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35.104505944630809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11.533333333333331</v>
      </c>
      <c r="BY52" s="12">
        <f>IF('Données projet'!$A$114&gt;35,BY51+BX52-CG51,IF(A52&lt;'Données projet'!$A$114,$BV$205^A52,IF(A52='Données projet'!$A$114,'Données projet'!$B$114,BY51+BX52-CG51)))</f>
        <v>316.33333333333343</v>
      </c>
      <c r="BZ52" s="13">
        <f>BY52*VLOOKUP('Données projet'!$B$12,Paramètres!$A$1:$I$89,3,0)*VLOOKUP('Données projet'!$B$12,Paramètres!$A$1:$I$89,5,0)</f>
        <v>197.39200000000005</v>
      </c>
      <c r="CA52" s="13">
        <f t="shared" si="39"/>
        <v>49.170571149417825</v>
      </c>
      <c r="CB52" s="20">
        <f t="shared" si="10"/>
        <v>429.42981141856944</v>
      </c>
      <c r="CC52" s="59">
        <f t="shared" si="11"/>
        <v>722.7631447519027</v>
      </c>
      <c r="CD52" s="59">
        <f ca="1">AVERAGE(OFFSET($CC$3,0,0,'Données projet'!$E$12+1,1))-AVERAGE(OFFSET($H$3,0,0,'Données projet'!$E$12+1,1))</f>
        <v>269.77739619445515</v>
      </c>
      <c r="CE52" s="59">
        <f t="shared" si="40"/>
        <v>347.56964743629885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69.498963157031739</v>
      </c>
      <c r="CL52" s="21">
        <f>EXP(-LN(2)/25)*CL51+(1-EXP(-LN(2)/25))/(LN(2)/25)*Calculateur!CG52*Calculateur!CI52*VLOOKUP('Données projet'!$B$12,Paramètres!$A$1:$I$89,3,0)*0.475*44/12</f>
        <v>54.173427724898772</v>
      </c>
      <c r="CM52" s="21">
        <f>EXP(-LN(2)/2)*CM51+(1-EXP(-LN(2)/2))/(LN(2)/2)*CG52*CJ52*VLOOKUP('Données projet'!$B$12,Paramètres!$A$1:$I$89,3,0)*0.475*44/12</f>
        <v>3.4303443181914737E-5</v>
      </c>
      <c r="CN52" s="22">
        <f t="shared" si="12"/>
        <v>123.6724251853737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644</v>
      </c>
      <c r="L53" s="12">
        <f>VLOOKUP(A53,'Données projet'!$A$35:$I$55,9,0)</f>
        <v>26.6</v>
      </c>
      <c r="M53" s="12">
        <f t="array" ref="M53">INDEX(L:L,MIN(IF(ISNUMBER(L53:L249),ROW(L53:L249),"")))</f>
        <v>26.6</v>
      </c>
      <c r="N53" s="13">
        <f>IF('Données projet'!$A$36&gt;35,N52+M53-V52,IF(A53&lt;'Données projet'!$A$36,$K$205^A53,IF(A53='Données projet'!$A$36,'Données projet'!$B$36,N52+M53-V52)))</f>
        <v>644.00000000000045</v>
      </c>
      <c r="O53" s="13">
        <f>N53*VLOOKUP('Données projet'!$B$9,Paramètres!$A$1:$I$89,3,0)*VLOOKUP('Données projet'!$B$9,Paramètres!$A$1:$I$89,5,0)</f>
        <v>318.13600000000025</v>
      </c>
      <c r="P53" s="13">
        <f t="shared" si="33"/>
        <v>74.965380442161234</v>
      </c>
      <c r="Q53" s="20">
        <f t="shared" si="53"/>
        <v>684.65157093676453</v>
      </c>
      <c r="R53" s="59">
        <f t="shared" si="0"/>
        <v>977.98490427009779</v>
      </c>
      <c r="S53" s="59">
        <f ca="1">AVERAGE(OFFSET($R$3,0,0,'Données projet'!$E$9+1,1))-AVERAGE(OFFSET($H$3,0,0,'Données projet'!$E$9+1,1))</f>
        <v>434.08297999735811</v>
      </c>
      <c r="T53" s="59">
        <f t="shared" si="34"/>
        <v>371.04090283546122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77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96.276446251969716</v>
      </c>
      <c r="AA53" s="21">
        <f>EXP(-LN(2)/25)*AA52+(1-EXP(-LN(2)/25))/(LN(2)/25)*Calculateur!V53*Calculateur!X53*VLOOKUP('Données projet'!$B$9,Paramètres!$A$1:$I$89,3,0)*0.475*44/12</f>
        <v>29.698931013944243</v>
      </c>
      <c r="AB53" s="21">
        <f>EXP(-LN(2)/2)*AB52+(1-EXP(-LN(2)/2))/(LN(2)/2)*V53*Y53*VLOOKUP('Données projet'!$B$9,Paramètres!$A$1:$I$89,3,0)*0.475*44/12</f>
        <v>7.3397456250174535E-4</v>
      </c>
      <c r="AC53" s="22">
        <f t="shared" si="3"/>
        <v>125.97611124047647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331.52724290297675</v>
      </c>
      <c r="AO53" s="59">
        <f t="shared" si="36"/>
        <v>322.79102610158054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50.608099715777719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50.608099715777719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203.25239999999994</v>
      </c>
      <c r="BF53" s="13">
        <f t="shared" si="37"/>
        <v>50.458274362577384</v>
      </c>
      <c r="BG53" s="20">
        <f t="shared" si="7"/>
        <v>441.87942451482218</v>
      </c>
      <c r="BH53" s="59">
        <f t="shared" si="8"/>
        <v>735.21275784815543</v>
      </c>
      <c r="BI53" s="59">
        <f ca="1">AVERAGE(OFFSET($BH$3,0,0,'Données projet'!$E$11+1,1))-AVERAGE(OFFSET($H$3,0,0,'Données projet'!$E$11+1,1))</f>
        <v>273.84349636755343</v>
      </c>
      <c r="BJ53" s="59">
        <f t="shared" si="38"/>
        <v>268.10688874775451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42.669574270165526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42.669574270165526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11.533333333333331</v>
      </c>
      <c r="BY53" s="12">
        <f>IF('Données projet'!$A$114&gt;35,BY52+BX53-CG52,IF(A53&lt;'Données projet'!$A$114,$BV$205^A53,IF(A53='Données projet'!$A$114,'Données projet'!$B$114,BY52+BX53-CG52)))</f>
        <v>327.86666666666679</v>
      </c>
      <c r="BZ53" s="13">
        <f>BY53*VLOOKUP('Données projet'!$B$12,Paramètres!$A$1:$I$89,3,0)*VLOOKUP('Données projet'!$B$12,Paramètres!$A$1:$I$89,5,0)</f>
        <v>204.58880000000008</v>
      </c>
      <c r="CA53" s="13">
        <f t="shared" si="39"/>
        <v>50.751311773101563</v>
      </c>
      <c r="CB53" s="20">
        <f t="shared" si="10"/>
        <v>444.71736133815199</v>
      </c>
      <c r="CC53" s="59">
        <f t="shared" si="11"/>
        <v>738.0506946714853</v>
      </c>
      <c r="CD53" s="59">
        <f ca="1">AVERAGE(OFFSET($CC$3,0,0,'Données projet'!$E$12+1,1))-AVERAGE(OFFSET($H$3,0,0,'Données projet'!$E$12+1,1))</f>
        <v>269.77739619445515</v>
      </c>
      <c r="CE53" s="59">
        <f t="shared" si="40"/>
        <v>347.56964743629885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68.136130879704183</v>
      </c>
      <c r="CL53" s="21">
        <f>EXP(-LN(2)/25)*CL52+(1-EXP(-LN(2)/25))/(LN(2)/25)*Calculateur!CG53*Calculateur!CI53*VLOOKUP('Données projet'!$B$12,Paramètres!$A$1:$I$89,3,0)*0.475*44/12</f>
        <v>52.692052494904665</v>
      </c>
      <c r="CM53" s="21">
        <f>EXP(-LN(2)/2)*CM52+(1-EXP(-LN(2)/2))/(LN(2)/2)*CG53*CJ53*VLOOKUP('Données projet'!$B$12,Paramètres!$A$1:$I$89,3,0)*0.475*44/12</f>
        <v>2.425619729197935E-5</v>
      </c>
      <c r="CN53" s="22">
        <f t="shared" si="12"/>
        <v>120.82820763080613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25.4</v>
      </c>
      <c r="N54" s="13">
        <f>IF('Données projet'!$A$36&gt;35,N53+M54-V53,IF(A54&lt;'Données projet'!$A$36,$K$205^A54,IF(A54='Données projet'!$A$36,'Données projet'!$B$36,N53+M54-V53)))</f>
        <v>592.40000000000043</v>
      </c>
      <c r="O54" s="13">
        <f>N54*VLOOKUP('Données projet'!$B$9,Paramètres!$A$1:$I$89,3,0)*VLOOKUP('Données projet'!$B$9,Paramètres!$A$1:$I$89,5,0)</f>
        <v>292.64560000000023</v>
      </c>
      <c r="P54" s="13">
        <f t="shared" si="33"/>
        <v>69.632478699936527</v>
      </c>
      <c r="Q54" s="20">
        <f t="shared" si="53"/>
        <v>630.96765373572316</v>
      </c>
      <c r="R54" s="59">
        <f t="shared" si="0"/>
        <v>924.30098706905642</v>
      </c>
      <c r="S54" s="59">
        <f ca="1">AVERAGE(OFFSET($R$3,0,0,'Données projet'!$E$9+1,1))-AVERAGE(OFFSET($H$3,0,0,'Données projet'!$E$9+1,1))</f>
        <v>434.08297999735811</v>
      </c>
      <c r="T54" s="59">
        <f t="shared" si="34"/>
        <v>371.04090283546122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94.388523863802405</v>
      </c>
      <c r="AA54" s="21">
        <f>EXP(-LN(2)/25)*AA53+(1-EXP(-LN(2)/25))/(LN(2)/25)*Calculateur!V54*Calculateur!X54*VLOOKUP('Données projet'!$B$9,Paramètres!$A$1:$I$89,3,0)*0.475*44/12</f>
        <v>28.886812183569035</v>
      </c>
      <c r="AB54" s="21">
        <f>EXP(-LN(2)/2)*AB53+(1-EXP(-LN(2)/2))/(LN(2)/2)*V54*Y54*VLOOKUP('Données projet'!$B$9,Paramètres!$A$1:$I$89,3,0)*0.475*44/12</f>
        <v>5.1899839036341358E-4</v>
      </c>
      <c r="AC54" s="22">
        <f t="shared" si="3"/>
        <v>123.2758550457618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331.52724290297675</v>
      </c>
      <c r="AO54" s="59">
        <f t="shared" si="36"/>
        <v>322.79102610158054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49.615705748244196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49.615705748244196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194.80031999999994</v>
      </c>
      <c r="BF54" s="13">
        <f t="shared" si="37"/>
        <v>48.599689401459429</v>
      </c>
      <c r="BG54" s="20">
        <f t="shared" si="7"/>
        <v>423.92168304087505</v>
      </c>
      <c r="BH54" s="59">
        <f t="shared" si="8"/>
        <v>717.25501637420837</v>
      </c>
      <c r="BI54" s="59">
        <f ca="1">AVERAGE(OFFSET($BH$3,0,0,'Données projet'!$E$11+1,1))-AVERAGE(OFFSET($H$3,0,0,'Données projet'!$E$11+1,1))</f>
        <v>273.84349636755343</v>
      </c>
      <c r="BJ54" s="59">
        <f t="shared" si="38"/>
        <v>268.10688874775451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41.832849944598046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41.832849944598046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11.533333333333331</v>
      </c>
      <c r="BY54" s="12">
        <f>IF('Données projet'!$A$114&gt;35,BY53+BX54-CG53,IF(A54&lt;'Données projet'!$A$114,$BV$205^A54,IF(A54='Données projet'!$A$114,'Données projet'!$B$114,BY53+BX54-CG53)))</f>
        <v>339.40000000000009</v>
      </c>
      <c r="BZ54" s="13">
        <f>BY54*VLOOKUP('Données projet'!$B$12,Paramètres!$A$1:$I$89,3,0)*VLOOKUP('Données projet'!$B$12,Paramètres!$A$1:$I$89,5,0)</f>
        <v>211.78560000000004</v>
      </c>
      <c r="CA54" s="13">
        <f t="shared" si="39"/>
        <v>52.325591735507324</v>
      </c>
      <c r="CB54" s="20">
        <f t="shared" si="10"/>
        <v>459.99365893934191</v>
      </c>
      <c r="CC54" s="59">
        <f t="shared" si="11"/>
        <v>753.32699227267517</v>
      </c>
      <c r="CD54" s="59">
        <f ca="1">AVERAGE(OFFSET($CC$3,0,0,'Données projet'!$E$12+1,1))-AVERAGE(OFFSET($H$3,0,0,'Données projet'!$E$12+1,1))</f>
        <v>269.77739619445515</v>
      </c>
      <c r="CE54" s="59">
        <f t="shared" si="40"/>
        <v>347.56964743629885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66.800022912089418</v>
      </c>
      <c r="CL54" s="21">
        <f>EXP(-LN(2)/25)*CL53+(1-EXP(-LN(2)/25))/(LN(2)/25)*Calculateur!CG54*Calculateur!CI54*VLOOKUP('Données projet'!$B$12,Paramètres!$A$1:$I$89,3,0)*0.475*44/12</f>
        <v>51.251185548476883</v>
      </c>
      <c r="CM54" s="21">
        <f>EXP(-LN(2)/2)*CM53+(1-EXP(-LN(2)/2))/(LN(2)/2)*CG54*CJ54*VLOOKUP('Données projet'!$B$12,Paramètres!$A$1:$I$89,3,0)*0.475*44/12</f>
        <v>1.7151721590957369E-5</v>
      </c>
      <c r="CN54" s="22">
        <f t="shared" si="12"/>
        <v>118.05122561228789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25.4</v>
      </c>
      <c r="N55" s="13">
        <f>IF('Données projet'!$A$36&gt;35,N54+M55-V54,IF(A55&lt;'Données projet'!$A$36,$K$205^A55,IF(A55='Données projet'!$A$36,'Données projet'!$B$36,N54+M55-V54)))</f>
        <v>617.80000000000041</v>
      </c>
      <c r="O55" s="13">
        <f>N55*VLOOKUP('Données projet'!$B$9,Paramètres!$A$1:$I$89,3,0)*VLOOKUP('Données projet'!$B$9,Paramètres!$A$1:$I$89,5,0)</f>
        <v>305.19320000000022</v>
      </c>
      <c r="P55" s="13">
        <f t="shared" si="33"/>
        <v>72.264067831876773</v>
      </c>
      <c r="Q55" s="20">
        <f t="shared" si="53"/>
        <v>657.40474147385248</v>
      </c>
      <c r="R55" s="59">
        <f t="shared" si="0"/>
        <v>950.73807480718574</v>
      </c>
      <c r="S55" s="59">
        <f ca="1">AVERAGE(OFFSET($R$3,0,0,'Données projet'!$E$9+1,1))-AVERAGE(OFFSET($H$3,0,0,'Données projet'!$E$9+1,1))</f>
        <v>434.08297999735811</v>
      </c>
      <c r="T55" s="59">
        <f t="shared" si="34"/>
        <v>371.04090283546122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92.537622482148095</v>
      </c>
      <c r="AA55" s="21">
        <f>EXP(-LN(2)/25)*AA54+(1-EXP(-LN(2)/25))/(LN(2)/25)*Calculateur!V55*Calculateur!X55*VLOOKUP('Données projet'!$B$9,Paramètres!$A$1:$I$89,3,0)*0.475*44/12</f>
        <v>28.09690078531791</v>
      </c>
      <c r="AB55" s="21">
        <f>EXP(-LN(2)/2)*AB54+(1-EXP(-LN(2)/2))/(LN(2)/2)*V55*Y55*VLOOKUP('Données projet'!$B$9,Paramètres!$A$1:$I$89,3,0)*0.475*44/12</f>
        <v>3.6698728125087268E-4</v>
      </c>
      <c r="AC55" s="22">
        <f t="shared" si="3"/>
        <v>120.63489025474726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331.52724290297675</v>
      </c>
      <c r="AO55" s="59">
        <f t="shared" si="36"/>
        <v>322.79102610158054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48.642772021113451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48.642772021113451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200.43503999999993</v>
      </c>
      <c r="BF55" s="13">
        <f t="shared" si="37"/>
        <v>49.839764256087797</v>
      </c>
      <c r="BG55" s="20">
        <f t="shared" si="7"/>
        <v>435.89528407935273</v>
      </c>
      <c r="BH55" s="59">
        <f t="shared" si="8"/>
        <v>729.22861741268605</v>
      </c>
      <c r="BI55" s="59">
        <f ca="1">AVERAGE(OFFSET($BH$3,0,0,'Données projet'!$E$11+1,1))-AVERAGE(OFFSET($H$3,0,0,'Données projet'!$E$11+1,1))</f>
        <v>273.84349636755343</v>
      </c>
      <c r="BJ55" s="59">
        <f t="shared" si="38"/>
        <v>268.10688874775451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41.012533272703493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41.012533272703493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11.533333333333331</v>
      </c>
      <c r="BY55" s="12">
        <f>IF('Données projet'!$A$114&gt;35,BY54+BX55-CG54,IF(A55&lt;'Données projet'!$A$114,$BV$205^A55,IF(A55='Données projet'!$A$114,'Données projet'!$B$114,BY54+BX55-CG54)))</f>
        <v>350.93333333333339</v>
      </c>
      <c r="BZ55" s="13">
        <f>BY55*VLOOKUP('Données projet'!$B$12,Paramètres!$A$1:$I$89,3,0)*VLOOKUP('Données projet'!$B$12,Paramètres!$A$1:$I$89,5,0)</f>
        <v>218.98240000000004</v>
      </c>
      <c r="CA55" s="13">
        <f t="shared" si="39"/>
        <v>53.893655746249046</v>
      </c>
      <c r="CB55" s="20">
        <f t="shared" si="10"/>
        <v>475.25913042471711</v>
      </c>
      <c r="CC55" s="59">
        <f t="shared" si="11"/>
        <v>768.59246375805037</v>
      </c>
      <c r="CD55" s="59">
        <f ca="1">AVERAGE(OFFSET($CC$3,0,0,'Données projet'!$E$12+1,1))-AVERAGE(OFFSET($H$3,0,0,'Données projet'!$E$12+1,1))</f>
        <v>269.77739619445515</v>
      </c>
      <c r="CE55" s="59">
        <f t="shared" si="40"/>
        <v>347.56964743629885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65.490115206774192</v>
      </c>
      <c r="CL55" s="21">
        <f>EXP(-LN(2)/25)*CL54+(1-EXP(-LN(2)/25))/(LN(2)/25)*Calculateur!CG55*Calculateur!CI55*VLOOKUP('Données projet'!$B$12,Paramètres!$A$1:$I$89,3,0)*0.475*44/12</f>
        <v>49.84971918447107</v>
      </c>
      <c r="CM55" s="21">
        <f>EXP(-LN(2)/2)*CM54+(1-EXP(-LN(2)/2))/(LN(2)/2)*CG55*CJ55*VLOOKUP('Données projet'!$B$12,Paramètres!$A$1:$I$89,3,0)*0.475*44/12</f>
        <v>1.2128098645989675E-5</v>
      </c>
      <c r="CN55" s="22">
        <f t="shared" si="12"/>
        <v>115.33984651934391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25.4</v>
      </c>
      <c r="N56" s="13">
        <f>IF('Données projet'!$A$36&gt;35,N55+M56-V55,IF(A56&lt;'Données projet'!$A$36,$K$205^A56,IF(A56='Données projet'!$A$36,'Données projet'!$B$36,N55+M56-V55)))</f>
        <v>643.20000000000039</v>
      </c>
      <c r="O56" s="13">
        <f>N56*VLOOKUP('Données projet'!$B$9,Paramètres!$A$1:$I$89,3,0)*VLOOKUP('Données projet'!$B$9,Paramètres!$A$1:$I$89,5,0)</f>
        <v>317.74080000000021</v>
      </c>
      <c r="P56" s="13">
        <f t="shared" si="33"/>
        <v>74.883089508794882</v>
      </c>
      <c r="Q56" s="20">
        <f t="shared" si="53"/>
        <v>683.81994089448472</v>
      </c>
      <c r="R56" s="59">
        <f t="shared" si="0"/>
        <v>977.15327422781797</v>
      </c>
      <c r="S56" s="59">
        <f ca="1">AVERAGE(OFFSET($R$3,0,0,'Données projet'!$E$9+1,1))-AVERAGE(OFFSET($H$3,0,0,'Données projet'!$E$9+1,1))</f>
        <v>434.08297999735811</v>
      </c>
      <c r="T56" s="59">
        <f t="shared" si="34"/>
        <v>371.04090283546122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90.723016147649659</v>
      </c>
      <c r="AA56" s="21">
        <f>EXP(-LN(2)/25)*AA55+(1-EXP(-LN(2)/25))/(LN(2)/25)*Calculateur!V56*Calculateur!X56*VLOOKUP('Données projet'!$B$9,Paramètres!$A$1:$I$89,3,0)*0.475*44/12</f>
        <v>27.328589555791595</v>
      </c>
      <c r="AB56" s="21">
        <f>EXP(-LN(2)/2)*AB55+(1-EXP(-LN(2)/2))/(LN(2)/2)*V56*Y56*VLOOKUP('Données projet'!$B$9,Paramètres!$A$1:$I$89,3,0)*0.475*44/12</f>
        <v>2.5949919518170679E-4</v>
      </c>
      <c r="AC56" s="22">
        <f t="shared" si="3"/>
        <v>118.05186520263644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331.52724290297675</v>
      </c>
      <c r="AO56" s="59">
        <f t="shared" si="36"/>
        <v>322.79102610158054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47.688916930940763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47.688916930940763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206.06975999999992</v>
      </c>
      <c r="BF56" s="13">
        <f t="shared" si="37"/>
        <v>51.075787295320026</v>
      </c>
      <c r="BG56" s="20">
        <f t="shared" si="7"/>
        <v>447.86182820601556</v>
      </c>
      <c r="BH56" s="59">
        <f t="shared" si="8"/>
        <v>741.19516153934887</v>
      </c>
      <c r="BI56" s="59">
        <f ca="1">AVERAGE(OFFSET($BH$3,0,0,'Données projet'!$E$11+1,1))-AVERAGE(OFFSET($H$3,0,0,'Données projet'!$E$11+1,1))</f>
        <v>273.84349636755343</v>
      </c>
      <c r="BJ56" s="59">
        <f t="shared" si="38"/>
        <v>268.10688874775451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40.208302510401033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40.208302510401033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11.533333333333331</v>
      </c>
      <c r="BY56" s="12">
        <f>IF('Données projet'!$A$114&gt;35,BY55+BX56-CG55,IF(A56&lt;'Données projet'!$A$114,$BV$205^A56,IF(A56='Données projet'!$A$114,'Données projet'!$B$114,BY55+BX56-CG55)))</f>
        <v>362.4666666666667</v>
      </c>
      <c r="BZ56" s="13">
        <f>BY56*VLOOKUP('Données projet'!$B$12,Paramètres!$A$1:$I$89,3,0)*VLOOKUP('Données projet'!$B$12,Paramètres!$A$1:$I$89,5,0)</f>
        <v>226.17920000000001</v>
      </c>
      <c r="CA56" s="13">
        <f t="shared" si="39"/>
        <v>55.455731517393232</v>
      </c>
      <c r="CB56" s="20">
        <f t="shared" si="10"/>
        <v>490.51417239279317</v>
      </c>
      <c r="CC56" s="59">
        <f t="shared" si="11"/>
        <v>783.84750572612643</v>
      </c>
      <c r="CD56" s="59">
        <f ca="1">AVERAGE(OFFSET($CC$3,0,0,'Données projet'!$E$12+1,1))-AVERAGE(OFFSET($H$3,0,0,'Données projet'!$E$12+1,1))</f>
        <v>269.77739619445515</v>
      </c>
      <c r="CE56" s="59">
        <f t="shared" si="40"/>
        <v>347.56964743629885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64.205893992595378</v>
      </c>
      <c r="CL56" s="21">
        <f>EXP(-LN(2)/25)*CL55+(1-EXP(-LN(2)/25))/(LN(2)/25)*Calculateur!CG56*Calculateur!CI56*VLOOKUP('Données projet'!$B$12,Paramètres!$A$1:$I$89,3,0)*0.475*44/12</f>
        <v>48.486575991888913</v>
      </c>
      <c r="CM56" s="21">
        <f>EXP(-LN(2)/2)*CM55+(1-EXP(-LN(2)/2))/(LN(2)/2)*CG56*CJ56*VLOOKUP('Données projet'!$B$12,Paramètres!$A$1:$I$89,3,0)*0.475*44/12</f>
        <v>8.5758607954786843E-6</v>
      </c>
      <c r="CN56" s="22">
        <f t="shared" si="12"/>
        <v>112.69247856034508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25.4</v>
      </c>
      <c r="N57" s="13">
        <f>IF('Données projet'!$A$36&gt;35,N56+M57-V56,IF(A57&lt;'Données projet'!$A$36,$K$205^A57,IF(A57='Données projet'!$A$36,'Données projet'!$B$36,N56+M57-V56)))</f>
        <v>668.60000000000036</v>
      </c>
      <c r="O57" s="13">
        <f>N57*VLOOKUP('Données projet'!$B$9,Paramètres!$A$1:$I$89,3,0)*VLOOKUP('Données projet'!$B$9,Paramètres!$A$1:$I$89,5,0)</f>
        <v>330.28840000000019</v>
      </c>
      <c r="P57" s="13">
        <f t="shared" si="33"/>
        <v>77.490096809619459</v>
      </c>
      <c r="Q57" s="20">
        <f t="shared" si="53"/>
        <v>710.21421527675409</v>
      </c>
      <c r="R57" s="59">
        <f t="shared" si="0"/>
        <v>1003.5475486100875</v>
      </c>
      <c r="S57" s="59">
        <f ca="1">AVERAGE(OFFSET($R$3,0,0,'Données projet'!$E$9+1,1))-AVERAGE(OFFSET($H$3,0,0,'Données projet'!$E$9+1,1))</f>
        <v>434.08297999735811</v>
      </c>
      <c r="T57" s="59">
        <f t="shared" si="34"/>
        <v>371.04090283546122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88.943993136570171</v>
      </c>
      <c r="AA57" s="21">
        <f>EXP(-LN(2)/25)*AA56+(1-EXP(-LN(2)/25))/(LN(2)/25)*Calculateur!V57*Calculateur!X57*VLOOKUP('Données projet'!$B$9,Paramètres!$A$1:$I$89,3,0)*0.475*44/12</f>
        <v>26.58128783724041</v>
      </c>
      <c r="AB57" s="21">
        <f>EXP(-LN(2)/2)*AB56+(1-EXP(-LN(2)/2))/(LN(2)/2)*V57*Y57*VLOOKUP('Données projet'!$B$9,Paramètres!$A$1:$I$89,3,0)*0.475*44/12</f>
        <v>1.8349364062543634E-4</v>
      </c>
      <c r="AC57" s="22">
        <f t="shared" si="3"/>
        <v>115.5254644674512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331.52724290297675</v>
      </c>
      <c r="AO57" s="59">
        <f t="shared" si="36"/>
        <v>322.79102610158054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46.753766357292207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46.753766357292207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211.7044799999999</v>
      </c>
      <c r="BF57" s="13">
        <f t="shared" si="37"/>
        <v>52.307882041697226</v>
      </c>
      <c r="BG57" s="20">
        <f t="shared" si="7"/>
        <v>459.82153055595586</v>
      </c>
      <c r="BH57" s="59">
        <f t="shared" si="8"/>
        <v>753.15486388928912</v>
      </c>
      <c r="BI57" s="59">
        <f ca="1">AVERAGE(OFFSET($BH$3,0,0,'Données projet'!$E$11+1,1))-AVERAGE(OFFSET($H$3,0,0,'Données projet'!$E$11+1,1))</f>
        <v>273.84349636755343</v>
      </c>
      <c r="BJ57" s="59">
        <f t="shared" si="38"/>
        <v>268.10688874775451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39.419842222814992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39.419842222814992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>
        <f>VLOOKUP(A57,'Données projet'!$A$113:$I$133,2,0)</f>
        <v>374</v>
      </c>
      <c r="BW57" s="12">
        <f>VLOOKUP(A57,'Données projet'!$A$113:$I$133,9,0)</f>
        <v>11.533333333333331</v>
      </c>
      <c r="BX57" s="12">
        <f t="array" ref="BX57">INDEX(BW:BW,MIN(IF(ISNUMBER(BW57:BW253),ROW(BW57:BW253),"")))</f>
        <v>11.533333333333331</v>
      </c>
      <c r="BY57" s="12">
        <f>IF('Données projet'!$A$114&gt;35,BY56+BX57-CG56,IF(A57&lt;'Données projet'!$A$114,$BV$205^A57,IF(A57='Données projet'!$A$114,'Données projet'!$B$114,BY56+BX57-CG56)))</f>
        <v>374</v>
      </c>
      <c r="BZ57" s="13">
        <f>BY57*VLOOKUP('Données projet'!$B$12,Paramètres!$A$1:$I$89,3,0)*VLOOKUP('Données projet'!$B$12,Paramètres!$A$1:$I$89,5,0)</f>
        <v>233.37599999999998</v>
      </c>
      <c r="CA57" s="13">
        <f t="shared" si="39"/>
        <v>57.012031446990107</v>
      </c>
      <c r="CB57" s="20">
        <f t="shared" si="10"/>
        <v>505.75915477017446</v>
      </c>
      <c r="CC57" s="59">
        <f t="shared" si="11"/>
        <v>799.09248810350778</v>
      </c>
      <c r="CD57" s="59">
        <f ca="1">AVERAGE(OFFSET($CC$3,0,0,'Données projet'!$E$12+1,1))-AVERAGE(OFFSET($H$3,0,0,'Données projet'!$E$12+1,1))</f>
        <v>269.77739619445515</v>
      </c>
      <c r="CE57" s="59">
        <f t="shared" si="40"/>
        <v>347.56964743629885</v>
      </c>
      <c r="CF57" s="15">
        <f>IF(ISNA(VLOOKUP(A57,'Données projet'!$A$113:$I$133,3,0)),0,VLOOKUP(A57,'Données projet'!$A$113:$I$133,3,0))</f>
        <v>8</v>
      </c>
      <c r="CG57" s="15">
        <f>IF(ISNA(VLOOKUP(A57,'Données projet'!$A$113:$I$133,4,0)),0,VLOOKUP(A57,'Données projet'!$A$113:$I$133,4,0))</f>
        <v>46.9</v>
      </c>
      <c r="CH57" s="16">
        <f>IF(ISNA(VLOOKUP(A57,'Données projet'!$A$113:$I$133,5,0)),0%,VLOOKUP(A57,'Données projet'!$A$113:$I$133,5,0)*VLOOKUP('Données projet'!$B$12,Paramètres!$A$1:$I$89,7,0))</f>
        <v>0.6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86.240478409395863</v>
      </c>
      <c r="CL57" s="21">
        <f>EXP(-LN(2)/25)*CL56+(1-EXP(-LN(2)/25))/(LN(2)/25)*Calculateur!CG57*Calculateur!CI57*VLOOKUP('Données projet'!$B$12,Paramètres!$A$1:$I$89,3,0)*0.475*44/12</f>
        <v>47.160708021592498</v>
      </c>
      <c r="CM57" s="21">
        <f>EXP(-LN(2)/2)*CM56+(1-EXP(-LN(2)/2))/(LN(2)/2)*CG57*CJ57*VLOOKUP('Données projet'!$B$12,Paramètres!$A$1:$I$89,3,0)*0.475*44/12</f>
        <v>6.0640493229948375E-6</v>
      </c>
      <c r="CN57" s="22">
        <f t="shared" si="12"/>
        <v>133.40119249503769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694</v>
      </c>
      <c r="L58" s="12">
        <f>VLOOKUP(A58,'Données projet'!$A$35:$I$55,9,0)</f>
        <v>25.4</v>
      </c>
      <c r="M58" s="12">
        <f t="array" ref="M58">INDEX(L:L,MIN(IF(ISNUMBER(L58:L254),ROW(L58:L254),"")))</f>
        <v>25.4</v>
      </c>
      <c r="N58" s="13">
        <f>IF('Données projet'!$A$36&gt;35,N57+M58-V57,IF(A58&lt;'Données projet'!$A$36,$K$205^A58,IF(A58='Données projet'!$A$36,'Données projet'!$B$36,N57+M58-V57)))</f>
        <v>694.00000000000034</v>
      </c>
      <c r="O58" s="13">
        <f>N58*VLOOKUP('Données projet'!$B$9,Paramètres!$A$1:$I$89,3,0)*VLOOKUP('Données projet'!$B$9,Paramètres!$A$1:$I$89,5,0)</f>
        <v>342.83600000000018</v>
      </c>
      <c r="P58" s="13">
        <f t="shared" si="33"/>
        <v>80.085598410344375</v>
      </c>
      <c r="Q58" s="20">
        <f t="shared" si="53"/>
        <v>736.58845056468351</v>
      </c>
      <c r="R58" s="59">
        <f t="shared" si="0"/>
        <v>1029.9217838980169</v>
      </c>
      <c r="S58" s="59">
        <f ca="1">AVERAGE(OFFSET($R$3,0,0,'Données projet'!$E$9+1,1))-AVERAGE(OFFSET($H$3,0,0,'Données projet'!$E$9+1,1))</f>
        <v>434.08297999735811</v>
      </c>
      <c r="T58" s="59">
        <f t="shared" si="34"/>
        <v>371.04090283546122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73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113.51106774727444</v>
      </c>
      <c r="AA58" s="21">
        <f>EXP(-LN(2)/25)*AA57+(1-EXP(-LN(2)/25))/(LN(2)/25)*Calculateur!V58*Calculateur!X58*VLOOKUP('Données projet'!$B$9,Paramètres!$A$1:$I$89,3,0)*0.475*44/12</f>
        <v>25.854421123481895</v>
      </c>
      <c r="AB58" s="21">
        <f>EXP(-LN(2)/2)*AB57+(1-EXP(-LN(2)/2))/(LN(2)/2)*V58*Y58*VLOOKUP('Données projet'!$B$9,Paramètres!$A$1:$I$89,3,0)*0.475*44/12</f>
        <v>1.297495975908534E-4</v>
      </c>
      <c r="AC58" s="22">
        <f t="shared" si="3"/>
        <v>139.36561862035393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331.52724290297675</v>
      </c>
      <c r="AO58" s="59">
        <f t="shared" si="36"/>
        <v>322.79102610158054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54.227500227951566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54.227500227951566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217.33919999999992</v>
      </c>
      <c r="BF58" s="13">
        <f t="shared" si="37"/>
        <v>53.536165068020416</v>
      </c>
      <c r="BG58" s="20">
        <f t="shared" si="7"/>
        <v>471.77459416013545</v>
      </c>
      <c r="BH58" s="59">
        <f t="shared" si="8"/>
        <v>765.10792749346876</v>
      </c>
      <c r="BI58" s="59">
        <f ca="1">AVERAGE(OFFSET($BH$3,0,0,'Données projet'!$E$11+1,1))-AVERAGE(OFFSET($H$3,0,0,'Données projet'!$E$11+1,1))</f>
        <v>273.84349636755343</v>
      </c>
      <c r="BJ58" s="59">
        <f t="shared" si="38"/>
        <v>268.10688874775451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45.721225682390532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45.721225682390532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12.316666666666663</v>
      </c>
      <c r="BY58" s="12">
        <f>IF('Données projet'!$A$114&gt;35,BY57+BX58-CG57,IF(A58&lt;'Données projet'!$A$114,$BV$205^A58,IF(A58='Données projet'!$A$114,'Données projet'!$B$114,BY57+BX58-CG57)))</f>
        <v>339.41666666666669</v>
      </c>
      <c r="BZ58" s="13">
        <f>BY58*VLOOKUP('Données projet'!$B$12,Paramètres!$A$1:$I$89,3,0)*VLOOKUP('Données projet'!$B$12,Paramètres!$A$1:$I$89,5,0)</f>
        <v>211.79600000000002</v>
      </c>
      <c r="CA58" s="13">
        <f t="shared" si="39"/>
        <v>52.327862151963842</v>
      </c>
      <c r="CB58" s="20">
        <f t="shared" si="10"/>
        <v>460.01572658133705</v>
      </c>
      <c r="CC58" s="59">
        <f t="shared" si="11"/>
        <v>753.34905991467031</v>
      </c>
      <c r="CD58" s="59">
        <f ca="1">AVERAGE(OFFSET($CC$3,0,0,'Données projet'!$E$12+1,1))-AVERAGE(OFFSET($H$3,0,0,'Données projet'!$E$12+1,1))</f>
        <v>269.77739619445515</v>
      </c>
      <c r="CE58" s="59">
        <f t="shared" si="40"/>
        <v>347.56964743629885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84.549355229285467</v>
      </c>
      <c r="CL58" s="21">
        <f>EXP(-LN(2)/25)*CL57+(1-EXP(-LN(2)/25))/(LN(2)/25)*Calculateur!CG58*Calculateur!CI58*VLOOKUP('Données projet'!$B$12,Paramètres!$A$1:$I$89,3,0)*0.475*44/12</f>
        <v>45.871095980668201</v>
      </c>
      <c r="CM58" s="21">
        <f>EXP(-LN(2)/2)*CM57+(1-EXP(-LN(2)/2))/(LN(2)/2)*CG58*CJ58*VLOOKUP('Données projet'!$B$12,Paramètres!$A$1:$I$89,3,0)*0.475*44/12</f>
        <v>4.2879303977393421E-6</v>
      </c>
      <c r="CN58" s="22">
        <f t="shared" si="12"/>
        <v>130.42045549788409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23.8</v>
      </c>
      <c r="N59" s="13">
        <f>IF('Données projet'!$A$36&gt;35,N58+M59-V58,IF(A59&lt;'Données projet'!$A$36,$K$205^A59,IF(A59='Données projet'!$A$36,'Données projet'!$B$36,N58+M59-V58)))</f>
        <v>644.8000000000003</v>
      </c>
      <c r="O59" s="13">
        <f>N59*VLOOKUP('Données projet'!$B$9,Paramètres!$A$1:$I$89,3,0)*VLOOKUP('Données projet'!$B$9,Paramètres!$A$1:$I$89,5,0)</f>
        <v>318.53120000000018</v>
      </c>
      <c r="P59" s="13">
        <f t="shared" si="33"/>
        <v>75.047659477422243</v>
      </c>
      <c r="Q59" s="20">
        <f t="shared" si="53"/>
        <v>685.48318025651076</v>
      </c>
      <c r="R59" s="59">
        <f t="shared" si="0"/>
        <v>978.81651358984413</v>
      </c>
      <c r="S59" s="59">
        <f ca="1">AVERAGE(OFFSET($R$3,0,0,'Données projet'!$E$9+1,1))-AVERAGE(OFFSET($H$3,0,0,'Données projet'!$E$9+1,1))</f>
        <v>434.08297999735811</v>
      </c>
      <c r="T59" s="59">
        <f t="shared" si="34"/>
        <v>371.04090283546122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111.28518494366533</v>
      </c>
      <c r="AA59" s="21">
        <f>EXP(-LN(2)/25)*AA58+(1-EXP(-LN(2)/25))/(LN(2)/25)*Calculateur!V59*Calculateur!X59*VLOOKUP('Données projet'!$B$9,Paramètres!$A$1:$I$89,3,0)*0.475*44/12</f>
        <v>25.147430618235369</v>
      </c>
      <c r="AB59" s="21">
        <f>EXP(-LN(2)/2)*AB58+(1-EXP(-LN(2)/2))/(LN(2)/2)*V59*Y59*VLOOKUP('Données projet'!$B$9,Paramètres!$A$1:$I$89,3,0)*0.475*44/12</f>
        <v>9.1746820312718169E-5</v>
      </c>
      <c r="AC59" s="22">
        <f t="shared" si="3"/>
        <v>136.43270730872101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331.52724290297675</v>
      </c>
      <c r="AO59" s="59">
        <f t="shared" si="36"/>
        <v>322.79102610158054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53.164132023990639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53.164132023990639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210.22871999999987</v>
      </c>
      <c r="BF59" s="13">
        <f t="shared" si="37"/>
        <v>51.985563605889581</v>
      </c>
      <c r="BG59" s="20">
        <f t="shared" si="7"/>
        <v>456.68987728025746</v>
      </c>
      <c r="BH59" s="59">
        <f t="shared" si="8"/>
        <v>750.02321061359078</v>
      </c>
      <c r="BI59" s="59">
        <f ca="1">AVERAGE(OFFSET($BH$3,0,0,'Données projet'!$E$11+1,1))-AVERAGE(OFFSET($H$3,0,0,'Données projet'!$E$11+1,1))</f>
        <v>273.84349636755343</v>
      </c>
      <c r="BJ59" s="59">
        <f t="shared" si="38"/>
        <v>268.10688874775451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44.824660333952892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44.824660333952892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12.316666666666663</v>
      </c>
      <c r="BY59" s="12">
        <f>IF('Données projet'!$A$114&gt;35,BY58+BX59-CG58,IF(A59&lt;'Données projet'!$A$114,$BV$205^A59,IF(A59='Données projet'!$A$114,'Données projet'!$B$114,BY58+BX59-CG58)))</f>
        <v>351.73333333333335</v>
      </c>
      <c r="BZ59" s="13">
        <f>BY59*VLOOKUP('Données projet'!$B$12,Paramètres!$A$1:$I$89,3,0)*VLOOKUP('Données projet'!$B$12,Paramètres!$A$1:$I$89,5,0)</f>
        <v>219.48159999999999</v>
      </c>
      <c r="CA59" s="13">
        <f t="shared" si="39"/>
        <v>54.002198576508427</v>
      </c>
      <c r="CB59" s="20">
        <f t="shared" si="10"/>
        <v>476.31761585408549</v>
      </c>
      <c r="CC59" s="59">
        <f t="shared" si="11"/>
        <v>769.65094918741875</v>
      </c>
      <c r="CD59" s="59">
        <f ca="1">AVERAGE(OFFSET($CC$3,0,0,'Données projet'!$E$12+1,1))-AVERAGE(OFFSET($H$3,0,0,'Données projet'!$E$12+1,1))</f>
        <v>269.77739619445515</v>
      </c>
      <c r="CE59" s="59">
        <f t="shared" si="40"/>
        <v>347.56964743629885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82.891393943253746</v>
      </c>
      <c r="CL59" s="21">
        <f>EXP(-LN(2)/25)*CL58+(1-EXP(-LN(2)/25))/(LN(2)/25)*Calculateur!CG59*Calculateur!CI59*VLOOKUP('Données projet'!$B$12,Paramètres!$A$1:$I$89,3,0)*0.475*44/12</f>
        <v>44.616748448820729</v>
      </c>
      <c r="CM59" s="21">
        <f>EXP(-LN(2)/2)*CM58+(1-EXP(-LN(2)/2))/(LN(2)/2)*CG59*CJ59*VLOOKUP('Données projet'!$B$12,Paramètres!$A$1:$I$89,3,0)*0.475*44/12</f>
        <v>3.0320246614974188E-6</v>
      </c>
      <c r="CN59" s="22">
        <f t="shared" si="12"/>
        <v>127.50814542409914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23.8</v>
      </c>
      <c r="N60" s="13">
        <f>IF('Données projet'!$A$36&gt;35,N59+M60-V59,IF(A60&lt;'Données projet'!$A$36,$K$205^A60,IF(A60='Données projet'!$A$36,'Données projet'!$B$36,N59+M60-V59)))</f>
        <v>668.60000000000025</v>
      </c>
      <c r="O60" s="13">
        <f>N60*VLOOKUP('Données projet'!$B$9,Paramètres!$A$1:$I$89,3,0)*VLOOKUP('Données projet'!$B$9,Paramètres!$A$1:$I$89,5,0)</f>
        <v>330.28840000000014</v>
      </c>
      <c r="P60" s="13">
        <f t="shared" si="33"/>
        <v>77.490096809619459</v>
      </c>
      <c r="Q60" s="20">
        <f t="shared" si="53"/>
        <v>710.21421527675409</v>
      </c>
      <c r="R60" s="59">
        <f t="shared" si="0"/>
        <v>1003.5475486100875</v>
      </c>
      <c r="S60" s="59">
        <f ca="1">AVERAGE(OFFSET($R$3,0,0,'Données projet'!$E$9+1,1))-AVERAGE(OFFSET($H$3,0,0,'Données projet'!$E$9+1,1))</f>
        <v>434.08297999735811</v>
      </c>
      <c r="T60" s="59">
        <f t="shared" si="34"/>
        <v>371.04090283546122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109.10295034418054</v>
      </c>
      <c r="AA60" s="21">
        <f>EXP(-LN(2)/25)*AA59+(1-EXP(-LN(2)/25))/(LN(2)/25)*Calculateur!V60*Calculateur!X60*VLOOKUP('Données projet'!$B$9,Paramètres!$A$1:$I$89,3,0)*0.475*44/12</f>
        <v>24.45977280553382</v>
      </c>
      <c r="AB60" s="21">
        <f>EXP(-LN(2)/2)*AB59+(1-EXP(-LN(2)/2))/(LN(2)/2)*V60*Y60*VLOOKUP('Données projet'!$B$9,Paramètres!$A$1:$I$89,3,0)*0.475*44/12</f>
        <v>6.4874798795426698E-5</v>
      </c>
      <c r="AC60" s="22">
        <f t="shared" si="3"/>
        <v>133.56278802451317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331.52724290297675</v>
      </c>
      <c r="AO60" s="59">
        <f t="shared" si="36"/>
        <v>322.79102610158054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52.121615821918823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52.121615821918823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215.19263999999987</v>
      </c>
      <c r="BF60" s="13">
        <f t="shared" si="37"/>
        <v>53.068690033178463</v>
      </c>
      <c r="BG60" s="20">
        <f t="shared" si="7"/>
        <v>467.22181647445228</v>
      </c>
      <c r="BH60" s="59">
        <f t="shared" si="8"/>
        <v>760.5551498077856</v>
      </c>
      <c r="BI60" s="59">
        <f ca="1">AVERAGE(OFFSET($BH$3,0,0,'Données projet'!$E$11+1,1))-AVERAGE(OFFSET($H$3,0,0,'Données projet'!$E$11+1,1))</f>
        <v>273.84349636755343</v>
      </c>
      <c r="BJ60" s="59">
        <f t="shared" si="38"/>
        <v>268.10688874775451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43.945676085147248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43.945676085147248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12.316666666666663</v>
      </c>
      <c r="BY60" s="12">
        <f>IF('Données projet'!$A$114&gt;35,BY59+BX60-CG59,IF(A60&lt;'Données projet'!$A$114,$BV$205^A60,IF(A60='Données projet'!$A$114,'Données projet'!$B$114,BY59+BX60-CG59)))</f>
        <v>364.05</v>
      </c>
      <c r="BZ60" s="13">
        <f>BY60*VLOOKUP('Données projet'!$B$12,Paramètres!$A$1:$I$89,3,0)*VLOOKUP('Données projet'!$B$12,Paramètres!$A$1:$I$89,5,0)</f>
        <v>227.16720000000001</v>
      </c>
      <c r="CA60" s="13">
        <f t="shared" si="39"/>
        <v>55.669722848822659</v>
      </c>
      <c r="CB60" s="20">
        <f t="shared" si="10"/>
        <v>492.60764062836614</v>
      </c>
      <c r="CC60" s="59">
        <f t="shared" si="11"/>
        <v>785.94097396169946</v>
      </c>
      <c r="CD60" s="59">
        <f ca="1">AVERAGE(OFFSET($CC$3,0,0,'Données projet'!$E$12+1,1))-AVERAGE(OFFSET($H$3,0,0,'Données projet'!$E$12+1,1))</f>
        <v>269.77739619445515</v>
      </c>
      <c r="CE60" s="59">
        <f t="shared" si="40"/>
        <v>347.56964743629885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81.265944266784587</v>
      </c>
      <c r="CL60" s="21">
        <f>EXP(-LN(2)/25)*CL59+(1-EXP(-LN(2)/25))/(LN(2)/25)*Calculateur!CG60*Calculateur!CI60*VLOOKUP('Données projet'!$B$12,Paramètres!$A$1:$I$89,3,0)*0.475*44/12</f>
        <v>43.396701116194897</v>
      </c>
      <c r="CM60" s="21">
        <f>EXP(-LN(2)/2)*CM59+(1-EXP(-LN(2)/2))/(LN(2)/2)*CG60*CJ60*VLOOKUP('Données projet'!$B$12,Paramètres!$A$1:$I$89,3,0)*0.475*44/12</f>
        <v>2.1439651988696711E-6</v>
      </c>
      <c r="CN60" s="22">
        <f t="shared" si="12"/>
        <v>124.6626475269447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23.8</v>
      </c>
      <c r="N61" s="13">
        <f>IF('Données projet'!$A$36&gt;35,N60+M61-V60,IF(A61&lt;'Données projet'!$A$36,$K$205^A61,IF(A61='Données projet'!$A$36,'Données projet'!$B$36,N60+M61-V60)))</f>
        <v>692.4000000000002</v>
      </c>
      <c r="O61" s="13">
        <f>N61*VLOOKUP('Données projet'!$B$9,Paramètres!$A$1:$I$89,3,0)*VLOOKUP('Données projet'!$B$9,Paramètres!$A$1:$I$89,5,0)</f>
        <v>342.04560000000009</v>
      </c>
      <c r="P61" s="13">
        <f t="shared" si="33"/>
        <v>79.922432674592855</v>
      </c>
      <c r="Q61" s="20">
        <f t="shared" si="53"/>
        <v>734.92765690824933</v>
      </c>
      <c r="R61" s="59">
        <f t="shared" si="0"/>
        <v>1028.2609902415827</v>
      </c>
      <c r="S61" s="59">
        <f ca="1">AVERAGE(OFFSET($R$3,0,0,'Données projet'!$E$9+1,1))-AVERAGE(OFFSET($H$3,0,0,'Données projet'!$E$9+1,1))</f>
        <v>434.08297999735811</v>
      </c>
      <c r="T61" s="59">
        <f t="shared" si="34"/>
        <v>371.04090283546122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106.96350803415997</v>
      </c>
      <c r="AA61" s="21">
        <f>EXP(-LN(2)/25)*AA60+(1-EXP(-LN(2)/25))/(LN(2)/25)*Calculateur!V61*Calculateur!X61*VLOOKUP('Données projet'!$B$9,Paramètres!$A$1:$I$89,3,0)*0.475*44/12</f>
        <v>23.79091903188295</v>
      </c>
      <c r="AB61" s="21">
        <f>EXP(-LN(2)/2)*AB60+(1-EXP(-LN(2)/2))/(LN(2)/2)*V61*Y61*VLOOKUP('Données projet'!$B$9,Paramètres!$A$1:$I$89,3,0)*0.475*44/12</f>
        <v>4.5873410156359085E-5</v>
      </c>
      <c r="AC61" s="22">
        <f t="shared" si="3"/>
        <v>130.75447293945308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331.52724290297675</v>
      </c>
      <c r="AO61" s="59">
        <f t="shared" si="36"/>
        <v>322.79102610158054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51.099542726697543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51.099542726697543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220.15655999999984</v>
      </c>
      <c r="BF61" s="13">
        <f t="shared" si="37"/>
        <v>54.148911854109755</v>
      </c>
      <c r="BG61" s="20">
        <f t="shared" si="7"/>
        <v>477.74869681257422</v>
      </c>
      <c r="BH61" s="59">
        <f t="shared" si="8"/>
        <v>771.08203014590754</v>
      </c>
      <c r="BI61" s="59">
        <f ca="1">AVERAGE(OFFSET($BH$3,0,0,'Données projet'!$E$11+1,1))-AVERAGE(OFFSET($H$3,0,0,'Données projet'!$E$11+1,1))</f>
        <v>273.84349636755343</v>
      </c>
      <c r="BJ61" s="59">
        <f t="shared" si="38"/>
        <v>268.10688874775451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43.083928181333228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43.083928181333228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12.316666666666663</v>
      </c>
      <c r="BY61" s="12">
        <f>IF('Données projet'!$A$114&gt;35,BY60+BX61-CG60,IF(A61&lt;'Données projet'!$A$114,$BV$205^A61,IF(A61='Données projet'!$A$114,'Données projet'!$B$114,BY60+BX61-CG60)))</f>
        <v>376.36666666666667</v>
      </c>
      <c r="BZ61" s="13">
        <f>BY61*VLOOKUP('Données projet'!$B$12,Paramètres!$A$1:$I$89,3,0)*VLOOKUP('Données projet'!$B$12,Paramètres!$A$1:$I$89,5,0)</f>
        <v>234.8528</v>
      </c>
      <c r="CA61" s="13">
        <f t="shared" si="39"/>
        <v>57.330691860456056</v>
      </c>
      <c r="CB61" s="20">
        <f t="shared" si="10"/>
        <v>508.88624832362757</v>
      </c>
      <c r="CC61" s="59">
        <f t="shared" si="11"/>
        <v>802.21958165696083</v>
      </c>
      <c r="CD61" s="59">
        <f ca="1">AVERAGE(OFFSET($CC$3,0,0,'Données projet'!$E$12+1,1))-AVERAGE(OFFSET($H$3,0,0,'Données projet'!$E$12+1,1))</f>
        <v>269.77739619445515</v>
      </c>
      <c r="CE61" s="59">
        <f t="shared" si="40"/>
        <v>347.56964743629885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79.67236866704458</v>
      </c>
      <c r="CL61" s="21">
        <f>EXP(-LN(2)/25)*CL60+(1-EXP(-LN(2)/25))/(LN(2)/25)*Calculateur!CG61*Calculateur!CI61*VLOOKUP('Données projet'!$B$12,Paramètres!$A$1:$I$89,3,0)*0.475*44/12</f>
        <v>42.210016042039221</v>
      </c>
      <c r="CM61" s="21">
        <f>EXP(-LN(2)/2)*CM60+(1-EXP(-LN(2)/2))/(LN(2)/2)*CG61*CJ61*VLOOKUP('Données projet'!$B$12,Paramètres!$A$1:$I$89,3,0)*0.475*44/12</f>
        <v>1.5160123307487094E-6</v>
      </c>
      <c r="CN61" s="22">
        <f t="shared" si="12"/>
        <v>121.88238622509613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23.8</v>
      </c>
      <c r="N62" s="13">
        <f>IF('Données projet'!$A$36&gt;35,N61+M62-V61,IF(A62&lt;'Données projet'!$A$36,$K$205^A62,IF(A62='Données projet'!$A$36,'Données projet'!$B$36,N61+M62-V61)))</f>
        <v>716.20000000000016</v>
      </c>
      <c r="O62" s="13">
        <f>N62*VLOOKUP('Données projet'!$B$9,Paramètres!$A$1:$I$89,3,0)*VLOOKUP('Données projet'!$B$9,Paramètres!$A$1:$I$89,5,0)</f>
        <v>353.8028000000001</v>
      </c>
      <c r="P62" s="13">
        <f t="shared" si="33"/>
        <v>82.345054088850119</v>
      </c>
      <c r="Q62" s="20">
        <f t="shared" si="53"/>
        <v>759.62417920474752</v>
      </c>
      <c r="R62" s="59">
        <f t="shared" si="0"/>
        <v>1052.9575125380809</v>
      </c>
      <c r="S62" s="59">
        <f ca="1">AVERAGE(OFFSET($R$3,0,0,'Données projet'!$E$9+1,1))-AVERAGE(OFFSET($H$3,0,0,'Données projet'!$E$9+1,1))</f>
        <v>434.08297999735811</v>
      </c>
      <c r="T62" s="59">
        <f t="shared" si="34"/>
        <v>371.04090283546122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104.86601888290795</v>
      </c>
      <c r="AA62" s="21">
        <f>EXP(-LN(2)/25)*AA61+(1-EXP(-LN(2)/25))/(LN(2)/25)*Calculateur!V62*Calculateur!X62*VLOOKUP('Données projet'!$B$9,Paramètres!$A$1:$I$89,3,0)*0.475*44/12</f>
        <v>23.140355099846055</v>
      </c>
      <c r="AB62" s="21">
        <f>EXP(-LN(2)/2)*AB61+(1-EXP(-LN(2)/2))/(LN(2)/2)*V62*Y62*VLOOKUP('Données projet'!$B$9,Paramètres!$A$1:$I$89,3,0)*0.475*44/12</f>
        <v>3.2437399397713349E-5</v>
      </c>
      <c r="AC62" s="22">
        <f t="shared" si="3"/>
        <v>128.00640642015341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331.52724290297675</v>
      </c>
      <c r="AO62" s="59">
        <f t="shared" si="36"/>
        <v>322.79102610158054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50.097511861470515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50.097511861470515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225.12047999999982</v>
      </c>
      <c r="BF62" s="13">
        <f t="shared" si="37"/>
        <v>55.226302099278278</v>
      </c>
      <c r="BG62" s="20">
        <f t="shared" si="7"/>
        <v>488.27064548957588</v>
      </c>
      <c r="BH62" s="59">
        <f t="shared" si="8"/>
        <v>781.6039788229092</v>
      </c>
      <c r="BI62" s="59">
        <f ca="1">AVERAGE(OFFSET($BH$3,0,0,'Données projet'!$E$11+1,1))-AVERAGE(OFFSET($H$3,0,0,'Données projet'!$E$11+1,1))</f>
        <v>273.84349636755343</v>
      </c>
      <c r="BJ62" s="59">
        <f t="shared" si="38"/>
        <v>268.10688874775451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42.239078628298678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42.239078628298678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12.316666666666663</v>
      </c>
      <c r="BY62" s="12">
        <f>IF('Données projet'!$A$114&gt;35,BY61+BX62-CG61,IF(A62&lt;'Données projet'!$A$114,$BV$205^A62,IF(A62='Données projet'!$A$114,'Données projet'!$B$114,BY61+BX62-CG61)))</f>
        <v>388.68333333333334</v>
      </c>
      <c r="BZ62" s="13">
        <f>BY62*VLOOKUP('Données projet'!$B$12,Paramètres!$A$1:$I$89,3,0)*VLOOKUP('Données projet'!$B$12,Paramètres!$A$1:$I$89,5,0)</f>
        <v>242.5384</v>
      </c>
      <c r="CA62" s="13">
        <f t="shared" si="39"/>
        <v>58.985344734966667</v>
      </c>
      <c r="CB62" s="20">
        <f t="shared" si="10"/>
        <v>525.15385541340027</v>
      </c>
      <c r="CC62" s="59">
        <f t="shared" si="11"/>
        <v>818.48718874673364</v>
      </c>
      <c r="CD62" s="59">
        <f ca="1">AVERAGE(OFFSET($CC$3,0,0,'Données projet'!$E$12+1,1))-AVERAGE(OFFSET($H$3,0,0,'Données projet'!$E$12+1,1))</f>
        <v>269.77739619445515</v>
      </c>
      <c r="CE62" s="59">
        <f t="shared" si="40"/>
        <v>347.56964743629885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78.110042112830328</v>
      </c>
      <c r="CL62" s="21">
        <f>EXP(-LN(2)/25)*CL61+(1-EXP(-LN(2)/25))/(LN(2)/25)*Calculateur!CG62*Calculateur!CI62*VLOOKUP('Données projet'!$B$12,Paramètres!$A$1:$I$89,3,0)*0.475*44/12</f>
        <v>41.055780933641387</v>
      </c>
      <c r="CM62" s="21">
        <f>EXP(-LN(2)/2)*CM61+(1-EXP(-LN(2)/2))/(LN(2)/2)*CG62*CJ62*VLOOKUP('Données projet'!$B$12,Paramètres!$A$1:$I$89,3,0)*0.475*44/12</f>
        <v>1.0719825994348355E-6</v>
      </c>
      <c r="CN62" s="22">
        <f t="shared" si="12"/>
        <v>119.16582411845431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740</v>
      </c>
      <c r="L63" s="12">
        <f>VLOOKUP(A63,'Données projet'!$A$35:$I$55,9,0)</f>
        <v>23.8</v>
      </c>
      <c r="M63" s="12">
        <f t="array" ref="M63">INDEX(L:L,MIN(IF(ISNUMBER(L63:L259),ROW(L63:L259),"")))</f>
        <v>23.8</v>
      </c>
      <c r="N63" s="13">
        <f>IF('Données projet'!$A$36&gt;35,N62+M63-V62,IF(A63&lt;'Données projet'!$A$36,$K$205^A63,IF(A63='Données projet'!$A$36,'Données projet'!$B$36,N62+M63-V62)))</f>
        <v>740.00000000000011</v>
      </c>
      <c r="O63" s="13">
        <f>N63*VLOOKUP('Données projet'!$B$9,Paramètres!$A$1:$I$89,3,0)*VLOOKUP('Données projet'!$B$9,Paramètres!$A$1:$I$89,5,0)</f>
        <v>365.56000000000006</v>
      </c>
      <c r="P63" s="13">
        <f t="shared" si="33"/>
        <v>84.758320887405773</v>
      </c>
      <c r="Q63" s="20">
        <f t="shared" si="53"/>
        <v>784.30440887889836</v>
      </c>
      <c r="R63" s="59">
        <f t="shared" si="0"/>
        <v>1077.6377422122316</v>
      </c>
      <c r="S63" s="59">
        <f ca="1">AVERAGE(OFFSET($R$3,0,0,'Données projet'!$E$9+1,1))-AVERAGE(OFFSET($H$3,0,0,'Données projet'!$E$9+1,1))</f>
        <v>434.08297999735811</v>
      </c>
      <c r="T63" s="59">
        <f t="shared" si="34"/>
        <v>371.04090283546122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126.59787934240286</v>
      </c>
      <c r="AA63" s="21">
        <f>EXP(-LN(2)/25)*AA62+(1-EXP(-LN(2)/25))/(LN(2)/25)*Calculateur!V63*Calculateur!X63*VLOOKUP('Données projet'!$B$9,Paramètres!$A$1:$I$89,3,0)*0.475*44/12</f>
        <v>22.507580872742377</v>
      </c>
      <c r="AB63" s="21">
        <f>EXP(-LN(2)/2)*AB62+(1-EXP(-LN(2)/2))/(LN(2)/2)*V63*Y63*VLOOKUP('Données projet'!$B$9,Paramètres!$A$1:$I$89,3,0)*0.475*44/12</f>
        <v>2.2936705078179542E-5</v>
      </c>
      <c r="AC63" s="22">
        <f t="shared" si="3"/>
        <v>149.10548315185031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331.52724290297675</v>
      </c>
      <c r="AO63" s="59">
        <f t="shared" si="36"/>
        <v>322.79102610158054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57.039535438279415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57.039535438279415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230.08439999999979</v>
      </c>
      <c r="BF63" s="13">
        <f t="shared" si="37"/>
        <v>56.300930394719607</v>
      </c>
      <c r="BG63" s="20">
        <f t="shared" si="7"/>
        <v>498.78778377080289</v>
      </c>
      <c r="BH63" s="59">
        <f t="shared" si="8"/>
        <v>792.12111710413615</v>
      </c>
      <c r="BI63" s="59">
        <f ca="1">AVERAGE(OFFSET($BH$3,0,0,'Données projet'!$E$11+1,1))-AVERAGE(OFFSET($H$3,0,0,'Données projet'!$E$11+1,1))</f>
        <v>273.84349636755343</v>
      </c>
      <c r="BJ63" s="59">
        <f t="shared" si="38"/>
        <v>268.10688874775451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48.092157330314024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48.092157330314024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401</v>
      </c>
      <c r="BW63" s="12">
        <f>VLOOKUP(A63,'Données projet'!$A$113:$I$133,9,0)</f>
        <v>12.316666666666663</v>
      </c>
      <c r="BX63" s="12">
        <f t="array" ref="BX63">INDEX(BW:BW,MIN(IF(ISNUMBER(BW63:BW259),ROW(BW63:BW259),"")))</f>
        <v>12.316666666666663</v>
      </c>
      <c r="BY63" s="12">
        <f>IF('Données projet'!$A$114&gt;35,BY62+BX63-CG62,IF(A63&lt;'Données projet'!$A$114,$BV$205^A63,IF(A63='Données projet'!$A$114,'Données projet'!$B$114,BY62+BX63-CG62)))</f>
        <v>401</v>
      </c>
      <c r="BZ63" s="13">
        <f>BY63*VLOOKUP('Données projet'!$B$12,Paramètres!$A$1:$I$89,3,0)*VLOOKUP('Données projet'!$B$12,Paramètres!$A$1:$I$89,5,0)</f>
        <v>250.22399999999999</v>
      </c>
      <c r="CA63" s="13">
        <f t="shared" si="39"/>
        <v>60.633904580527918</v>
      </c>
      <c r="CB63" s="20">
        <f t="shared" si="10"/>
        <v>541.41085047775289</v>
      </c>
      <c r="CC63" s="59">
        <f t="shared" si="11"/>
        <v>834.74418381108626</v>
      </c>
      <c r="CD63" s="59">
        <f ca="1">AVERAGE(OFFSET($CC$3,0,0,'Données projet'!$E$12+1,1))-AVERAGE(OFFSET($H$3,0,0,'Données projet'!$E$12+1,1))</f>
        <v>269.77739619445515</v>
      </c>
      <c r="CE63" s="59">
        <f t="shared" si="40"/>
        <v>347.56964743629885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76.57835182941912</v>
      </c>
      <c r="CL63" s="21">
        <f>EXP(-LN(2)/25)*CL62+(1-EXP(-LN(2)/25))/(LN(2)/25)*Calculateur!CG63*Calculateur!CI63*VLOOKUP('Données projet'!$B$12,Paramètres!$A$1:$I$89,3,0)*0.475*44/12</f>
        <v>39.933108444981279</v>
      </c>
      <c r="CM63" s="21">
        <f>EXP(-LN(2)/2)*CM62+(1-EXP(-LN(2)/2))/(LN(2)/2)*CG63*CJ63*VLOOKUP('Données projet'!$B$12,Paramètres!$A$1:$I$89,3,0)*0.475*44/12</f>
        <v>7.5800616537435469E-7</v>
      </c>
      <c r="CN63" s="22">
        <f t="shared" si="12"/>
        <v>116.51146103240657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22.4</v>
      </c>
      <c r="N64" s="13">
        <f>IF('Données projet'!$A$36&gt;35,N63+M64-V63,IF(A64&lt;'Données projet'!$A$36,$K$205^A64,IF(A64='Données projet'!$A$36,'Données projet'!$B$36,N63+M64-V63)))</f>
        <v>696.40000000000009</v>
      </c>
      <c r="O64" s="13">
        <f>N64*VLOOKUP('Données projet'!$B$9,Paramètres!$A$1:$I$89,3,0)*VLOOKUP('Données projet'!$B$9,Paramètres!$A$1:$I$89,5,0)</f>
        <v>344.02160000000009</v>
      </c>
      <c r="P64" s="13">
        <f t="shared" si="33"/>
        <v>80.33026495995145</v>
      </c>
      <c r="Q64" s="20">
        <f t="shared" si="53"/>
        <v>739.07949813858215</v>
      </c>
      <c r="R64" s="59">
        <f t="shared" si="0"/>
        <v>1032.4128314719155</v>
      </c>
      <c r="S64" s="59">
        <f ca="1">AVERAGE(OFFSET($R$3,0,0,'Données projet'!$E$9+1,1))-AVERAGE(OFFSET($H$3,0,0,'Données projet'!$E$9+1,1))</f>
        <v>434.08297999735811</v>
      </c>
      <c r="T64" s="59">
        <f t="shared" si="34"/>
        <v>371.04090283546122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124.11537214558018</v>
      </c>
      <c r="AA64" s="21">
        <f>EXP(-LN(2)/25)*AA63+(1-EXP(-LN(2)/25))/(LN(2)/25)*Calculateur!V64*Calculateur!X64*VLOOKUP('Données projet'!$B$9,Paramètres!$A$1:$I$89,3,0)*0.475*44/12</f>
        <v>21.892109890155002</v>
      </c>
      <c r="AB64" s="21">
        <f>EXP(-LN(2)/2)*AB63+(1-EXP(-LN(2)/2))/(LN(2)/2)*V64*Y64*VLOOKUP('Données projet'!$B$9,Paramètres!$A$1:$I$89,3,0)*0.475*44/12</f>
        <v>1.6218699698856675E-5</v>
      </c>
      <c r="AC64" s="22">
        <f t="shared" si="3"/>
        <v>146.00749825443489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331.52724290297675</v>
      </c>
      <c r="AO64" s="59">
        <f t="shared" si="36"/>
        <v>322.79102610158054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55.921024939016078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55.921024939016078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222.70559999999981</v>
      </c>
      <c r="BF64" s="13">
        <f t="shared" si="37"/>
        <v>54.702515528198852</v>
      </c>
      <c r="BG64" s="20">
        <f t="shared" si="7"/>
        <v>483.15246787827937</v>
      </c>
      <c r="BH64" s="59">
        <f t="shared" si="8"/>
        <v>776.48580121161262</v>
      </c>
      <c r="BI64" s="59">
        <f ca="1">AVERAGE(OFFSET($BH$3,0,0,'Données projet'!$E$11+1,1))-AVERAGE(OFFSET($H$3,0,0,'Données projet'!$E$11+1,1))</f>
        <v>273.84349636755343</v>
      </c>
      <c r="BJ64" s="59">
        <f t="shared" si="38"/>
        <v>268.10688874775451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47.149099458386111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47.149099458386111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401</v>
      </c>
      <c r="BZ64" s="13">
        <f>BY64*VLOOKUP('Données projet'!$B$12,Paramètres!$A$1:$I$89,3,0)*VLOOKUP('Données projet'!$B$12,Paramètres!$A$1:$I$89,5,0)</f>
        <v>250.22399999999999</v>
      </c>
      <c r="CA64" s="13">
        <f t="shared" si="39"/>
        <v>60.633904580527918</v>
      </c>
      <c r="CB64" s="20">
        <f t="shared" si="10"/>
        <v>541.41085047775289</v>
      </c>
      <c r="CC64" s="59">
        <f t="shared" si="11"/>
        <v>834.74418381108626</v>
      </c>
      <c r="CD64" s="59">
        <f ca="1">AVERAGE(OFFSET($CC$3,0,0,'Données projet'!$E$12+1,1))-AVERAGE(OFFSET($H$3,0,0,'Données projet'!$E$12+1,1))</f>
        <v>269.77739619445515</v>
      </c>
      <c r="CE64" s="59">
        <f t="shared" si="40"/>
        <v>347.56964743629885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75.07669705822677</v>
      </c>
      <c r="CL64" s="21">
        <f>EXP(-LN(2)/25)*CL63+(1-EXP(-LN(2)/25))/(LN(2)/25)*Calculateur!CG64*Calculateur!CI64*VLOOKUP('Données projet'!$B$12,Paramètres!$A$1:$I$89,3,0)*0.475*44/12</f>
        <v>38.841135494562359</v>
      </c>
      <c r="CM64" s="21">
        <f>EXP(-LN(2)/2)*CM63+(1-EXP(-LN(2)/2))/(LN(2)/2)*CG64*CJ64*VLOOKUP('Données projet'!$B$12,Paramètres!$A$1:$I$89,3,0)*0.475*44/12</f>
        <v>5.3599129971741777E-7</v>
      </c>
      <c r="CN64" s="22">
        <f t="shared" si="12"/>
        <v>113.91783308878043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22.4</v>
      </c>
      <c r="N65" s="13">
        <f>IF('Données projet'!$A$36&gt;35,N64+M65-V64,IF(A65&lt;'Données projet'!$A$36,$K$205^A65,IF(A65='Données projet'!$A$36,'Données projet'!$B$36,N64+M65-V64)))</f>
        <v>718.80000000000007</v>
      </c>
      <c r="O65" s="13">
        <f>N65*VLOOKUP('Données projet'!$B$9,Paramètres!$A$1:$I$89,3,0)*VLOOKUP('Données projet'!$B$9,Paramètres!$A$1:$I$89,5,0)</f>
        <v>355.0872</v>
      </c>
      <c r="P65" s="13">
        <f t="shared" si="33"/>
        <v>82.609137191148633</v>
      </c>
      <c r="Q65" s="20">
        <f t="shared" si="53"/>
        <v>762.32112060791712</v>
      </c>
      <c r="R65" s="59">
        <f t="shared" si="0"/>
        <v>1055.6544539412505</v>
      </c>
      <c r="S65" s="59">
        <f ca="1">AVERAGE(OFFSET($R$3,0,0,'Données projet'!$E$9+1,1))-AVERAGE(OFFSET($H$3,0,0,'Données projet'!$E$9+1,1))</f>
        <v>434.08297999735811</v>
      </c>
      <c r="T65" s="59">
        <f t="shared" si="34"/>
        <v>371.04090283546122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121.68154540070732</v>
      </c>
      <c r="AA65" s="21">
        <f>EXP(-LN(2)/25)*AA64+(1-EXP(-LN(2)/25))/(LN(2)/25)*Calculateur!V65*Calculateur!X65*VLOOKUP('Données projet'!$B$9,Paramètres!$A$1:$I$89,3,0)*0.475*44/12</f>
        <v>21.29346899395269</v>
      </c>
      <c r="AB65" s="21">
        <f>EXP(-LN(2)/2)*AB64+(1-EXP(-LN(2)/2))/(LN(2)/2)*V65*Y65*VLOOKUP('Données projet'!$B$9,Paramètres!$A$1:$I$89,3,0)*0.475*44/12</f>
        <v>1.1468352539089771E-5</v>
      </c>
      <c r="AC65" s="22">
        <f t="shared" si="3"/>
        <v>142.97502586301255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331.52724290297675</v>
      </c>
      <c r="AO65" s="59">
        <f t="shared" si="36"/>
        <v>322.79102610158054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54.824447748419253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54.824447748419253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226.73039999999983</v>
      </c>
      <c r="BF65" s="13">
        <f t="shared" si="37"/>
        <v>55.575129542858527</v>
      </c>
      <c r="BG65" s="20">
        <f t="shared" si="7"/>
        <v>491.68213062047835</v>
      </c>
      <c r="BH65" s="59">
        <f t="shared" si="8"/>
        <v>785.0154639538116</v>
      </c>
      <c r="BI65" s="59">
        <f ca="1">AVERAGE(OFFSET($BH$3,0,0,'Données projet'!$E$11+1,1))-AVERAGE(OFFSET($H$3,0,0,'Données projet'!$E$11+1,1))</f>
        <v>273.84349636755343</v>
      </c>
      <c r="BJ65" s="59">
        <f t="shared" si="38"/>
        <v>268.10688874775451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46.2245343761182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46.2245343761182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401</v>
      </c>
      <c r="BZ65" s="13">
        <f>BY65*VLOOKUP('Données projet'!$B$12,Paramètres!$A$1:$I$89,3,0)*VLOOKUP('Données projet'!$B$12,Paramètres!$A$1:$I$89,5,0)</f>
        <v>250.22399999999999</v>
      </c>
      <c r="CA65" s="13">
        <f t="shared" si="39"/>
        <v>60.633904580527918</v>
      </c>
      <c r="CB65" s="20">
        <f t="shared" si="10"/>
        <v>541.41085047775289</v>
      </c>
      <c r="CC65" s="59">
        <f t="shared" si="11"/>
        <v>834.74418381108626</v>
      </c>
      <c r="CD65" s="59">
        <f ca="1">AVERAGE(OFFSET($CC$3,0,0,'Données projet'!$E$12+1,1))-AVERAGE(OFFSET($H$3,0,0,'Données projet'!$E$12+1,1))</f>
        <v>269.77739619445515</v>
      </c>
      <c r="CE65" s="59">
        <f t="shared" si="40"/>
        <v>347.56964743629885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73.604488821178535</v>
      </c>
      <c r="CL65" s="21">
        <f>EXP(-LN(2)/25)*CL64+(1-EXP(-LN(2)/25))/(LN(2)/25)*Calculateur!CG65*Calculateur!CI65*VLOOKUP('Données projet'!$B$12,Paramètres!$A$1:$I$89,3,0)*0.475*44/12</f>
        <v>37.779022601897005</v>
      </c>
      <c r="CM65" s="21">
        <f>EXP(-LN(2)/2)*CM64+(1-EXP(-LN(2)/2))/(LN(2)/2)*CG65*CJ65*VLOOKUP('Données projet'!$B$12,Paramètres!$A$1:$I$89,3,0)*0.475*44/12</f>
        <v>3.7900308268717734E-7</v>
      </c>
      <c r="CN65" s="22">
        <f t="shared" si="12"/>
        <v>111.38351180207862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22.4</v>
      </c>
      <c r="N66" s="13">
        <f>IF('Données projet'!$A$36&gt;35,N65+M66-V65,IF(A66&lt;'Données projet'!$A$36,$K$205^A66,IF(A66='Données projet'!$A$36,'Données projet'!$B$36,N65+M66-V65)))</f>
        <v>741.2</v>
      </c>
      <c r="O66" s="13">
        <f>N66*VLOOKUP('Données projet'!$B$9,Paramètres!$A$1:$I$89,3,0)*VLOOKUP('Données projet'!$B$9,Paramètres!$A$1:$I$89,5,0)</f>
        <v>366.15280000000001</v>
      </c>
      <c r="P66" s="13">
        <f t="shared" si="33"/>
        <v>84.879756652329547</v>
      </c>
      <c r="Q66" s="20">
        <f t="shared" si="53"/>
        <v>785.5483695028073</v>
      </c>
      <c r="R66" s="59">
        <f t="shared" si="0"/>
        <v>1078.8817028361407</v>
      </c>
      <c r="S66" s="59">
        <f ca="1">AVERAGE(OFFSET($R$3,0,0,'Données projet'!$E$9+1,1))-AVERAGE(OFFSET($H$3,0,0,'Données projet'!$E$9+1,1))</f>
        <v>434.08297999735811</v>
      </c>
      <c r="T66" s="59">
        <f t="shared" si="34"/>
        <v>371.04090283546122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119.29544451381369</v>
      </c>
      <c r="AA66" s="21">
        <f>EXP(-LN(2)/25)*AA65+(1-EXP(-LN(2)/25))/(LN(2)/25)*Calculateur!V66*Calculateur!X66*VLOOKUP('Données projet'!$B$9,Paramètres!$A$1:$I$89,3,0)*0.475*44/12</f>
        <v>20.711197964538187</v>
      </c>
      <c r="AB66" s="21">
        <f>EXP(-LN(2)/2)*AB65+(1-EXP(-LN(2)/2))/(LN(2)/2)*V66*Y66*VLOOKUP('Données projet'!$B$9,Paramètres!$A$1:$I$89,3,0)*0.475*44/12</f>
        <v>8.1093498494283373E-6</v>
      </c>
      <c r="AC66" s="22">
        <f t="shared" si="3"/>
        <v>140.00665058770173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331.52724290297675</v>
      </c>
      <c r="AO66" s="59">
        <f t="shared" si="36"/>
        <v>322.79102610158054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53.749373767683991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53.749373767683991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230.7551999999998</v>
      </c>
      <c r="BF66" s="13">
        <f t="shared" si="37"/>
        <v>56.445942260956926</v>
      </c>
      <c r="BG66" s="20">
        <f t="shared" si="7"/>
        <v>500.2086561044996</v>
      </c>
      <c r="BH66" s="59">
        <f t="shared" si="8"/>
        <v>793.54198943783285</v>
      </c>
      <c r="BI66" s="59">
        <f ca="1">AVERAGE(OFFSET($BH$3,0,0,'Données projet'!$E$11+1,1))-AVERAGE(OFFSET($H$3,0,0,'Données projet'!$E$11+1,1))</f>
        <v>273.84349636755343</v>
      </c>
      <c r="BJ66" s="59">
        <f t="shared" si="38"/>
        <v>268.10688874775451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45.318099451184544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45.318099451184544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401</v>
      </c>
      <c r="BZ66" s="13">
        <f>BY66*VLOOKUP('Données projet'!$B$12,Paramètres!$A$1:$I$89,3,0)*VLOOKUP('Données projet'!$B$12,Paramètres!$A$1:$I$89,5,0)</f>
        <v>250.22399999999999</v>
      </c>
      <c r="CA66" s="13">
        <f t="shared" si="39"/>
        <v>60.633904580527918</v>
      </c>
      <c r="CB66" s="20">
        <f t="shared" si="10"/>
        <v>541.41085047775289</v>
      </c>
      <c r="CC66" s="59">
        <f t="shared" si="11"/>
        <v>834.74418381108626</v>
      </c>
      <c r="CD66" s="59">
        <f ca="1">AVERAGE(OFFSET($CC$3,0,0,'Données projet'!$E$12+1,1))-AVERAGE(OFFSET($H$3,0,0,'Données projet'!$E$12+1,1))</f>
        <v>269.77739619445515</v>
      </c>
      <c r="CE66" s="59">
        <f t="shared" si="40"/>
        <v>347.56964743629885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72.161149689700466</v>
      </c>
      <c r="CL66" s="21">
        <f>EXP(-LN(2)/25)*CL65+(1-EXP(-LN(2)/25))/(LN(2)/25)*Calculateur!CG66*Calculateur!CI66*VLOOKUP('Données projet'!$B$12,Paramètres!$A$1:$I$89,3,0)*0.475*44/12</f>
        <v>36.745953242135677</v>
      </c>
      <c r="CM66" s="21">
        <f>EXP(-LN(2)/2)*CM65+(1-EXP(-LN(2)/2))/(LN(2)/2)*CG66*CJ66*VLOOKUP('Données projet'!$B$12,Paramètres!$A$1:$I$89,3,0)*0.475*44/12</f>
        <v>2.6799564985870888E-7</v>
      </c>
      <c r="CN66" s="22">
        <f t="shared" si="12"/>
        <v>108.90710319983178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22.4</v>
      </c>
      <c r="N67" s="13">
        <f>IF('Données projet'!$A$36&gt;35,N66+M67-V66,IF(A67&lt;'Données projet'!$A$36,$K$205^A67,IF(A67='Données projet'!$A$36,'Données projet'!$B$36,N66+M67-V66)))</f>
        <v>763.6</v>
      </c>
      <c r="O67" s="13">
        <f>N67*VLOOKUP('Données projet'!$B$9,Paramètres!$A$1:$I$89,3,0)*VLOOKUP('Données projet'!$B$9,Paramètres!$A$1:$I$89,5,0)</f>
        <v>377.21840000000003</v>
      </c>
      <c r="P67" s="13">
        <f t="shared" si="33"/>
        <v>87.142401380514713</v>
      </c>
      <c r="Q67" s="20">
        <f t="shared" ref="Q67:Q98" si="54">(O67+P67)*0.475*44/12</f>
        <v>808.7617290710632</v>
      </c>
      <c r="R67" s="59">
        <f t="shared" ref="R67:R130" si="55">Q67+(I67+J67)*44/12</f>
        <v>1102.0950624043965</v>
      </c>
      <c r="S67" s="59">
        <f ca="1">AVERAGE(OFFSET($R$3,0,0,'Données projet'!$E$9+1,1))-AVERAGE(OFFSET($H$3,0,0,'Données projet'!$E$9+1,1))</f>
        <v>434.08297999735811</v>
      </c>
      <c r="T67" s="59">
        <f t="shared" si="34"/>
        <v>371.04090283546122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116.9561336099342</v>
      </c>
      <c r="AA67" s="21">
        <f>EXP(-LN(2)/25)*AA66+(1-EXP(-LN(2)/25))/(LN(2)/25)*Calculateur!V67*Calculateur!X67*VLOOKUP('Données projet'!$B$9,Paramètres!$A$1:$I$89,3,0)*0.475*44/12</f>
        <v>20.144849167043326</v>
      </c>
      <c r="AB67" s="21">
        <f>EXP(-LN(2)/2)*AB66+(1-EXP(-LN(2)/2))/(LN(2)/2)*V67*Y67*VLOOKUP('Données projet'!$B$9,Paramètres!$A$1:$I$89,3,0)*0.475*44/12</f>
        <v>5.7341762695448856E-6</v>
      </c>
      <c r="AC67" s="22">
        <f t="shared" si="3"/>
        <v>137.10098851115379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331.52724290297675</v>
      </c>
      <c r="AO67" s="59">
        <f t="shared" si="36"/>
        <v>322.79102610158054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52.69538133198057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52.69538133198057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234.77999999999983</v>
      </c>
      <c r="BF67" s="13">
        <f t="shared" si="37"/>
        <v>57.314988725508904</v>
      </c>
      <c r="BG67" s="20">
        <f t="shared" si="7"/>
        <v>508.73210536359443</v>
      </c>
      <c r="BH67" s="59">
        <f t="shared" si="8"/>
        <v>802.06543869692769</v>
      </c>
      <c r="BI67" s="59">
        <f ca="1">AVERAGE(OFFSET($BH$3,0,0,'Données projet'!$E$11+1,1))-AVERAGE(OFFSET($H$3,0,0,'Données projet'!$E$11+1,1))</f>
        <v>273.84349636755343</v>
      </c>
      <c r="BJ67" s="59">
        <f t="shared" si="38"/>
        <v>268.10688874775451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44.429439162258127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44.429439162258127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401</v>
      </c>
      <c r="BZ67" s="13">
        <f>BY67*VLOOKUP('Données projet'!$B$12,Paramètres!$A$1:$I$89,3,0)*VLOOKUP('Données projet'!$B$12,Paramètres!$A$1:$I$89,5,0)</f>
        <v>250.22399999999999</v>
      </c>
      <c r="CA67" s="13">
        <f t="shared" si="39"/>
        <v>60.633904580527918</v>
      </c>
      <c r="CB67" s="20">
        <f t="shared" si="10"/>
        <v>541.41085047775289</v>
      </c>
      <c r="CC67" s="59">
        <f t="shared" si="11"/>
        <v>834.74418381108626</v>
      </c>
      <c r="CD67" s="59">
        <f ca="1">AVERAGE(OFFSET($CC$3,0,0,'Données projet'!$E$12+1,1))-AVERAGE(OFFSET($H$3,0,0,'Données projet'!$E$12+1,1))</f>
        <v>269.77739619445515</v>
      </c>
      <c r="CE67" s="59">
        <f t="shared" si="40"/>
        <v>347.56964743629885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70.746113558240737</v>
      </c>
      <c r="CL67" s="21">
        <f>EXP(-LN(2)/25)*CL66+(1-EXP(-LN(2)/25))/(LN(2)/25)*Calculateur!CG67*Calculateur!CI67*VLOOKUP('Données projet'!$B$12,Paramètres!$A$1:$I$89,3,0)*0.475*44/12</f>
        <v>35.741133218343776</v>
      </c>
      <c r="CM67" s="21">
        <f>EXP(-LN(2)/2)*CM66+(1-EXP(-LN(2)/2))/(LN(2)/2)*CG67*CJ67*VLOOKUP('Données projet'!$B$12,Paramètres!$A$1:$I$89,3,0)*0.475*44/12</f>
        <v>1.8950154134358867E-7</v>
      </c>
      <c r="CN67" s="22">
        <f t="shared" si="12"/>
        <v>106.48724696608605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786</v>
      </c>
      <c r="L68" s="12">
        <f>VLOOKUP(A68,'Données projet'!$A$35:$I$55,9,0)</f>
        <v>22.4</v>
      </c>
      <c r="M68" s="12">
        <f t="array" ref="M68">INDEX(L:L,MIN(IF(ISNUMBER(L68:L264),ROW(L68:L264),"")))</f>
        <v>22.4</v>
      </c>
      <c r="N68" s="13">
        <f>IF('Données projet'!$A$36&gt;35,N67+M68-V67,IF(A68&lt;'Données projet'!$A$36,$K$205^A68,IF(A68='Données projet'!$A$36,'Données projet'!$B$36,N67+M68-V67)))</f>
        <v>786</v>
      </c>
      <c r="O68" s="13">
        <f>N68*VLOOKUP('Données projet'!$B$9,Paramètres!$A$1:$I$89,3,0)*VLOOKUP('Données projet'!$B$9,Paramètres!$A$1:$I$89,5,0)</f>
        <v>388.28400000000005</v>
      </c>
      <c r="P68" s="13">
        <f t="shared" si="33"/>
        <v>89.397332173017887</v>
      </c>
      <c r="Q68" s="20">
        <f t="shared" si="54"/>
        <v>831.96165353467279</v>
      </c>
      <c r="R68" s="59">
        <f t="shared" si="55"/>
        <v>1125.2949868680062</v>
      </c>
      <c r="S68" s="59">
        <f ca="1">AVERAGE(OFFSET($R$3,0,0,'Données projet'!$E$9+1,1))-AVERAGE(OFFSET($H$3,0,0,'Données projet'!$E$9+1,1))</f>
        <v>434.08297999735811</v>
      </c>
      <c r="T68" s="59">
        <f t="shared" si="34"/>
        <v>371.04090283546122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62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137.00920404370225</v>
      </c>
      <c r="AA68" s="21">
        <f>EXP(-LN(2)/25)*AA67+(1-EXP(-LN(2)/25))/(LN(2)/25)*Calculateur!V68*Calculateur!X68*VLOOKUP('Données projet'!$B$9,Paramètres!$A$1:$I$89,3,0)*0.475*44/12</f>
        <v>19.59398720719895</v>
      </c>
      <c r="AB68" s="21">
        <f>EXP(-LN(2)/2)*AB67+(1-EXP(-LN(2)/2))/(LN(2)/2)*V68*Y68*VLOOKUP('Données projet'!$B$9,Paramètres!$A$1:$I$89,3,0)*0.475*44/12</f>
        <v>4.0546749247141686E-6</v>
      </c>
      <c r="AC68" s="22">
        <f t="shared" ref="AC68:AC131" si="57">SUM(Z68:AB68)</f>
        <v>156.60319530557612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331.52724290297675</v>
      </c>
      <c r="AO68" s="59">
        <f t="shared" si="36"/>
        <v>322.79102610158054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59.120320789019786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59.120320789019786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238.8047999999998</v>
      </c>
      <c r="BF68" s="13">
        <f t="shared" si="37"/>
        <v>58.182302709210205</v>
      </c>
      <c r="BG68" s="20">
        <f t="shared" ref="BG68:BG131" si="61">(BE68+BF68)*0.475*44/12</f>
        <v>517.25253721854074</v>
      </c>
      <c r="BH68" s="59">
        <f t="shared" ref="BH68:BH131" si="62">BG68+(AY68+AZ68)*44/12</f>
        <v>810.585870551874</v>
      </c>
      <c r="BI68" s="59">
        <f ca="1">AVERAGE(OFFSET($BH$3,0,0,'Données projet'!$E$11+1,1))-AVERAGE(OFFSET($H$3,0,0,'Données projet'!$E$11+1,1))</f>
        <v>273.84349636755343</v>
      </c>
      <c r="BJ68" s="59">
        <f t="shared" si="38"/>
        <v>268.10688874775451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49.846544978977462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49.846544978977462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401</v>
      </c>
      <c r="BZ68" s="13">
        <f>BY68*VLOOKUP('Données projet'!$B$12,Paramètres!$A$1:$I$89,3,0)*VLOOKUP('Données projet'!$B$12,Paramètres!$A$1:$I$89,5,0)</f>
        <v>250.22399999999999</v>
      </c>
      <c r="CA68" s="13">
        <f t="shared" si="39"/>
        <v>60.633904580527918</v>
      </c>
      <c r="CB68" s="20">
        <f t="shared" ref="CB68:CB131" si="64">(BZ68+CA68)*0.475*44/12</f>
        <v>541.41085047775289</v>
      </c>
      <c r="CC68" s="59">
        <f t="shared" ref="CC68:CC131" si="65">CB68+(BT68+BU68)*44/12</f>
        <v>834.74418381108626</v>
      </c>
      <c r="CD68" s="59">
        <f ca="1">AVERAGE(OFFSET($CC$3,0,0,'Données projet'!$E$12+1,1))-AVERAGE(OFFSET($H$3,0,0,'Données projet'!$E$12+1,1))</f>
        <v>269.77739619445515</v>
      </c>
      <c r="CE68" s="59">
        <f t="shared" si="40"/>
        <v>347.56964743629885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69.358825422232115</v>
      </c>
      <c r="CL68" s="21">
        <f>EXP(-LN(2)/25)*CL67+(1-EXP(-LN(2)/25))/(LN(2)/25)*Calculateur!CG68*Calculateur!CI68*VLOOKUP('Données projet'!$B$12,Paramètres!$A$1:$I$89,3,0)*0.475*44/12</f>
        <v>34.763790050943655</v>
      </c>
      <c r="CM68" s="21">
        <f>EXP(-LN(2)/2)*CM67+(1-EXP(-LN(2)/2))/(LN(2)/2)*CG68*CJ68*VLOOKUP('Données projet'!$B$12,Paramètres!$A$1:$I$89,3,0)*0.475*44/12</f>
        <v>1.3399782492935444E-7</v>
      </c>
      <c r="CN68" s="22">
        <f t="shared" ref="CN68:CN131" si="66">SUM(CK68:CM68)</f>
        <v>104.1226156071736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21.6</v>
      </c>
      <c r="N69" s="13">
        <f>IF('Données projet'!$A$36&gt;35,N68+M69-V68,IF(A69&lt;'Données projet'!$A$36,$K$205^A69,IF(A69='Données projet'!$A$36,'Données projet'!$B$36,N68+M69-V68)))</f>
        <v>745.6</v>
      </c>
      <c r="O69" s="13">
        <f>N69*VLOOKUP('Données projet'!$B$9,Paramètres!$A$1:$I$89,3,0)*VLOOKUP('Données projet'!$B$9,Paramètres!$A$1:$I$89,5,0)</f>
        <v>368.32640000000004</v>
      </c>
      <c r="P69" s="13">
        <f t="shared" ref="P69:P132" si="87">EXP(-1.0587+0.8836*LN(O69)+0.284)</f>
        <v>85.324825664207623</v>
      </c>
      <c r="Q69" s="20">
        <f t="shared" si="54"/>
        <v>790.10921803182828</v>
      </c>
      <c r="R69" s="59">
        <f t="shared" si="55"/>
        <v>1083.4425513651615</v>
      </c>
      <c r="S69" s="59">
        <f ca="1">AVERAGE(OFFSET($R$3,0,0,'Données projet'!$E$9+1,1))-AVERAGE(OFFSET($H$3,0,0,'Données projet'!$E$9+1,1))</f>
        <v>434.08297999735811</v>
      </c>
      <c r="T69" s="59">
        <f t="shared" ref="T69:T132" si="88">$T$3</f>
        <v>371.04090283546122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134.32253711976813</v>
      </c>
      <c r="AA69" s="21">
        <f>EXP(-LN(2)/25)*AA68+(1-EXP(-LN(2)/25))/(LN(2)/25)*Calculateur!V69*Calculateur!X69*VLOOKUP('Données projet'!$B$9,Paramètres!$A$1:$I$89,3,0)*0.475*44/12</f>
        <v>19.058188596615089</v>
      </c>
      <c r="AB69" s="21">
        <f>EXP(-LN(2)/2)*AB68+(1-EXP(-LN(2)/2))/(LN(2)/2)*V69*Y69*VLOOKUP('Données projet'!$B$9,Paramètres!$A$1:$I$89,3,0)*0.475*44/12</f>
        <v>2.8670881347724428E-6</v>
      </c>
      <c r="AC69" s="22">
        <f t="shared" si="57"/>
        <v>153.38072858347135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331.52724290297675</v>
      </c>
      <c r="AO69" s="59">
        <f t="shared" ref="AO69:AO132" si="90">$AO$3</f>
        <v>322.79102610158054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57.961007358182179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57.961007358182179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231.5601599999998</v>
      </c>
      <c r="BF69" s="13">
        <f t="shared" ref="BF69:BF132" si="91">EXP(-1.0587+0.8836*LN(BE69)+0.284)</f>
        <v>56.619891755568716</v>
      </c>
      <c r="BG69" s="20">
        <f t="shared" si="61"/>
        <v>501.91359014094843</v>
      </c>
      <c r="BH69" s="59">
        <f t="shared" si="62"/>
        <v>795.24692347428174</v>
      </c>
      <c r="BI69" s="59">
        <f ca="1">AVERAGE(OFFSET($BH$3,0,0,'Données projet'!$E$11+1,1))-AVERAGE(OFFSET($H$3,0,0,'Données projet'!$E$11+1,1))</f>
        <v>273.84349636755343</v>
      </c>
      <c r="BJ69" s="59">
        <f t="shared" ref="BJ69:BJ132" si="92">$BJ$3</f>
        <v>268.10688874775451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48.869084635330069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48.869084635330069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401</v>
      </c>
      <c r="BZ69" s="13">
        <f>BY69*VLOOKUP('Données projet'!$B$12,Paramètres!$A$1:$I$89,3,0)*VLOOKUP('Données projet'!$B$12,Paramètres!$A$1:$I$89,5,0)</f>
        <v>250.22399999999999</v>
      </c>
      <c r="CA69" s="13">
        <f t="shared" ref="CA69:CA132" si="93">EXP(-1.0587+0.8836*LN(BZ69)+0.284)</f>
        <v>60.633904580527918</v>
      </c>
      <c r="CB69" s="20">
        <f t="shared" si="64"/>
        <v>541.41085047775289</v>
      </c>
      <c r="CC69" s="59">
        <f t="shared" si="65"/>
        <v>834.74418381108626</v>
      </c>
      <c r="CD69" s="59">
        <f ca="1">AVERAGE(OFFSET($CC$3,0,0,'Données projet'!$E$12+1,1))-AVERAGE(OFFSET($H$3,0,0,'Données projet'!$E$12+1,1))</f>
        <v>269.77739619445515</v>
      </c>
      <c r="CE69" s="59">
        <f t="shared" ref="CE69:CE132" si="94">$CE$3</f>
        <v>347.56964743629885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67.998741160408414</v>
      </c>
      <c r="CL69" s="21">
        <f>EXP(-LN(2)/25)*CL68+(1-EXP(-LN(2)/25))/(LN(2)/25)*Calculateur!CG69*Calculateur!CI69*VLOOKUP('Données projet'!$B$12,Paramètres!$A$1:$I$89,3,0)*0.475*44/12</f>
        <v>33.813172383852333</v>
      </c>
      <c r="CM69" s="21">
        <f>EXP(-LN(2)/2)*CM68+(1-EXP(-LN(2)/2))/(LN(2)/2)*CG69*CJ69*VLOOKUP('Données projet'!$B$12,Paramètres!$A$1:$I$89,3,0)*0.475*44/12</f>
        <v>9.4750770671794336E-8</v>
      </c>
      <c r="CN69" s="22">
        <f t="shared" si="66"/>
        <v>101.81191363901152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21.6</v>
      </c>
      <c r="N70" s="13">
        <f>IF('Données projet'!$A$36&gt;35,N69+M70-V69,IF(A70&lt;'Données projet'!$A$36,$K$205^A70,IF(A70='Données projet'!$A$36,'Données projet'!$B$36,N69+M70-V69)))</f>
        <v>767.2</v>
      </c>
      <c r="O70" s="13">
        <f>N70*VLOOKUP('Données projet'!$B$9,Paramètres!$A$1:$I$89,3,0)*VLOOKUP('Données projet'!$B$9,Paramètres!$A$1:$I$89,5,0)</f>
        <v>378.99680000000001</v>
      </c>
      <c r="P70" s="13">
        <f t="shared" si="87"/>
        <v>87.505314643718904</v>
      </c>
      <c r="Q70" s="20">
        <f t="shared" si="54"/>
        <v>812.49118300447708</v>
      </c>
      <c r="R70" s="59">
        <f t="shared" si="55"/>
        <v>1105.8245163378103</v>
      </c>
      <c r="S70" s="59">
        <f ca="1">AVERAGE(OFFSET($R$3,0,0,'Données projet'!$E$9+1,1))-AVERAGE(OFFSET($H$3,0,0,'Données projet'!$E$9+1,1))</f>
        <v>434.08297999735811</v>
      </c>
      <c r="T70" s="59">
        <f t="shared" si="88"/>
        <v>371.04090283546122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131.68855409550733</v>
      </c>
      <c r="AA70" s="21">
        <f>EXP(-LN(2)/25)*AA69+(1-EXP(-LN(2)/25))/(LN(2)/25)*Calculateur!V70*Calculateur!X70*VLOOKUP('Données projet'!$B$9,Paramètres!$A$1:$I$89,3,0)*0.475*44/12</f>
        <v>18.537041427214071</v>
      </c>
      <c r="AB70" s="21">
        <f>EXP(-LN(2)/2)*AB69+(1-EXP(-LN(2)/2))/(LN(2)/2)*V70*Y70*VLOOKUP('Données projet'!$B$9,Paramètres!$A$1:$I$89,3,0)*0.475*44/12</f>
        <v>2.0273374623570843E-6</v>
      </c>
      <c r="AC70" s="22">
        <f t="shared" si="57"/>
        <v>150.22559755005886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331.52724290297675</v>
      </c>
      <c r="AO70" s="59">
        <f t="shared" si="90"/>
        <v>322.79102610158054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56.82442735661192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56.82442735661192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235.04831999999979</v>
      </c>
      <c r="BF70" s="13">
        <f t="shared" si="91"/>
        <v>57.37286319059664</v>
      </c>
      <c r="BG70" s="20">
        <f t="shared" si="61"/>
        <v>509.30022739028874</v>
      </c>
      <c r="BH70" s="59">
        <f t="shared" si="62"/>
        <v>802.63356072362205</v>
      </c>
      <c r="BI70" s="59">
        <f ca="1">AVERAGE(OFFSET($BH$3,0,0,'Données projet'!$E$11+1,1))-AVERAGE(OFFSET($H$3,0,0,'Données projet'!$E$11+1,1))</f>
        <v>273.84349636755343</v>
      </c>
      <c r="BJ70" s="59">
        <f t="shared" si="92"/>
        <v>268.10688874775451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47.910791692829655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47.910791692829655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401</v>
      </c>
      <c r="BZ70" s="13">
        <f>BY70*VLOOKUP('Données projet'!$B$12,Paramètres!$A$1:$I$89,3,0)*VLOOKUP('Données projet'!$B$12,Paramètres!$A$1:$I$89,5,0)</f>
        <v>250.22399999999999</v>
      </c>
      <c r="CA70" s="13">
        <f t="shared" si="93"/>
        <v>60.633904580527918</v>
      </c>
      <c r="CB70" s="20">
        <f t="shared" si="64"/>
        <v>541.41085047775289</v>
      </c>
      <c r="CC70" s="59">
        <f t="shared" si="65"/>
        <v>834.74418381108626</v>
      </c>
      <c r="CD70" s="59">
        <f ca="1">AVERAGE(OFFSET($CC$3,0,0,'Données projet'!$E$12+1,1))-AVERAGE(OFFSET($H$3,0,0,'Données projet'!$E$12+1,1))</f>
        <v>269.77739619445515</v>
      </c>
      <c r="CE70" s="59">
        <f t="shared" si="94"/>
        <v>347.56964743629885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66.665327321389583</v>
      </c>
      <c r="CL70" s="21">
        <f>EXP(-LN(2)/25)*CL69+(1-EXP(-LN(2)/25))/(LN(2)/25)*Calculateur!CG70*Calculateur!CI70*VLOOKUP('Données projet'!$B$12,Paramètres!$A$1:$I$89,3,0)*0.475*44/12</f>
        <v>32.888549406858438</v>
      </c>
      <c r="CM70" s="21">
        <f>EXP(-LN(2)/2)*CM69+(1-EXP(-LN(2)/2))/(LN(2)/2)*CG70*CJ70*VLOOKUP('Données projet'!$B$12,Paramètres!$A$1:$I$89,3,0)*0.475*44/12</f>
        <v>6.6998912464677221E-8</v>
      </c>
      <c r="CN70" s="22">
        <f t="shared" si="66"/>
        <v>99.553876795246921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21.6</v>
      </c>
      <c r="N71" s="13">
        <f>IF('Données projet'!$A$36&gt;35,N70+M71-V70,IF(A71&lt;'Données projet'!$A$36,$K$205^A71,IF(A71='Données projet'!$A$36,'Données projet'!$B$36,N70+M71-V70)))</f>
        <v>788.80000000000007</v>
      </c>
      <c r="O71" s="13">
        <f>N71*VLOOKUP('Données projet'!$B$9,Paramètres!$A$1:$I$89,3,0)*VLOOKUP('Données projet'!$B$9,Paramètres!$A$1:$I$89,5,0)</f>
        <v>389.66720000000004</v>
      </c>
      <c r="P71" s="13">
        <f t="shared" si="87"/>
        <v>89.678668504054727</v>
      </c>
      <c r="Q71" s="20">
        <f t="shared" si="54"/>
        <v>834.86072097789531</v>
      </c>
      <c r="R71" s="59">
        <f t="shared" si="55"/>
        <v>1128.1940543112287</v>
      </c>
      <c r="S71" s="59">
        <f ca="1">AVERAGE(OFFSET($R$3,0,0,'Données projet'!$E$9+1,1))-AVERAGE(OFFSET($H$3,0,0,'Données projet'!$E$9+1,1))</f>
        <v>434.08297999735811</v>
      </c>
      <c r="T71" s="59">
        <f t="shared" si="88"/>
        <v>371.04090283546122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129.10622187178129</v>
      </c>
      <c r="AA71" s="21">
        <f>EXP(-LN(2)/25)*AA70+(1-EXP(-LN(2)/25))/(LN(2)/25)*Calculateur!V71*Calculateur!X71*VLOOKUP('Données projet'!$B$9,Paramètres!$A$1:$I$89,3,0)*0.475*44/12</f>
        <v>18.030145054566262</v>
      </c>
      <c r="AB71" s="21">
        <f>EXP(-LN(2)/2)*AB70+(1-EXP(-LN(2)/2))/(LN(2)/2)*V71*Y71*VLOOKUP('Données projet'!$B$9,Paramètres!$A$1:$I$89,3,0)*0.475*44/12</f>
        <v>1.4335440673862214E-6</v>
      </c>
      <c r="AC71" s="22">
        <f t="shared" si="57"/>
        <v>147.13636835989161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331.52724290297675</v>
      </c>
      <c r="AO71" s="59">
        <f t="shared" si="90"/>
        <v>322.79102610158054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55.710134995627108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55.710134995627108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238.53647999999981</v>
      </c>
      <c r="BF71" s="13">
        <f t="shared" si="91"/>
        <v>58.124535017142684</v>
      </c>
      <c r="BG71" s="20">
        <f t="shared" si="61"/>
        <v>516.68460115485652</v>
      </c>
      <c r="BH71" s="59">
        <f t="shared" si="62"/>
        <v>810.01793448818989</v>
      </c>
      <c r="BI71" s="59">
        <f ca="1">AVERAGE(OFFSET($BH$3,0,0,'Données projet'!$E$11+1,1))-AVERAGE(OFFSET($H$3,0,0,'Données projet'!$E$11+1,1))</f>
        <v>273.84349636755343</v>
      </c>
      <c r="BJ71" s="59">
        <f t="shared" si="92"/>
        <v>268.10688874775451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46.971290290430694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46.971290290430694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401</v>
      </c>
      <c r="BZ71" s="13">
        <f>BY71*VLOOKUP('Données projet'!$B$12,Paramètres!$A$1:$I$89,3,0)*VLOOKUP('Données projet'!$B$12,Paramètres!$A$1:$I$89,5,0)</f>
        <v>250.22399999999999</v>
      </c>
      <c r="CA71" s="13">
        <f t="shared" si="93"/>
        <v>60.633904580527918</v>
      </c>
      <c r="CB71" s="20">
        <f t="shared" si="64"/>
        <v>541.41085047775289</v>
      </c>
      <c r="CC71" s="59">
        <f t="shared" si="65"/>
        <v>834.74418381108626</v>
      </c>
      <c r="CD71" s="59">
        <f ca="1">AVERAGE(OFFSET($CC$3,0,0,'Données projet'!$E$12+1,1))-AVERAGE(OFFSET($H$3,0,0,'Données projet'!$E$12+1,1))</f>
        <v>269.77739619445515</v>
      </c>
      <c r="CE71" s="59">
        <f t="shared" si="94"/>
        <v>347.56964743629885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65.358060914451784</v>
      </c>
      <c r="CL71" s="21">
        <f>EXP(-LN(2)/25)*CL70+(1-EXP(-LN(2)/25))/(LN(2)/25)*Calculateur!CG71*Calculateur!CI71*VLOOKUP('Données projet'!$B$12,Paramètres!$A$1:$I$89,3,0)*0.475*44/12</f>
        <v>31.989210293794248</v>
      </c>
      <c r="CM71" s="21">
        <f>EXP(-LN(2)/2)*CM70+(1-EXP(-LN(2)/2))/(LN(2)/2)*CG71*CJ71*VLOOKUP('Données projet'!$B$12,Paramètres!$A$1:$I$89,3,0)*0.475*44/12</f>
        <v>4.7375385335897168E-8</v>
      </c>
      <c r="CN71" s="22">
        <f t="shared" si="66"/>
        <v>97.347271255621408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21.6</v>
      </c>
      <c r="N72" s="13">
        <f>IF('Données projet'!$A$36&gt;35,N71+M72-V71,IF(A72&lt;'Données projet'!$A$36,$K$205^A72,IF(A72='Données projet'!$A$36,'Données projet'!$B$36,N71+M72-V71)))</f>
        <v>810.40000000000009</v>
      </c>
      <c r="O72" s="13">
        <f>N72*VLOOKUP('Données projet'!$B$9,Paramètres!$A$1:$I$89,3,0)*VLOOKUP('Données projet'!$B$9,Paramètres!$A$1:$I$89,5,0)</f>
        <v>400.33760000000007</v>
      </c>
      <c r="P72" s="13">
        <f t="shared" si="87"/>
        <v>91.845105079328206</v>
      </c>
      <c r="Q72" s="20">
        <f t="shared" si="54"/>
        <v>857.21821134649679</v>
      </c>
      <c r="R72" s="59">
        <f t="shared" si="55"/>
        <v>1150.5515446798302</v>
      </c>
      <c r="S72" s="59">
        <f ca="1">AVERAGE(OFFSET($R$3,0,0,'Données projet'!$E$9+1,1))-AVERAGE(OFFSET($H$3,0,0,'Données projet'!$E$9+1,1))</f>
        <v>434.08297999735811</v>
      </c>
      <c r="T72" s="59">
        <f t="shared" si="88"/>
        <v>371.04090283546122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126.57452760789538</v>
      </c>
      <c r="AA72" s="21">
        <f>EXP(-LN(2)/25)*AA71+(1-EXP(-LN(2)/25))/(LN(2)/25)*Calculateur!V72*Calculateur!X72*VLOOKUP('Données projet'!$B$9,Paramètres!$A$1:$I$89,3,0)*0.475*44/12</f>
        <v>17.537109789885026</v>
      </c>
      <c r="AB72" s="21">
        <f>EXP(-LN(2)/2)*AB71+(1-EXP(-LN(2)/2))/(LN(2)/2)*V72*Y72*VLOOKUP('Données projet'!$B$9,Paramètres!$A$1:$I$89,3,0)*0.475*44/12</f>
        <v>1.0136687311785422E-6</v>
      </c>
      <c r="AC72" s="22">
        <f t="shared" si="57"/>
        <v>144.11163841144915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331.52724290297675</v>
      </c>
      <c r="AO72" s="59">
        <f t="shared" si="90"/>
        <v>322.79102610158054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54.617693228189978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54.617693228189978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242.02463999999981</v>
      </c>
      <c r="BF72" s="13">
        <f t="shared" si="91"/>
        <v>58.874928435191691</v>
      </c>
      <c r="BG72" s="20">
        <f t="shared" si="61"/>
        <v>524.06674835795855</v>
      </c>
      <c r="BH72" s="59">
        <f t="shared" si="62"/>
        <v>817.40008169129192</v>
      </c>
      <c r="BI72" s="59">
        <f ca="1">AVERAGE(OFFSET($BH$3,0,0,'Données projet'!$E$11+1,1))-AVERAGE(OFFSET($H$3,0,0,'Données projet'!$E$11+1,1))</f>
        <v>273.84349636755343</v>
      </c>
      <c r="BJ72" s="59">
        <f t="shared" si="92"/>
        <v>268.10688874775451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46.050211937493508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46.050211937493508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401</v>
      </c>
      <c r="BZ72" s="13">
        <f>BY72*VLOOKUP('Données projet'!$B$12,Paramètres!$A$1:$I$89,3,0)*VLOOKUP('Données projet'!$B$12,Paramètres!$A$1:$I$89,5,0)</f>
        <v>250.22399999999999</v>
      </c>
      <c r="CA72" s="13">
        <f t="shared" si="93"/>
        <v>60.633904580527918</v>
      </c>
      <c r="CB72" s="20">
        <f t="shared" si="64"/>
        <v>541.41085047775289</v>
      </c>
      <c r="CC72" s="59">
        <f t="shared" si="65"/>
        <v>834.74418381108626</v>
      </c>
      <c r="CD72" s="59">
        <f ca="1">AVERAGE(OFFSET($CC$3,0,0,'Données projet'!$E$12+1,1))-AVERAGE(OFFSET($H$3,0,0,'Données projet'!$E$12+1,1))</f>
        <v>269.77739619445515</v>
      </c>
      <c r="CE72" s="59">
        <f t="shared" si="94"/>
        <v>347.56964743629885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64.076429204400256</v>
      </c>
      <c r="CL72" s="21">
        <f>EXP(-LN(2)/25)*CL71+(1-EXP(-LN(2)/25))/(LN(2)/25)*Calculateur!CG72*Calculateur!CI72*VLOOKUP('Données projet'!$B$12,Paramètres!$A$1:$I$89,3,0)*0.475*44/12</f>
        <v>31.114463656070988</v>
      </c>
      <c r="CM72" s="21">
        <f>EXP(-LN(2)/2)*CM71+(1-EXP(-LN(2)/2))/(LN(2)/2)*CG72*CJ72*VLOOKUP('Données projet'!$B$12,Paramètres!$A$1:$I$89,3,0)*0.475*44/12</f>
        <v>3.349945623233861E-8</v>
      </c>
      <c r="CN72" s="22">
        <f t="shared" si="66"/>
        <v>95.190892893970712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832</v>
      </c>
      <c r="L73" s="12">
        <f>VLOOKUP(A73,'Données projet'!$A$35:$I$55,9,0)</f>
        <v>21.6</v>
      </c>
      <c r="M73" s="12">
        <f t="array" ref="M73">INDEX(L:L,MIN(IF(ISNUMBER(L73:L269),ROW(L73:L269),"")))</f>
        <v>21.6</v>
      </c>
      <c r="N73" s="13">
        <f>IF('Données projet'!$A$36&gt;35,N72+M73-V72,IF(A73&lt;'Données projet'!$A$36,$K$205^A73,IF(A73='Données projet'!$A$36,'Données projet'!$B$36,N72+M73-V72)))</f>
        <v>832.00000000000011</v>
      </c>
      <c r="O73" s="13">
        <f>N73*VLOOKUP('Données projet'!$B$9,Paramètres!$A$1:$I$89,3,0)*VLOOKUP('Données projet'!$B$9,Paramètres!$A$1:$I$89,5,0)</f>
        <v>411.00800000000004</v>
      </c>
      <c r="P73" s="13">
        <f t="shared" si="87"/>
        <v>94.004829930397378</v>
      </c>
      <c r="Q73" s="20">
        <f t="shared" si="54"/>
        <v>879.56401212877552</v>
      </c>
      <c r="R73" s="59">
        <f t="shared" si="55"/>
        <v>1172.8973454621089</v>
      </c>
      <c r="S73" s="59">
        <f ca="1">AVERAGE(OFFSET($R$3,0,0,'Données projet'!$E$9+1,1))-AVERAGE(OFFSET($H$3,0,0,'Données projet'!$E$9+1,1))</f>
        <v>434.08297999735811</v>
      </c>
      <c r="T73" s="59">
        <f t="shared" si="88"/>
        <v>371.04090283546122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60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145.71813207691864</v>
      </c>
      <c r="AA73" s="21">
        <f>EXP(-LN(2)/25)*AA72+(1-EXP(-LN(2)/25))/(LN(2)/25)*Calculateur!V73*Calculateur!X73*VLOOKUP('Données projet'!$B$9,Paramètres!$A$1:$I$89,3,0)*0.475*44/12</f>
        <v>17.057556600444098</v>
      </c>
      <c r="AB73" s="21">
        <f>EXP(-LN(2)/2)*AB72+(1-EXP(-LN(2)/2))/(LN(2)/2)*V73*Y73*VLOOKUP('Données projet'!$B$9,Paramètres!$A$1:$I$89,3,0)*0.475*44/12</f>
        <v>7.167720336931107E-7</v>
      </c>
      <c r="AC73" s="22">
        <f t="shared" si="57"/>
        <v>162.77568939413476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331.52724290297675</v>
      </c>
      <c r="AO73" s="59">
        <f t="shared" si="90"/>
        <v>322.79102610158054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60.538795837442109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60.538795837442109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245.51279999999977</v>
      </c>
      <c r="BF73" s="13">
        <f t="shared" si="91"/>
        <v>59.624063998553098</v>
      </c>
      <c r="BG73" s="20">
        <f t="shared" si="61"/>
        <v>531.44670479747958</v>
      </c>
      <c r="BH73" s="59">
        <f t="shared" si="62"/>
        <v>824.78003813081295</v>
      </c>
      <c r="BI73" s="59">
        <f ca="1">AVERAGE(OFFSET($BH$3,0,0,'Données projet'!$E$11+1,1))-AVERAGE(OFFSET($H$3,0,0,'Données projet'!$E$11+1,1))</f>
        <v>273.84349636755343</v>
      </c>
      <c r="BJ73" s="59">
        <f t="shared" si="92"/>
        <v>268.10688874775451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51.042514137451185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51.042514137451185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401</v>
      </c>
      <c r="BZ73" s="13">
        <f>BY73*VLOOKUP('Données projet'!$B$12,Paramètres!$A$1:$I$89,3,0)*VLOOKUP('Données projet'!$B$12,Paramètres!$A$1:$I$89,5,0)</f>
        <v>250.22399999999999</v>
      </c>
      <c r="CA73" s="13">
        <f t="shared" si="93"/>
        <v>60.633904580527918</v>
      </c>
      <c r="CB73" s="20">
        <f t="shared" si="64"/>
        <v>541.41085047775289</v>
      </c>
      <c r="CC73" s="59">
        <f t="shared" si="65"/>
        <v>834.74418381108626</v>
      </c>
      <c r="CD73" s="59">
        <f ca="1">AVERAGE(OFFSET($CC$3,0,0,'Données projet'!$E$12+1,1))-AVERAGE(OFFSET($H$3,0,0,'Données projet'!$E$12+1,1))</f>
        <v>269.77739619445515</v>
      </c>
      <c r="CE73" s="59">
        <f t="shared" si="94"/>
        <v>347.56964743629885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62.819929510464682</v>
      </c>
      <c r="CL73" s="21">
        <f>EXP(-LN(2)/25)*CL72+(1-EXP(-LN(2)/25))/(LN(2)/25)*Calculateur!CG73*Calculateur!CI73*VLOOKUP('Données projet'!$B$12,Paramètres!$A$1:$I$89,3,0)*0.475*44/12</f>
        <v>30.263637011157197</v>
      </c>
      <c r="CM73" s="21">
        <f>EXP(-LN(2)/2)*CM72+(1-EXP(-LN(2)/2))/(LN(2)/2)*CG73*CJ73*VLOOKUP('Données projet'!$B$12,Paramètres!$A$1:$I$89,3,0)*0.475*44/12</f>
        <v>2.3687692667948584E-8</v>
      </c>
      <c r="CN73" s="22">
        <f t="shared" si="66"/>
        <v>93.083566545309566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20.399999999999999</v>
      </c>
      <c r="N74" s="13">
        <f>IF('Données projet'!$A$36&gt;35,N73+M74-V73,IF(A74&lt;'Données projet'!$A$36,$K$205^A74,IF(A74='Données projet'!$A$36,'Données projet'!$B$36,N73+M74-V73)))</f>
        <v>792.40000000000009</v>
      </c>
      <c r="O74" s="13">
        <f>N74*VLOOKUP('Données projet'!$B$9,Paramètres!$A$1:$I$89,3,0)*VLOOKUP('Données projet'!$B$9,Paramètres!$A$1:$I$89,5,0)</f>
        <v>391.44560000000007</v>
      </c>
      <c r="P74" s="13">
        <f t="shared" si="87"/>
        <v>90.040215935892022</v>
      </c>
      <c r="Q74" s="20">
        <f t="shared" si="54"/>
        <v>838.58779608834539</v>
      </c>
      <c r="R74" s="59">
        <f t="shared" si="55"/>
        <v>1131.9211294216786</v>
      </c>
      <c r="S74" s="59">
        <f ca="1">AVERAGE(OFFSET($R$3,0,0,'Données projet'!$E$9+1,1))-AVERAGE(OFFSET($H$3,0,0,'Données projet'!$E$9+1,1))</f>
        <v>434.08297999735811</v>
      </c>
      <c r="T74" s="59">
        <f t="shared" si="88"/>
        <v>371.04090283546122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142.86068838617473</v>
      </c>
      <c r="AA74" s="21">
        <f>EXP(-LN(2)/25)*AA73+(1-EXP(-LN(2)/25))/(LN(2)/25)*Calculateur!V74*Calculateur!X74*VLOOKUP('Données projet'!$B$9,Paramètres!$A$1:$I$89,3,0)*0.475*44/12</f>
        <v>16.591116818187039</v>
      </c>
      <c r="AB74" s="21">
        <f>EXP(-LN(2)/2)*AB73+(1-EXP(-LN(2)/2))/(LN(2)/2)*V74*Y74*VLOOKUP('Données projet'!$B$9,Paramètres!$A$1:$I$89,3,0)*0.475*44/12</f>
        <v>5.0683436558927108E-7</v>
      </c>
      <c r="AC74" s="22">
        <f t="shared" si="57"/>
        <v>159.45180571119613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331.52724290297675</v>
      </c>
      <c r="AO74" s="59">
        <f t="shared" si="90"/>
        <v>322.79102610158054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59.351666976089284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59.351666976089284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238.67063999999979</v>
      </c>
      <c r="BF74" s="13">
        <f t="shared" si="91"/>
        <v>58.153419808111728</v>
      </c>
      <c r="BG74" s="20">
        <f t="shared" si="61"/>
        <v>516.96857083246095</v>
      </c>
      <c r="BH74" s="59">
        <f t="shared" si="62"/>
        <v>810.30190416579421</v>
      </c>
      <c r="BI74" s="59">
        <f ca="1">AVERAGE(OFFSET($BH$3,0,0,'Données projet'!$E$11+1,1))-AVERAGE(OFFSET($H$3,0,0,'Données projet'!$E$11+1,1))</f>
        <v>273.84349636755343</v>
      </c>
      <c r="BJ74" s="59">
        <f t="shared" si="92"/>
        <v>268.10688874775451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50.041601568075279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50.041601568075279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401</v>
      </c>
      <c r="BZ74" s="13">
        <f>BY74*VLOOKUP('Données projet'!$B$12,Paramètres!$A$1:$I$89,3,0)*VLOOKUP('Données projet'!$B$12,Paramètres!$A$1:$I$89,5,0)</f>
        <v>250.22399999999999</v>
      </c>
      <c r="CA74" s="13">
        <f t="shared" si="93"/>
        <v>60.633904580527918</v>
      </c>
      <c r="CB74" s="20">
        <f t="shared" si="64"/>
        <v>541.41085047775289</v>
      </c>
      <c r="CC74" s="59">
        <f t="shared" si="65"/>
        <v>834.74418381108626</v>
      </c>
      <c r="CD74" s="59">
        <f ca="1">AVERAGE(OFFSET($CC$3,0,0,'Données projet'!$E$12+1,1))-AVERAGE(OFFSET($H$3,0,0,'Données projet'!$E$12+1,1))</f>
        <v>269.77739619445515</v>
      </c>
      <c r="CE74" s="59">
        <f t="shared" si="94"/>
        <v>347.56964743629885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61.588069009138046</v>
      </c>
      <c r="CL74" s="21">
        <f>EXP(-LN(2)/25)*CL73+(1-EXP(-LN(2)/25))/(LN(2)/25)*Calculateur!CG74*Calculateur!CI74*VLOOKUP('Données projet'!$B$12,Paramètres!$A$1:$I$89,3,0)*0.475*44/12</f>
        <v>29.436076265591602</v>
      </c>
      <c r="CM74" s="21">
        <f>EXP(-LN(2)/2)*CM73+(1-EXP(-LN(2)/2))/(LN(2)/2)*CG74*CJ74*VLOOKUP('Données projet'!$B$12,Paramètres!$A$1:$I$89,3,0)*0.475*44/12</f>
        <v>1.6749728116169305E-8</v>
      </c>
      <c r="CN74" s="22">
        <f t="shared" si="66"/>
        <v>91.024145291479371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20.399999999999999</v>
      </c>
      <c r="N75" s="13">
        <f>IF('Données projet'!$A$36&gt;35,N74+M75-V74,IF(A75&lt;'Données projet'!$A$36,$K$205^A75,IF(A75='Données projet'!$A$36,'Données projet'!$B$36,N74+M75-V74)))</f>
        <v>812.80000000000007</v>
      </c>
      <c r="O75" s="13">
        <f>N75*VLOOKUP('Données projet'!$B$9,Paramètres!$A$1:$I$89,3,0)*VLOOKUP('Données projet'!$B$9,Paramètres!$A$1:$I$89,5,0)</f>
        <v>401.52320000000003</v>
      </c>
      <c r="P75" s="13">
        <f t="shared" si="87"/>
        <v>92.085402303018512</v>
      </c>
      <c r="Q75" s="20">
        <f t="shared" si="54"/>
        <v>859.70164901109058</v>
      </c>
      <c r="R75" s="59">
        <f t="shared" si="55"/>
        <v>1153.034982344424</v>
      </c>
      <c r="S75" s="59">
        <f ca="1">AVERAGE(OFFSET($R$3,0,0,'Données projet'!$E$9+1,1))-AVERAGE(OFFSET($H$3,0,0,'Données projet'!$E$9+1,1))</f>
        <v>434.08297999735811</v>
      </c>
      <c r="T75" s="59">
        <f t="shared" si="88"/>
        <v>371.04090283546122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140.05927742333776</v>
      </c>
      <c r="AA75" s="21">
        <f>EXP(-LN(2)/25)*AA74+(1-EXP(-LN(2)/25))/(LN(2)/25)*Calculateur!V75*Calculateur!X75*VLOOKUP('Données projet'!$B$9,Paramètres!$A$1:$I$89,3,0)*0.475*44/12</f>
        <v>16.137431856304801</v>
      </c>
      <c r="AB75" s="21">
        <f>EXP(-LN(2)/2)*AB74+(1-EXP(-LN(2)/2))/(LN(2)/2)*V75*Y75*VLOOKUP('Données projet'!$B$9,Paramètres!$A$1:$I$89,3,0)*0.475*44/12</f>
        <v>3.5838601684655535E-7</v>
      </c>
      <c r="AC75" s="22">
        <f t="shared" si="57"/>
        <v>156.19670963802858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331.52724290297675</v>
      </c>
      <c r="AO75" s="59">
        <f t="shared" si="90"/>
        <v>322.79102610158054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58.187816987630484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58.187816987630484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241.89047999999977</v>
      </c>
      <c r="BF75" s="13">
        <f t="shared" si="91"/>
        <v>58.846090538615705</v>
      </c>
      <c r="BG75" s="20">
        <f t="shared" si="61"/>
        <v>523.78286035475526</v>
      </c>
      <c r="BH75" s="59">
        <f t="shared" si="62"/>
        <v>817.11619368808852</v>
      </c>
      <c r="BI75" s="59">
        <f ca="1">AVERAGE(OFFSET($BH$3,0,0,'Données projet'!$E$11+1,1))-AVERAGE(OFFSET($H$3,0,0,'Données projet'!$E$11+1,1))</f>
        <v>273.84349636755343</v>
      </c>
      <c r="BJ75" s="59">
        <f t="shared" si="92"/>
        <v>268.10688874775451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49.060316283688444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49.060316283688444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401</v>
      </c>
      <c r="BZ75" s="13">
        <f>BY75*VLOOKUP('Données projet'!$B$12,Paramètres!$A$1:$I$89,3,0)*VLOOKUP('Données projet'!$B$12,Paramètres!$A$1:$I$89,5,0)</f>
        <v>250.22399999999999</v>
      </c>
      <c r="CA75" s="13">
        <f t="shared" si="93"/>
        <v>60.633904580527918</v>
      </c>
      <c r="CB75" s="20">
        <f t="shared" si="64"/>
        <v>541.41085047775289</v>
      </c>
      <c r="CC75" s="59">
        <f t="shared" si="65"/>
        <v>834.74418381108626</v>
      </c>
      <c r="CD75" s="59">
        <f ca="1">AVERAGE(OFFSET($CC$3,0,0,'Données projet'!$E$12+1,1))-AVERAGE(OFFSET($H$3,0,0,'Données projet'!$E$12+1,1))</f>
        <v>269.77739619445515</v>
      </c>
      <c r="CE75" s="59">
        <f t="shared" si="94"/>
        <v>347.56964743629885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60.380364540881708</v>
      </c>
      <c r="CL75" s="21">
        <f>EXP(-LN(2)/25)*CL74+(1-EXP(-LN(2)/25))/(LN(2)/25)*Calculateur!CG75*Calculateur!CI75*VLOOKUP('Données projet'!$B$12,Paramètres!$A$1:$I$89,3,0)*0.475*44/12</f>
        <v>28.631145212133024</v>
      </c>
      <c r="CM75" s="21">
        <f>EXP(-LN(2)/2)*CM74+(1-EXP(-LN(2)/2))/(LN(2)/2)*CG75*CJ75*VLOOKUP('Données projet'!$B$12,Paramètres!$A$1:$I$89,3,0)*0.475*44/12</f>
        <v>1.1843846333974292E-8</v>
      </c>
      <c r="CN75" s="22">
        <f t="shared" si="66"/>
        <v>89.011509764858587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20.399999999999999</v>
      </c>
      <c r="N76" s="13">
        <f>IF('Données projet'!$A$36&gt;35,N75+M76-V75,IF(A76&lt;'Données projet'!$A$36,$K$205^A76,IF(A76='Données projet'!$A$36,'Données projet'!$B$36,N75+M76-V75)))</f>
        <v>833.2</v>
      </c>
      <c r="O76" s="13">
        <f>N76*VLOOKUP('Données projet'!$B$9,Paramètres!$A$1:$I$89,3,0)*VLOOKUP('Données projet'!$B$9,Paramètres!$A$1:$I$89,5,0)</f>
        <v>411.60080000000005</v>
      </c>
      <c r="P76" s="13">
        <f t="shared" si="87"/>
        <v>94.124621803946411</v>
      </c>
      <c r="Q76" s="20">
        <f t="shared" si="54"/>
        <v>880.8051096418734</v>
      </c>
      <c r="R76" s="59">
        <f t="shared" si="55"/>
        <v>1174.1384429752068</v>
      </c>
      <c r="S76" s="59">
        <f ca="1">AVERAGE(OFFSET($R$3,0,0,'Données projet'!$E$9+1,1))-AVERAGE(OFFSET($H$3,0,0,'Données projet'!$E$9+1,1))</f>
        <v>434.08297999735811</v>
      </c>
      <c r="T76" s="59">
        <f t="shared" si="88"/>
        <v>371.04090283546122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137.31280042079004</v>
      </c>
      <c r="AA76" s="21">
        <f>EXP(-LN(2)/25)*AA75+(1-EXP(-LN(2)/25))/(LN(2)/25)*Calculateur!V76*Calculateur!X76*VLOOKUP('Données projet'!$B$9,Paramètres!$A$1:$I$89,3,0)*0.475*44/12</f>
        <v>15.696152933563488</v>
      </c>
      <c r="AB76" s="21">
        <f>EXP(-LN(2)/2)*AB75+(1-EXP(-LN(2)/2))/(LN(2)/2)*V76*Y76*VLOOKUP('Données projet'!$B$9,Paramètres!$A$1:$I$89,3,0)*0.475*44/12</f>
        <v>2.5341718279463554E-7</v>
      </c>
      <c r="AC76" s="22">
        <f t="shared" si="57"/>
        <v>153.00895360777071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331.52724290297675</v>
      </c>
      <c r="AO76" s="59">
        <f t="shared" si="90"/>
        <v>322.79102610158054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57.04678938756696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57.04678938756696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245.1103199999998</v>
      </c>
      <c r="BF76" s="13">
        <f t="shared" si="91"/>
        <v>59.537688830400349</v>
      </c>
      <c r="BG76" s="20">
        <f t="shared" si="61"/>
        <v>530.5952820462802</v>
      </c>
      <c r="BH76" s="59">
        <f t="shared" si="62"/>
        <v>823.92861537961357</v>
      </c>
      <c r="BI76" s="59">
        <f ca="1">AVERAGE(OFFSET($BH$3,0,0,'Données projet'!$E$11+1,1))-AVERAGE(OFFSET($H$3,0,0,'Données projet'!$E$11+1,1))</f>
        <v>273.84349636755343</v>
      </c>
      <c r="BJ76" s="59">
        <f t="shared" si="92"/>
        <v>268.10688874775451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48.098273405203514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48.098273405203514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401</v>
      </c>
      <c r="BZ76" s="13">
        <f>BY76*VLOOKUP('Données projet'!$B$12,Paramètres!$A$1:$I$89,3,0)*VLOOKUP('Données projet'!$B$12,Paramètres!$A$1:$I$89,5,0)</f>
        <v>250.22399999999999</v>
      </c>
      <c r="CA76" s="13">
        <f t="shared" si="93"/>
        <v>60.633904580527918</v>
      </c>
      <c r="CB76" s="20">
        <f t="shared" si="64"/>
        <v>541.41085047775289</v>
      </c>
      <c r="CC76" s="59">
        <f t="shared" si="65"/>
        <v>834.74418381108626</v>
      </c>
      <c r="CD76" s="59">
        <f ca="1">AVERAGE(OFFSET($CC$3,0,0,'Données projet'!$E$12+1,1))-AVERAGE(OFFSET($H$3,0,0,'Données projet'!$E$12+1,1))</f>
        <v>269.77739619445515</v>
      </c>
      <c r="CE76" s="59">
        <f t="shared" si="94"/>
        <v>347.56964743629885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59.196342420620887</v>
      </c>
      <c r="CL76" s="21">
        <f>EXP(-LN(2)/25)*CL75+(1-EXP(-LN(2)/25))/(LN(2)/25)*Calculateur!CG76*Calculateur!CI76*VLOOKUP('Données projet'!$B$12,Paramètres!$A$1:$I$89,3,0)*0.475*44/12</f>
        <v>27.848225040660758</v>
      </c>
      <c r="CM76" s="21">
        <f>EXP(-LN(2)/2)*CM75+(1-EXP(-LN(2)/2))/(LN(2)/2)*CG76*CJ76*VLOOKUP('Données projet'!$B$12,Paramètres!$A$1:$I$89,3,0)*0.475*44/12</f>
        <v>8.3748640580846526E-9</v>
      </c>
      <c r="CN76" s="22">
        <f t="shared" si="66"/>
        <v>87.044567469656513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20.399999999999999</v>
      </c>
      <c r="N77" s="13">
        <f>IF('Données projet'!$A$36&gt;35,N76+M77-V76,IF(A77&lt;'Données projet'!$A$36,$K$205^A77,IF(A77='Données projet'!$A$36,'Données projet'!$B$36,N76+M77-V76)))</f>
        <v>853.6</v>
      </c>
      <c r="O77" s="13">
        <f>N77*VLOOKUP('Données projet'!$B$9,Paramètres!$A$1:$I$89,3,0)*VLOOKUP('Données projet'!$B$9,Paramètres!$A$1:$I$89,5,0)</f>
        <v>421.67840000000001</v>
      </c>
      <c r="P77" s="13">
        <f t="shared" si="87"/>
        <v>96.158037336803631</v>
      </c>
      <c r="Q77" s="20">
        <f t="shared" si="54"/>
        <v>901.89846169493296</v>
      </c>
      <c r="R77" s="59">
        <f t="shared" si="55"/>
        <v>1195.2317950282663</v>
      </c>
      <c r="S77" s="59">
        <f ca="1">AVERAGE(OFFSET($R$3,0,0,'Données projet'!$E$9+1,1))-AVERAGE(OFFSET($H$3,0,0,'Données projet'!$E$9+1,1))</f>
        <v>434.08297999735811</v>
      </c>
      <c r="T77" s="59">
        <f t="shared" si="88"/>
        <v>371.04090283546122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134.62018015707673</v>
      </c>
      <c r="AA77" s="21">
        <f>EXP(-LN(2)/25)*AA76+(1-EXP(-LN(2)/25))/(LN(2)/25)*Calculateur!V77*Calculateur!X77*VLOOKUP('Données projet'!$B$9,Paramètres!$A$1:$I$89,3,0)*0.475*44/12</f>
        <v>15.266940806170386</v>
      </c>
      <c r="AB77" s="21">
        <f>EXP(-LN(2)/2)*AB76+(1-EXP(-LN(2)/2))/(LN(2)/2)*V77*Y77*VLOOKUP('Données projet'!$B$9,Paramètres!$A$1:$I$89,3,0)*0.475*44/12</f>
        <v>1.7919300842327767E-7</v>
      </c>
      <c r="AC77" s="22">
        <f t="shared" si="57"/>
        <v>149.88712114244012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331.52724290297675</v>
      </c>
      <c r="AO77" s="59">
        <f t="shared" si="90"/>
        <v>322.79102610158054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55.928136642782569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55.928136642782569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248.33015999999981</v>
      </c>
      <c r="BF77" s="13">
        <f t="shared" si="91"/>
        <v>60.228230400049313</v>
      </c>
      <c r="BG77" s="20">
        <f t="shared" si="61"/>
        <v>537.40586328008555</v>
      </c>
      <c r="BH77" s="59">
        <f t="shared" si="62"/>
        <v>830.73919661341893</v>
      </c>
      <c r="BI77" s="59">
        <f ca="1">AVERAGE(OFFSET($BH$3,0,0,'Données projet'!$E$11+1,1))-AVERAGE(OFFSET($H$3,0,0,'Données projet'!$E$11+1,1))</f>
        <v>273.84349636755343</v>
      </c>
      <c r="BJ77" s="59">
        <f t="shared" si="92"/>
        <v>268.10688874775451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47.155095600777457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47.155095600777457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401</v>
      </c>
      <c r="BZ77" s="13">
        <f>BY77*VLOOKUP('Données projet'!$B$12,Paramètres!$A$1:$I$89,3,0)*VLOOKUP('Données projet'!$B$12,Paramètres!$A$1:$I$89,5,0)</f>
        <v>250.22399999999999</v>
      </c>
      <c r="CA77" s="13">
        <f t="shared" si="93"/>
        <v>60.633904580527918</v>
      </c>
      <c r="CB77" s="20">
        <f t="shared" si="64"/>
        <v>541.41085047775289</v>
      </c>
      <c r="CC77" s="59">
        <f t="shared" si="65"/>
        <v>834.74418381108626</v>
      </c>
      <c r="CD77" s="59">
        <f ca="1">AVERAGE(OFFSET($CC$3,0,0,'Données projet'!$E$12+1,1))-AVERAGE(OFFSET($H$3,0,0,'Données projet'!$E$12+1,1))</f>
        <v>269.77739619445515</v>
      </c>
      <c r="CE77" s="59">
        <f t="shared" si="94"/>
        <v>347.56964743629885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58.035538251956197</v>
      </c>
      <c r="CL77" s="21">
        <f>EXP(-LN(2)/25)*CL76+(1-EXP(-LN(2)/25))/(LN(2)/25)*Calculateur!CG77*Calculateur!CI77*VLOOKUP('Données projet'!$B$12,Paramètres!$A$1:$I$89,3,0)*0.475*44/12</f>
        <v>27.086713862449383</v>
      </c>
      <c r="CM77" s="21">
        <f>EXP(-LN(2)/2)*CM76+(1-EXP(-LN(2)/2))/(LN(2)/2)*CG77*CJ77*VLOOKUP('Données projet'!$B$12,Paramètres!$A$1:$I$89,3,0)*0.475*44/12</f>
        <v>5.921923166987146E-9</v>
      </c>
      <c r="CN77" s="22">
        <f t="shared" si="66"/>
        <v>85.122252120327502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874</v>
      </c>
      <c r="L78" s="12">
        <f>VLOOKUP(A78,'Données projet'!$A$35:$I$55,9,0)</f>
        <v>20.399999999999999</v>
      </c>
      <c r="M78" s="12">
        <f t="array" ref="M78">INDEX(L:L,MIN(IF(ISNUMBER(L78:L274),ROW(L78:L274),"")))</f>
        <v>20.399999999999999</v>
      </c>
      <c r="N78" s="13">
        <f>IF('Données projet'!$A$36&gt;35,N77+M78-V77,IF(A78&lt;'Données projet'!$A$36,$K$205^A78,IF(A78='Données projet'!$A$36,'Données projet'!$B$36,N77+M78-V77)))</f>
        <v>874</v>
      </c>
      <c r="O78" s="13">
        <f>N78*VLOOKUP('Données projet'!$B$9,Paramètres!$A$1:$I$89,3,0)*VLOOKUP('Données projet'!$B$9,Paramètres!$A$1:$I$89,5,0)</f>
        <v>431.75600000000003</v>
      </c>
      <c r="P78" s="13">
        <f t="shared" si="87"/>
        <v>98.185803569521966</v>
      </c>
      <c r="Q78" s="20">
        <f t="shared" si="54"/>
        <v>922.98197455025081</v>
      </c>
      <c r="R78" s="59">
        <f t="shared" si="55"/>
        <v>1216.3153078835842</v>
      </c>
      <c r="S78" s="59">
        <f ca="1">AVERAGE(OFFSET($R$3,0,0,'Données projet'!$E$9+1,1))-AVERAGE(OFFSET($H$3,0,0,'Données projet'!$E$9+1,1))</f>
        <v>434.08297999735811</v>
      </c>
      <c r="T78" s="59">
        <f t="shared" si="88"/>
        <v>371.04090283546122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58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152.88515916188817</v>
      </c>
      <c r="AA78" s="21">
        <f>EXP(-LN(2)/25)*AA77+(1-EXP(-LN(2)/25))/(LN(2)/25)*Calculateur!V78*Calculateur!X78*VLOOKUP('Données projet'!$B$9,Paramètres!$A$1:$I$89,3,0)*0.475*44/12</f>
        <v>14.849465506972132</v>
      </c>
      <c r="AB78" s="21">
        <f>EXP(-LN(2)/2)*AB77+(1-EXP(-LN(2)/2))/(LN(2)/2)*V78*Y78*VLOOKUP('Données projet'!$B$9,Paramètres!$A$1:$I$89,3,0)*0.475*44/12</f>
        <v>1.2670859139731777E-7</v>
      </c>
      <c r="AC78" s="22">
        <f t="shared" si="57"/>
        <v>167.73462479556889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331.52724290297675</v>
      </c>
      <c r="AO78" s="59">
        <f t="shared" si="90"/>
        <v>322.79102610158054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61.357400771969196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61.357400771969196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251.54999999999984</v>
      </c>
      <c r="BF78" s="13">
        <f t="shared" si="91"/>
        <v>60.917730533154099</v>
      </c>
      <c r="BG78" s="20">
        <f t="shared" si="61"/>
        <v>544.21463067857633</v>
      </c>
      <c r="BH78" s="59">
        <f t="shared" si="62"/>
        <v>837.5479640119097</v>
      </c>
      <c r="BI78" s="59">
        <f ca="1">AVERAGE(OFFSET($BH$3,0,0,'Données projet'!$E$11+1,1))-AVERAGE(OFFSET($H$3,0,0,'Données projet'!$E$11+1,1))</f>
        <v>273.84349636755343</v>
      </c>
      <c r="BJ78" s="59">
        <f t="shared" si="92"/>
        <v>268.10688874775451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51.732710454797555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51.732710454797555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401</v>
      </c>
      <c r="BZ78" s="13">
        <f>BY78*VLOOKUP('Données projet'!$B$12,Paramètres!$A$1:$I$89,3,0)*VLOOKUP('Données projet'!$B$12,Paramètres!$A$1:$I$89,5,0)</f>
        <v>250.22399999999999</v>
      </c>
      <c r="CA78" s="13">
        <f t="shared" si="93"/>
        <v>60.633904580527918</v>
      </c>
      <c r="CB78" s="20">
        <f t="shared" si="64"/>
        <v>541.41085047775289</v>
      </c>
      <c r="CC78" s="59">
        <f t="shared" si="65"/>
        <v>834.74418381108626</v>
      </c>
      <c r="CD78" s="59">
        <f ca="1">AVERAGE(OFFSET($CC$3,0,0,'Données projet'!$E$12+1,1))-AVERAGE(OFFSET($H$3,0,0,'Données projet'!$E$12+1,1))</f>
        <v>269.77739619445515</v>
      </c>
      <c r="CE78" s="59">
        <f t="shared" si="94"/>
        <v>347.56964743629885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56.897496745018387</v>
      </c>
      <c r="CL78" s="21">
        <f>EXP(-LN(2)/25)*CL77+(1-EXP(-LN(2)/25))/(LN(2)/25)*Calculateur!CG78*Calculateur!CI78*VLOOKUP('Données projet'!$B$12,Paramètres!$A$1:$I$89,3,0)*0.475*44/12</f>
        <v>26.346026247452329</v>
      </c>
      <c r="CM78" s="21">
        <f>EXP(-LN(2)/2)*CM77+(1-EXP(-LN(2)/2))/(LN(2)/2)*CG78*CJ78*VLOOKUP('Données projet'!$B$12,Paramètres!$A$1:$I$89,3,0)*0.475*44/12</f>
        <v>4.1874320290423263E-9</v>
      </c>
      <c r="CN78" s="22">
        <f t="shared" si="66"/>
        <v>83.243522996658143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18.600000000000001</v>
      </c>
      <c r="N79" s="13">
        <f>IF('Données projet'!$A$36&gt;35,N78+M79-V78,IF(A79&lt;'Données projet'!$A$36,$K$205^A79,IF(A79='Données projet'!$A$36,'Données projet'!$B$36,N78+M79-V78)))</f>
        <v>834.6</v>
      </c>
      <c r="O79" s="13">
        <f>N79*VLOOKUP('Données projet'!$B$9,Paramètres!$A$1:$I$89,3,0)*VLOOKUP('Données projet'!$B$9,Paramètres!$A$1:$I$89,5,0)</f>
        <v>412.29240000000004</v>
      </c>
      <c r="P79" s="13">
        <f t="shared" si="87"/>
        <v>94.264353612406822</v>
      </c>
      <c r="Q79" s="20">
        <f t="shared" si="54"/>
        <v>882.25301254160865</v>
      </c>
      <c r="R79" s="59">
        <f t="shared" si="55"/>
        <v>1175.586345874942</v>
      </c>
      <c r="S79" s="59">
        <f ca="1">AVERAGE(OFFSET($R$3,0,0,'Données projet'!$E$9+1,1))-AVERAGE(OFFSET($H$3,0,0,'Données projet'!$E$9+1,1))</f>
        <v>434.08297999735811</v>
      </c>
      <c r="T79" s="59">
        <f t="shared" si="88"/>
        <v>371.04090283546122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149.88717444146289</v>
      </c>
      <c r="AA79" s="21">
        <f>EXP(-LN(2)/25)*AA78+(1-EXP(-LN(2)/25))/(LN(2)/25)*Calculateur!V79*Calculateur!X79*VLOOKUP('Données projet'!$B$9,Paramètres!$A$1:$I$89,3,0)*0.475*44/12</f>
        <v>14.443406091784528</v>
      </c>
      <c r="AB79" s="21">
        <f>EXP(-LN(2)/2)*AB78+(1-EXP(-LN(2)/2))/(LN(2)/2)*V79*Y79*VLOOKUP('Données projet'!$B$9,Paramètres!$A$1:$I$89,3,0)*0.475*44/12</f>
        <v>8.9596504211638837E-8</v>
      </c>
      <c r="AC79" s="22">
        <f t="shared" si="57"/>
        <v>164.33058062284394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331.52724290297675</v>
      </c>
      <c r="AO79" s="59">
        <f t="shared" si="90"/>
        <v>322.79102610158054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60.154219567150008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60.154219567150008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244.84199999999981</v>
      </c>
      <c r="BF79" s="13">
        <f t="shared" si="91"/>
        <v>59.480096214206256</v>
      </c>
      <c r="BG79" s="20">
        <f t="shared" si="61"/>
        <v>530.02765090640889</v>
      </c>
      <c r="BH79" s="59">
        <f t="shared" si="62"/>
        <v>823.36098423974227</v>
      </c>
      <c r="BI79" s="59">
        <f ca="1">AVERAGE(OFFSET($BH$3,0,0,'Données projet'!$E$11+1,1))-AVERAGE(OFFSET($H$3,0,0,'Données projet'!$E$11+1,1))</f>
        <v>273.84349636755343</v>
      </c>
      <c r="BJ79" s="59">
        <f t="shared" si="92"/>
        <v>268.10688874775451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50.71826355661667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50.71826355661667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401</v>
      </c>
      <c r="BZ79" s="13">
        <f>BY79*VLOOKUP('Données projet'!$B$12,Paramètres!$A$1:$I$89,3,0)*VLOOKUP('Données projet'!$B$12,Paramètres!$A$1:$I$89,5,0)</f>
        <v>250.22399999999999</v>
      </c>
      <c r="CA79" s="13">
        <f t="shared" si="93"/>
        <v>60.633904580527918</v>
      </c>
      <c r="CB79" s="20">
        <f t="shared" si="64"/>
        <v>541.41085047775289</v>
      </c>
      <c r="CC79" s="59">
        <f t="shared" si="65"/>
        <v>834.74418381108626</v>
      </c>
      <c r="CD79" s="59">
        <f ca="1">AVERAGE(OFFSET($CC$3,0,0,'Données projet'!$E$12+1,1))-AVERAGE(OFFSET($H$3,0,0,'Données projet'!$E$12+1,1))</f>
        <v>269.77739619445515</v>
      </c>
      <c r="CE79" s="59">
        <f t="shared" si="94"/>
        <v>347.56964743629885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55.781771537894848</v>
      </c>
      <c r="CL79" s="21">
        <f>EXP(-LN(2)/25)*CL78+(1-EXP(-LN(2)/25))/(LN(2)/25)*Calculateur!CG79*Calculateur!CI79*VLOOKUP('Données projet'!$B$12,Paramètres!$A$1:$I$89,3,0)*0.475*44/12</f>
        <v>25.625592774238438</v>
      </c>
      <c r="CM79" s="21">
        <f>EXP(-LN(2)/2)*CM78+(1-EXP(-LN(2)/2))/(LN(2)/2)*CG79*CJ79*VLOOKUP('Données projet'!$B$12,Paramètres!$A$1:$I$89,3,0)*0.475*44/12</f>
        <v>2.960961583493573E-9</v>
      </c>
      <c r="CN79" s="22">
        <f t="shared" si="66"/>
        <v>81.407364315094242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18.600000000000001</v>
      </c>
      <c r="N80" s="13">
        <f>IF('Données projet'!$A$36&gt;35,N79+M80-V79,IF(A80&lt;'Données projet'!$A$36,$K$205^A80,IF(A80='Données projet'!$A$36,'Données projet'!$B$36,N79+M80-V79)))</f>
        <v>853.2</v>
      </c>
      <c r="O80" s="13">
        <f>N80*VLOOKUP('Données projet'!$B$9,Paramètres!$A$1:$I$89,3,0)*VLOOKUP('Données projet'!$B$9,Paramètres!$A$1:$I$89,5,0)</f>
        <v>421.48080000000004</v>
      </c>
      <c r="P80" s="13">
        <f t="shared" si="87"/>
        <v>96.118221235852943</v>
      </c>
      <c r="Q80" s="20">
        <f t="shared" si="54"/>
        <v>901.48496198577732</v>
      </c>
      <c r="R80" s="59">
        <f t="shared" si="55"/>
        <v>1194.8182953191106</v>
      </c>
      <c r="S80" s="59">
        <f ca="1">AVERAGE(OFFSET($R$3,0,0,'Données projet'!$E$9+1,1))-AVERAGE(OFFSET($H$3,0,0,'Données projet'!$E$9+1,1))</f>
        <v>434.08297999735811</v>
      </c>
      <c r="T80" s="59">
        <f t="shared" si="88"/>
        <v>371.04090283546122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146.94797837281502</v>
      </c>
      <c r="AA80" s="21">
        <f>EXP(-LN(2)/25)*AA79+(1-EXP(-LN(2)/25))/(LN(2)/25)*Calculateur!V80*Calculateur!X80*VLOOKUP('Données projet'!$B$9,Paramètres!$A$1:$I$89,3,0)*0.475*44/12</f>
        <v>14.048450392658964</v>
      </c>
      <c r="AB80" s="21">
        <f>EXP(-LN(2)/2)*AB79+(1-EXP(-LN(2)/2))/(LN(2)/2)*V80*Y80*VLOOKUP('Données projet'!$B$9,Paramètres!$A$1:$I$89,3,0)*0.475*44/12</f>
        <v>6.3354295698658885E-8</v>
      </c>
      <c r="AC80" s="22">
        <f t="shared" si="57"/>
        <v>160.99642882882827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331.52724290297675</v>
      </c>
      <c r="AO80" s="59">
        <f t="shared" si="90"/>
        <v>322.79102610158054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58.974632011889248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58.974632011889248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247.52519999999981</v>
      </c>
      <c r="BF80" s="13">
        <f t="shared" si="91"/>
        <v>60.055693232205705</v>
      </c>
      <c r="BG80" s="20">
        <f t="shared" si="61"/>
        <v>535.70338904609127</v>
      </c>
      <c r="BH80" s="59">
        <f t="shared" si="62"/>
        <v>829.03672237942465</v>
      </c>
      <c r="BI80" s="59">
        <f ca="1">AVERAGE(OFFSET($BH$3,0,0,'Données projet'!$E$11+1,1))-AVERAGE(OFFSET($H$3,0,0,'Données projet'!$E$11+1,1))</f>
        <v>273.84349636755343</v>
      </c>
      <c r="BJ80" s="59">
        <f t="shared" si="92"/>
        <v>268.10688874775451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49.723709343357598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49.723709343357598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401</v>
      </c>
      <c r="BZ80" s="13">
        <f>BY80*VLOOKUP('Données projet'!$B$12,Paramètres!$A$1:$I$89,3,0)*VLOOKUP('Données projet'!$B$12,Paramètres!$A$1:$I$89,5,0)</f>
        <v>250.22399999999999</v>
      </c>
      <c r="CA80" s="13">
        <f t="shared" si="93"/>
        <v>60.633904580527918</v>
      </c>
      <c r="CB80" s="20">
        <f t="shared" si="64"/>
        <v>541.41085047775289</v>
      </c>
      <c r="CC80" s="59">
        <f t="shared" si="65"/>
        <v>834.74418381108626</v>
      </c>
      <c r="CD80" s="59">
        <f ca="1">AVERAGE(OFFSET($CC$3,0,0,'Données projet'!$E$12+1,1))-AVERAGE(OFFSET($H$3,0,0,'Données projet'!$E$12+1,1))</f>
        <v>269.77739619445515</v>
      </c>
      <c r="CE80" s="59">
        <f t="shared" si="94"/>
        <v>347.56964743629885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54.687925021557824</v>
      </c>
      <c r="CL80" s="21">
        <f>EXP(-LN(2)/25)*CL79+(1-EXP(-LN(2)/25))/(LN(2)/25)*Calculateur!CG80*Calculateur!CI80*VLOOKUP('Données projet'!$B$12,Paramètres!$A$1:$I$89,3,0)*0.475*44/12</f>
        <v>24.924859592235531</v>
      </c>
      <c r="CM80" s="21">
        <f>EXP(-LN(2)/2)*CM79+(1-EXP(-LN(2)/2))/(LN(2)/2)*CG80*CJ80*VLOOKUP('Données projet'!$B$12,Paramètres!$A$1:$I$89,3,0)*0.475*44/12</f>
        <v>2.0937160145211631E-9</v>
      </c>
      <c r="CN80" s="22">
        <f t="shared" si="66"/>
        <v>79.612784615887065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18.600000000000001</v>
      </c>
      <c r="N81" s="13">
        <f>IF('Données projet'!$A$36&gt;35,N80+M81-V80,IF(A81&lt;'Données projet'!$A$36,$K$205^A81,IF(A81='Données projet'!$A$36,'Données projet'!$B$36,N80+M81-V80)))</f>
        <v>871.80000000000007</v>
      </c>
      <c r="O81" s="13">
        <f>N81*VLOOKUP('Données projet'!$B$9,Paramètres!$A$1:$I$89,3,0)*VLOOKUP('Données projet'!$B$9,Paramètres!$A$1:$I$89,5,0)</f>
        <v>430.6692000000001</v>
      </c>
      <c r="P81" s="13">
        <f t="shared" si="87"/>
        <v>97.967390142683371</v>
      </c>
      <c r="Q81" s="20">
        <f t="shared" si="54"/>
        <v>920.70872783184029</v>
      </c>
      <c r="R81" s="59">
        <f t="shared" si="55"/>
        <v>1214.0420611651737</v>
      </c>
      <c r="S81" s="59">
        <f ca="1">AVERAGE(OFFSET($R$3,0,0,'Données projet'!$E$9+1,1))-AVERAGE(OFFSET($H$3,0,0,'Données projet'!$E$9+1,1))</f>
        <v>434.08297999735811</v>
      </c>
      <c r="T81" s="59">
        <f t="shared" si="88"/>
        <v>371.04090283546122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144.06641814634074</v>
      </c>
      <c r="AA81" s="21">
        <f>EXP(-LN(2)/25)*AA80+(1-EXP(-LN(2)/25))/(LN(2)/25)*Calculateur!V81*Calculateur!X81*VLOOKUP('Données projet'!$B$9,Paramètres!$A$1:$I$89,3,0)*0.475*44/12</f>
        <v>13.664294777895806</v>
      </c>
      <c r="AB81" s="21">
        <f>EXP(-LN(2)/2)*AB80+(1-EXP(-LN(2)/2))/(LN(2)/2)*V81*Y81*VLOOKUP('Données projet'!$B$9,Paramètres!$A$1:$I$89,3,0)*0.475*44/12</f>
        <v>4.4798252105819419E-8</v>
      </c>
      <c r="AC81" s="22">
        <f t="shared" si="57"/>
        <v>157.73071296903478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331.52724290297675</v>
      </c>
      <c r="AO81" s="59">
        <f t="shared" si="90"/>
        <v>322.79102610158054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57.818175449109788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57.818175449109788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250.20839999999981</v>
      </c>
      <c r="BF81" s="13">
        <f t="shared" si="91"/>
        <v>60.630564411420075</v>
      </c>
      <c r="BG81" s="20">
        <f t="shared" si="61"/>
        <v>541.37786301655638</v>
      </c>
      <c r="BH81" s="59">
        <f t="shared" si="62"/>
        <v>834.71119634988963</v>
      </c>
      <c r="BI81" s="59">
        <f ca="1">AVERAGE(OFFSET($BH$3,0,0,'Données projet'!$E$11+1,1))-AVERAGE(OFFSET($H$3,0,0,'Données projet'!$E$11+1,1))</f>
        <v>273.84349636755343</v>
      </c>
      <c r="BJ81" s="59">
        <f t="shared" si="92"/>
        <v>268.10688874775451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48.748657731602364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48.748657731602364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401</v>
      </c>
      <c r="BZ81" s="13">
        <f>BY81*VLOOKUP('Données projet'!$B$12,Paramètres!$A$1:$I$89,3,0)*VLOOKUP('Données projet'!$B$12,Paramètres!$A$1:$I$89,5,0)</f>
        <v>250.22399999999999</v>
      </c>
      <c r="CA81" s="13">
        <f t="shared" si="93"/>
        <v>60.633904580527918</v>
      </c>
      <c r="CB81" s="20">
        <f t="shared" si="64"/>
        <v>541.41085047775289</v>
      </c>
      <c r="CC81" s="59">
        <f t="shared" si="65"/>
        <v>834.74418381108626</v>
      </c>
      <c r="CD81" s="59">
        <f ca="1">AVERAGE(OFFSET($CC$3,0,0,'Données projet'!$E$12+1,1))-AVERAGE(OFFSET($H$3,0,0,'Données projet'!$E$12+1,1))</f>
        <v>269.77739619445515</v>
      </c>
      <c r="CE81" s="59">
        <f t="shared" si="94"/>
        <v>347.56964743629885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53.615528168225673</v>
      </c>
      <c r="CL81" s="21">
        <f>EXP(-LN(2)/25)*CL80+(1-EXP(-LN(2)/25))/(LN(2)/25)*Calculateur!CG81*Calculateur!CI81*VLOOKUP('Données projet'!$B$12,Paramètres!$A$1:$I$89,3,0)*0.475*44/12</f>
        <v>24.243287995944453</v>
      </c>
      <c r="CM81" s="21">
        <f>EXP(-LN(2)/2)*CM80+(1-EXP(-LN(2)/2))/(LN(2)/2)*CG81*CJ81*VLOOKUP('Données projet'!$B$12,Paramètres!$A$1:$I$89,3,0)*0.475*44/12</f>
        <v>1.4804807917467865E-9</v>
      </c>
      <c r="CN81" s="22">
        <f t="shared" si="66"/>
        <v>77.858816165650609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18.600000000000001</v>
      </c>
      <c r="N82" s="13">
        <f>IF('Données projet'!$A$36&gt;35,N81+M82-V81,IF(A82&lt;'Données projet'!$A$36,$K$205^A82,IF(A82='Données projet'!$A$36,'Données projet'!$B$36,N81+M82-V81)))</f>
        <v>890.40000000000009</v>
      </c>
      <c r="O82" s="13">
        <f>N82*VLOOKUP('Données projet'!$B$9,Paramètres!$A$1:$I$89,3,0)*VLOOKUP('Données projet'!$B$9,Paramètres!$A$1:$I$89,5,0)</f>
        <v>439.85760000000005</v>
      </c>
      <c r="P82" s="13">
        <f t="shared" si="87"/>
        <v>99.811972127941502</v>
      </c>
      <c r="Q82" s="20">
        <f t="shared" si="54"/>
        <v>939.92450478949831</v>
      </c>
      <c r="R82" s="59">
        <f t="shared" si="55"/>
        <v>1233.2578381228316</v>
      </c>
      <c r="S82" s="59">
        <f ca="1">AVERAGE(OFFSET($R$3,0,0,'Données projet'!$E$9+1,1))-AVERAGE(OFFSET($H$3,0,0,'Données projet'!$E$9+1,1))</f>
        <v>434.08297999735811</v>
      </c>
      <c r="T82" s="59">
        <f t="shared" si="88"/>
        <v>371.04090283546122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141.24136355832945</v>
      </c>
      <c r="AA82" s="21">
        <f>EXP(-LN(2)/25)*AA81+(1-EXP(-LN(2)/25))/(LN(2)/25)*Calculateur!V82*Calculateur!X82*VLOOKUP('Données projet'!$B$9,Paramètres!$A$1:$I$89,3,0)*0.475*44/12</f>
        <v>13.290643918620214</v>
      </c>
      <c r="AB82" s="21">
        <f>EXP(-LN(2)/2)*AB81+(1-EXP(-LN(2)/2))/(LN(2)/2)*V82*Y82*VLOOKUP('Données projet'!$B$9,Paramètres!$A$1:$I$89,3,0)*0.475*44/12</f>
        <v>3.1677147849329442E-8</v>
      </c>
      <c r="AC82" s="22">
        <f t="shared" si="57"/>
        <v>154.53200750862683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331.52724290297675</v>
      </c>
      <c r="AO82" s="59">
        <f t="shared" si="90"/>
        <v>322.79102610158054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56.68439629415758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56.68439629415758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252.89159999999981</v>
      </c>
      <c r="BF82" s="13">
        <f t="shared" si="91"/>
        <v>61.204718436590262</v>
      </c>
      <c r="BG82" s="20">
        <f t="shared" si="61"/>
        <v>547.05108794372779</v>
      </c>
      <c r="BH82" s="59">
        <f t="shared" si="62"/>
        <v>840.38442127706116</v>
      </c>
      <c r="BI82" s="59">
        <f ca="1">AVERAGE(OFFSET($BH$3,0,0,'Données projet'!$E$11+1,1))-AVERAGE(OFFSET($H$3,0,0,'Données projet'!$E$11+1,1))</f>
        <v>273.84349636755343</v>
      </c>
      <c r="BJ82" s="59">
        <f t="shared" si="92"/>
        <v>268.10688874775451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47.792726287230892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47.792726287230892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401</v>
      </c>
      <c r="BZ82" s="13">
        <f>BY82*VLOOKUP('Données projet'!$B$12,Paramètres!$A$1:$I$89,3,0)*VLOOKUP('Données projet'!$B$12,Paramètres!$A$1:$I$89,5,0)</f>
        <v>250.22399999999999</v>
      </c>
      <c r="CA82" s="13">
        <f t="shared" si="93"/>
        <v>60.633904580527918</v>
      </c>
      <c r="CB82" s="20">
        <f t="shared" si="64"/>
        <v>541.41085047775289</v>
      </c>
      <c r="CC82" s="59">
        <f t="shared" si="65"/>
        <v>834.74418381108626</v>
      </c>
      <c r="CD82" s="59">
        <f ca="1">AVERAGE(OFFSET($CC$3,0,0,'Données projet'!$E$12+1,1))-AVERAGE(OFFSET($H$3,0,0,'Données projet'!$E$12+1,1))</f>
        <v>269.77739619445515</v>
      </c>
      <c r="CE82" s="59">
        <f t="shared" si="94"/>
        <v>347.56964743629885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52.564160363089869</v>
      </c>
      <c r="CL82" s="21">
        <f>EXP(-LN(2)/25)*CL81+(1-EXP(-LN(2)/25))/(LN(2)/25)*Calculateur!CG82*Calculateur!CI82*VLOOKUP('Données projet'!$B$12,Paramètres!$A$1:$I$89,3,0)*0.475*44/12</f>
        <v>23.580354010796245</v>
      </c>
      <c r="CM82" s="21">
        <f>EXP(-LN(2)/2)*CM81+(1-EXP(-LN(2)/2))/(LN(2)/2)*CG82*CJ82*VLOOKUP('Données projet'!$B$12,Paramètres!$A$1:$I$89,3,0)*0.475*44/12</f>
        <v>1.0468580072605816E-9</v>
      </c>
      <c r="CN82" s="22">
        <f t="shared" si="66"/>
        <v>76.144514374932967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909</v>
      </c>
      <c r="L83" s="12">
        <f>VLOOKUP(A83,'Données projet'!$A$35:$I$55,9,0)</f>
        <v>18.600000000000001</v>
      </c>
      <c r="M83" s="12">
        <f t="array" ref="M83">INDEX(L:L,MIN(IF(ISNUMBER(L83:L279),ROW(L83:L279),"")))</f>
        <v>18.600000000000001</v>
      </c>
      <c r="N83" s="13">
        <f>IF('Données projet'!$A$36&gt;35,N82+M83-V82,IF(A83&lt;'Données projet'!$A$36,$K$205^A83,IF(A83='Données projet'!$A$36,'Données projet'!$B$36,N82+M83-V82)))</f>
        <v>909.00000000000011</v>
      </c>
      <c r="O83" s="13">
        <f>N83*VLOOKUP('Données projet'!$B$9,Paramètres!$A$1:$I$89,3,0)*VLOOKUP('Données projet'!$B$9,Paramètres!$A$1:$I$89,5,0)</f>
        <v>449.04600000000011</v>
      </c>
      <c r="P83" s="13">
        <f t="shared" si="87"/>
        <v>101.65207404908085</v>
      </c>
      <c r="Q83" s="20">
        <f t="shared" si="54"/>
        <v>959.13247896881603</v>
      </c>
      <c r="R83" s="59">
        <f t="shared" si="55"/>
        <v>1252.4658123021493</v>
      </c>
      <c r="S83" s="59">
        <f ca="1">AVERAGE(OFFSET($R$3,0,0,'Données projet'!$E$9+1,1))-AVERAGE(OFFSET($H$3,0,0,'Données projet'!$E$9+1,1))</f>
        <v>434.08297999735811</v>
      </c>
      <c r="T83" s="59">
        <f t="shared" si="88"/>
        <v>371.04090283546122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57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159.01607763262251</v>
      </c>
      <c r="AA83" s="21">
        <f>EXP(-LN(2)/25)*AA82+(1-EXP(-LN(2)/25))/(LN(2)/25)*Calculateur!V83*Calculateur!X83*VLOOKUP('Données projet'!$B$9,Paramètres!$A$1:$I$89,3,0)*0.475*44/12</f>
        <v>12.927210561740957</v>
      </c>
      <c r="AB83" s="21">
        <f>EXP(-LN(2)/2)*AB82+(1-EXP(-LN(2)/2))/(LN(2)/2)*V83*Y83*VLOOKUP('Données projet'!$B$9,Paramètres!$A$1:$I$89,3,0)*0.475*44/12</f>
        <v>2.2399126052909709E-8</v>
      </c>
      <c r="AC83" s="22">
        <f t="shared" si="57"/>
        <v>171.9432882167626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331.52724290297675</v>
      </c>
      <c r="AO83" s="59">
        <f t="shared" si="90"/>
        <v>322.79102610158054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61.632689148856684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61.632689148856684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255.57479999999981</v>
      </c>
      <c r="BF83" s="13">
        <f t="shared" si="91"/>
        <v>61.778163797549141</v>
      </c>
      <c r="BG83" s="20">
        <f t="shared" si="61"/>
        <v>552.72307861406443</v>
      </c>
      <c r="BH83" s="59">
        <f t="shared" si="62"/>
        <v>846.05641194739769</v>
      </c>
      <c r="BI83" s="59">
        <f ca="1">AVERAGE(OFFSET($BH$3,0,0,'Données projet'!$E$11+1,1))-AVERAGE(OFFSET($H$3,0,0,'Données projet'!$E$11+1,1))</f>
        <v>273.84349636755343</v>
      </c>
      <c r="BJ83" s="59">
        <f t="shared" si="92"/>
        <v>268.10688874775451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51.964816341192879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51.964816341192879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401</v>
      </c>
      <c r="BZ83" s="13">
        <f>BY83*VLOOKUP('Données projet'!$B$12,Paramètres!$A$1:$I$89,3,0)*VLOOKUP('Données projet'!$B$12,Paramètres!$A$1:$I$89,5,0)</f>
        <v>250.22399999999999</v>
      </c>
      <c r="CA83" s="13">
        <f t="shared" si="93"/>
        <v>60.633904580527918</v>
      </c>
      <c r="CB83" s="20">
        <f t="shared" si="64"/>
        <v>541.41085047775289</v>
      </c>
      <c r="CC83" s="59">
        <f t="shared" si="65"/>
        <v>834.74418381108626</v>
      </c>
      <c r="CD83" s="59">
        <f ca="1">AVERAGE(OFFSET($CC$3,0,0,'Données projet'!$E$12+1,1))-AVERAGE(OFFSET($H$3,0,0,'Données projet'!$E$12+1,1))</f>
        <v>269.77739619445515</v>
      </c>
      <c r="CE83" s="59">
        <f t="shared" si="94"/>
        <v>347.56964743629885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51.533409239341736</v>
      </c>
      <c r="CL83" s="21">
        <f>EXP(-LN(2)/25)*CL82+(1-EXP(-LN(2)/25))/(LN(2)/25)*Calculateur!CG83*Calculateur!CI83*VLOOKUP('Données projet'!$B$12,Paramètres!$A$1:$I$89,3,0)*0.475*44/12</f>
        <v>22.935547990334097</v>
      </c>
      <c r="CM83" s="21">
        <f>EXP(-LN(2)/2)*CM82+(1-EXP(-LN(2)/2))/(LN(2)/2)*CG83*CJ83*VLOOKUP('Données projet'!$B$12,Paramètres!$A$1:$I$89,3,0)*0.475*44/12</f>
        <v>7.4024039587339325E-10</v>
      </c>
      <c r="CN83" s="22">
        <f t="shared" si="66"/>
        <v>74.468957230416081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852.00000000000011</v>
      </c>
      <c r="O84" s="13">
        <f>N84*VLOOKUP('Données projet'!$B$9,Paramètres!$A$1:$I$89,3,0)*VLOOKUP('Données projet'!$B$9,Paramètres!$A$1:$I$89,5,0)</f>
        <v>420.88800000000009</v>
      </c>
      <c r="P84" s="13">
        <f t="shared" si="87"/>
        <v>95.998759891259041</v>
      </c>
      <c r="Q84" s="20">
        <f t="shared" si="54"/>
        <v>900.24444014394294</v>
      </c>
      <c r="R84" s="59">
        <f t="shared" si="55"/>
        <v>1193.5777734772762</v>
      </c>
      <c r="S84" s="59">
        <f ca="1">AVERAGE(OFFSET($R$3,0,0,'Données projet'!$E$9+1,1))-AVERAGE(OFFSET($H$3,0,0,'Données projet'!$E$9+1,1))</f>
        <v>434.08297999735811</v>
      </c>
      <c r="T84" s="59">
        <f t="shared" si="88"/>
        <v>371.04090283546122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155.89786934047714</v>
      </c>
      <c r="AA84" s="21">
        <f>EXP(-LN(2)/25)*AA83+(1-EXP(-LN(2)/25))/(LN(2)/25)*Calculateur!V84*Calculateur!X84*VLOOKUP('Données projet'!$B$9,Paramètres!$A$1:$I$89,3,0)*0.475*44/12</f>
        <v>12.573715309117691</v>
      </c>
      <c r="AB84" s="21">
        <f>EXP(-LN(2)/2)*AB83+(1-EXP(-LN(2)/2))/(LN(2)/2)*V84*Y84*VLOOKUP('Données projet'!$B$9,Paramètres!$A$1:$I$89,3,0)*0.475*44/12</f>
        <v>1.5838573924664721E-8</v>
      </c>
      <c r="AC84" s="22">
        <f t="shared" si="57"/>
        <v>168.4715846654334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292.78079999999977</v>
      </c>
      <c r="AK84" s="13">
        <f t="shared" si="89"/>
        <v>69.660903052386217</v>
      </c>
      <c r="AL84" s="20">
        <f t="shared" si="58"/>
        <v>631.25263281623893</v>
      </c>
      <c r="AM84" s="59">
        <f t="shared" si="59"/>
        <v>924.58596614957219</v>
      </c>
      <c r="AN84" s="59">
        <f ca="1">AVERAGE(OFFSET($AM$3,0,0,'Données projet'!$E$10+1,1))-AVERAGE(OFFSET($H$3,0,0,'Données projet'!$E$10+1,1))</f>
        <v>331.52724290297675</v>
      </c>
      <c r="AO84" s="59">
        <f t="shared" si="90"/>
        <v>322.79102610158054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60.42410970687606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60.42410970687606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246.8543999999998</v>
      </c>
      <c r="BF84" s="13">
        <f t="shared" si="91"/>
        <v>59.911862368716115</v>
      </c>
      <c r="BG84" s="20">
        <f t="shared" si="61"/>
        <v>534.28457362551353</v>
      </c>
      <c r="BH84" s="59">
        <f t="shared" si="62"/>
        <v>827.61790695884679</v>
      </c>
      <c r="BI84" s="59">
        <f ca="1">AVERAGE(OFFSET($BH$3,0,0,'Données projet'!$E$11+1,1))-AVERAGE(OFFSET($H$3,0,0,'Données projet'!$E$11+1,1))</f>
        <v>273.84349636755343</v>
      </c>
      <c r="BJ84" s="59">
        <f t="shared" si="92"/>
        <v>268.10688874775451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50.945817988150395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50.945817988150395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401</v>
      </c>
      <c r="BZ84" s="13">
        <f>BY84*VLOOKUP('Données projet'!$B$12,Paramètres!$A$1:$I$89,3,0)*VLOOKUP('Données projet'!$B$12,Paramètres!$A$1:$I$89,5,0)</f>
        <v>250.22399999999999</v>
      </c>
      <c r="CA84" s="13">
        <f t="shared" si="93"/>
        <v>60.633904580527918</v>
      </c>
      <c r="CB84" s="20">
        <f t="shared" si="64"/>
        <v>541.41085047775289</v>
      </c>
      <c r="CC84" s="59">
        <f t="shared" si="65"/>
        <v>834.74418381108626</v>
      </c>
      <c r="CD84" s="59">
        <f ca="1">AVERAGE(OFFSET($CC$3,0,0,'Données projet'!$E$12+1,1))-AVERAGE(OFFSET($H$3,0,0,'Données projet'!$E$12+1,1))</f>
        <v>269.77739619445515</v>
      </c>
      <c r="CE84" s="59">
        <f t="shared" si="94"/>
        <v>347.56964743629885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50.522870516434203</v>
      </c>
      <c r="CL84" s="21">
        <f>EXP(-LN(2)/25)*CL83+(1-EXP(-LN(2)/25))/(LN(2)/25)*Calculateur!CG84*Calculateur!CI84*VLOOKUP('Données projet'!$B$12,Paramètres!$A$1:$I$89,3,0)*0.475*44/12</f>
        <v>22.308374224410361</v>
      </c>
      <c r="CM84" s="21">
        <f>EXP(-LN(2)/2)*CM83+(1-EXP(-LN(2)/2))/(LN(2)/2)*CG84*CJ84*VLOOKUP('Données projet'!$B$12,Paramètres!$A$1:$I$89,3,0)*0.475*44/12</f>
        <v>5.2342900363029079E-10</v>
      </c>
      <c r="CN84" s="22">
        <f t="shared" si="66"/>
        <v>72.831244741367996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852.00000000000011</v>
      </c>
      <c r="O85" s="13">
        <f>N85*VLOOKUP('Données projet'!$B$9,Paramètres!$A$1:$I$89,3,0)*VLOOKUP('Données projet'!$B$9,Paramètres!$A$1:$I$89,5,0)</f>
        <v>420.88800000000009</v>
      </c>
      <c r="P85" s="13">
        <f t="shared" si="87"/>
        <v>95.998759891259041</v>
      </c>
      <c r="Q85" s="20">
        <f t="shared" si="54"/>
        <v>900.24444014394294</v>
      </c>
      <c r="R85" s="59">
        <f t="shared" si="55"/>
        <v>1193.5777734772762</v>
      </c>
      <c r="S85" s="59">
        <f ca="1">AVERAGE(OFFSET($R$3,0,0,'Données projet'!$E$9+1,1))-AVERAGE(OFFSET($H$3,0,0,'Données projet'!$E$9+1,1))</f>
        <v>434.08297999735811</v>
      </c>
      <c r="T85" s="59">
        <f t="shared" si="88"/>
        <v>371.04090283546122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152.84080721102148</v>
      </c>
      <c r="AA85" s="21">
        <f>EXP(-LN(2)/25)*AA84+(1-EXP(-LN(2)/25))/(LN(2)/25)*Calculateur!V85*Calculateur!X85*VLOOKUP('Données projet'!$B$9,Paramètres!$A$1:$I$89,3,0)*0.475*44/12</f>
        <v>12.229886402766917</v>
      </c>
      <c r="AB85" s="21">
        <f>EXP(-LN(2)/2)*AB84+(1-EXP(-LN(2)/2))/(LN(2)/2)*V85*Y85*VLOOKUP('Données projet'!$B$9,Paramètres!$A$1:$I$89,3,0)*0.475*44/12</f>
        <v>1.1199563026454855E-8</v>
      </c>
      <c r="AC85" s="22">
        <f t="shared" si="57"/>
        <v>165.07069362498797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292.78079999999977</v>
      </c>
      <c r="AK85" s="13">
        <f t="shared" si="89"/>
        <v>69.660903052386217</v>
      </c>
      <c r="AL85" s="20">
        <f t="shared" si="58"/>
        <v>631.25263281623893</v>
      </c>
      <c r="AM85" s="59">
        <f t="shared" si="59"/>
        <v>924.58596614957219</v>
      </c>
      <c r="AN85" s="59">
        <f ca="1">AVERAGE(OFFSET($AM$3,0,0,'Données projet'!$E$10+1,1))-AVERAGE(OFFSET($H$3,0,0,'Données projet'!$E$10+1,1))</f>
        <v>331.52724290297675</v>
      </c>
      <c r="AO85" s="59">
        <f t="shared" si="90"/>
        <v>322.79102610158054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59.239229770592004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59.239229770592004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246.8543999999998</v>
      </c>
      <c r="BF85" s="13">
        <f t="shared" si="91"/>
        <v>59.911862368716115</v>
      </c>
      <c r="BG85" s="20">
        <f t="shared" si="61"/>
        <v>534.28457362551353</v>
      </c>
      <c r="BH85" s="59">
        <f t="shared" si="62"/>
        <v>827.61790695884679</v>
      </c>
      <c r="BI85" s="59">
        <f ca="1">AVERAGE(OFFSET($BH$3,0,0,'Données projet'!$E$11+1,1))-AVERAGE(OFFSET($H$3,0,0,'Données projet'!$E$11+1,1))</f>
        <v>273.84349636755343</v>
      </c>
      <c r="BJ85" s="59">
        <f t="shared" si="92"/>
        <v>268.10688874775451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49.946801571283444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49.946801571283444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401</v>
      </c>
      <c r="BZ85" s="13">
        <f>BY85*VLOOKUP('Données projet'!$B$12,Paramètres!$A$1:$I$89,3,0)*VLOOKUP('Données projet'!$B$12,Paramètres!$A$1:$I$89,5,0)</f>
        <v>250.22399999999999</v>
      </c>
      <c r="CA85" s="13">
        <f t="shared" si="93"/>
        <v>60.633904580527918</v>
      </c>
      <c r="CB85" s="20">
        <f t="shared" si="64"/>
        <v>541.41085047775289</v>
      </c>
      <c r="CC85" s="59">
        <f t="shared" si="65"/>
        <v>834.74418381108626</v>
      </c>
      <c r="CD85" s="59">
        <f ca="1">AVERAGE(OFFSET($CC$3,0,0,'Données projet'!$E$12+1,1))-AVERAGE(OFFSET($H$3,0,0,'Données projet'!$E$12+1,1))</f>
        <v>269.77739619445515</v>
      </c>
      <c r="CE85" s="59">
        <f t="shared" si="94"/>
        <v>347.56964743629885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49.532147841515126</v>
      </c>
      <c r="CL85" s="21">
        <f>EXP(-LN(2)/25)*CL84+(1-EXP(-LN(2)/25))/(LN(2)/25)*Calculateur!CG85*Calculateur!CI85*VLOOKUP('Données projet'!$B$12,Paramètres!$A$1:$I$89,3,0)*0.475*44/12</f>
        <v>21.698350558097445</v>
      </c>
      <c r="CM85" s="21">
        <f>EXP(-LN(2)/2)*CM84+(1-EXP(-LN(2)/2))/(LN(2)/2)*CG85*CJ85*VLOOKUP('Données projet'!$B$12,Paramètres!$A$1:$I$89,3,0)*0.475*44/12</f>
        <v>3.7012019793669663E-10</v>
      </c>
      <c r="CN85" s="22">
        <f t="shared" si="66"/>
        <v>71.230498399982693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852.00000000000011</v>
      </c>
      <c r="O86" s="13">
        <f>N86*VLOOKUP('Données projet'!$B$9,Paramètres!$A$1:$I$89,3,0)*VLOOKUP('Données projet'!$B$9,Paramètres!$A$1:$I$89,5,0)</f>
        <v>420.88800000000009</v>
      </c>
      <c r="P86" s="13">
        <f t="shared" si="87"/>
        <v>95.998759891259041</v>
      </c>
      <c r="Q86" s="20">
        <f t="shared" si="54"/>
        <v>900.24444014394294</v>
      </c>
      <c r="R86" s="59">
        <f t="shared" si="55"/>
        <v>1193.5777734772762</v>
      </c>
      <c r="S86" s="59">
        <f ca="1">AVERAGE(OFFSET($R$3,0,0,'Données projet'!$E$9+1,1))-AVERAGE(OFFSET($H$3,0,0,'Données projet'!$E$9+1,1))</f>
        <v>434.08297999735811</v>
      </c>
      <c r="T86" s="59">
        <f t="shared" si="88"/>
        <v>371.04090283546122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149.84369220530067</v>
      </c>
      <c r="AA86" s="21">
        <f>EXP(-LN(2)/25)*AA85+(1-EXP(-LN(2)/25))/(LN(2)/25)*Calculateur!V86*Calculateur!X86*VLOOKUP('Données projet'!$B$9,Paramètres!$A$1:$I$89,3,0)*0.475*44/12</f>
        <v>11.895459515941482</v>
      </c>
      <c r="AB86" s="21">
        <f>EXP(-LN(2)/2)*AB85+(1-EXP(-LN(2)/2))/(LN(2)/2)*V86*Y86*VLOOKUP('Données projet'!$B$9,Paramètres!$A$1:$I$89,3,0)*0.475*44/12</f>
        <v>7.9192869623323606E-9</v>
      </c>
      <c r="AC86" s="22">
        <f t="shared" si="57"/>
        <v>161.73915172916142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292.78079999999977</v>
      </c>
      <c r="AK86" s="13">
        <f t="shared" si="89"/>
        <v>69.660903052386217</v>
      </c>
      <c r="AL86" s="20">
        <f t="shared" si="58"/>
        <v>631.25263281623893</v>
      </c>
      <c r="AM86" s="59">
        <f t="shared" si="59"/>
        <v>924.58596614957219</v>
      </c>
      <c r="AN86" s="59">
        <f ca="1">AVERAGE(OFFSET($AM$3,0,0,'Données projet'!$E$10+1,1))-AVERAGE(OFFSET($H$3,0,0,'Données projet'!$E$10+1,1))</f>
        <v>331.52724290297675</v>
      </c>
      <c r="AO86" s="59">
        <f t="shared" si="90"/>
        <v>322.79102610158054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58.077584607153078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58.077584607153078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246.8543999999998</v>
      </c>
      <c r="BF86" s="13">
        <f t="shared" si="91"/>
        <v>59.911862368716115</v>
      </c>
      <c r="BG86" s="20">
        <f t="shared" si="61"/>
        <v>534.28457362551353</v>
      </c>
      <c r="BH86" s="59">
        <f t="shared" si="62"/>
        <v>827.61790695884679</v>
      </c>
      <c r="BI86" s="59">
        <f ca="1">AVERAGE(OFFSET($BH$3,0,0,'Données projet'!$E$11+1,1))-AVERAGE(OFFSET($H$3,0,0,'Données projet'!$E$11+1,1))</f>
        <v>273.84349636755343</v>
      </c>
      <c r="BJ86" s="59">
        <f t="shared" si="92"/>
        <v>268.10688874775451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48.967375257011412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48.967375257011412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401</v>
      </c>
      <c r="BZ86" s="13">
        <f>BY86*VLOOKUP('Données projet'!$B$12,Paramètres!$A$1:$I$89,3,0)*VLOOKUP('Données projet'!$B$12,Paramètres!$A$1:$I$89,5,0)</f>
        <v>250.22399999999999</v>
      </c>
      <c r="CA86" s="13">
        <f t="shared" si="93"/>
        <v>60.633904580527918</v>
      </c>
      <c r="CB86" s="20">
        <f t="shared" si="64"/>
        <v>541.41085047775289</v>
      </c>
      <c r="CC86" s="59">
        <f t="shared" si="65"/>
        <v>834.74418381108626</v>
      </c>
      <c r="CD86" s="59">
        <f ca="1">AVERAGE(OFFSET($CC$3,0,0,'Données projet'!$E$12+1,1))-AVERAGE(OFFSET($H$3,0,0,'Données projet'!$E$12+1,1))</f>
        <v>269.77739619445515</v>
      </c>
      <c r="CE86" s="59">
        <f t="shared" si="94"/>
        <v>347.56964743629885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48.56085263397005</v>
      </c>
      <c r="CL86" s="21">
        <f>EXP(-LN(2)/25)*CL85+(1-EXP(-LN(2)/25))/(LN(2)/25)*Calculateur!CG86*Calculateur!CI86*VLOOKUP('Données projet'!$B$12,Paramètres!$A$1:$I$89,3,0)*0.475*44/12</f>
        <v>21.105008021019607</v>
      </c>
      <c r="CM86" s="21">
        <f>EXP(-LN(2)/2)*CM85+(1-EXP(-LN(2)/2))/(LN(2)/2)*CG86*CJ86*VLOOKUP('Données projet'!$B$12,Paramètres!$A$1:$I$89,3,0)*0.475*44/12</f>
        <v>2.6171450181514539E-10</v>
      </c>
      <c r="CN86" s="22">
        <f t="shared" si="66"/>
        <v>69.665860655251379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852.00000000000011</v>
      </c>
      <c r="O87" s="13">
        <f>N87*VLOOKUP('Données projet'!$B$9,Paramètres!$A$1:$I$89,3,0)*VLOOKUP('Données projet'!$B$9,Paramètres!$A$1:$I$89,5,0)</f>
        <v>420.88800000000009</v>
      </c>
      <c r="P87" s="13">
        <f t="shared" si="87"/>
        <v>95.998759891259041</v>
      </c>
      <c r="Q87" s="20">
        <f t="shared" si="54"/>
        <v>900.24444014394294</v>
      </c>
      <c r="R87" s="59">
        <f t="shared" si="55"/>
        <v>1193.5777734772762</v>
      </c>
      <c r="S87" s="59">
        <f ca="1">AVERAGE(OFFSET($R$3,0,0,'Données projet'!$E$9+1,1))-AVERAGE(OFFSET($H$3,0,0,'Données projet'!$E$9+1,1))</f>
        <v>434.08297999735811</v>
      </c>
      <c r="T87" s="59">
        <f t="shared" si="88"/>
        <v>371.04090283546122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146.90534879678239</v>
      </c>
      <c r="AA87" s="21">
        <f>EXP(-LN(2)/25)*AA86+(1-EXP(-LN(2)/25))/(LN(2)/25)*Calculateur!V87*Calculateur!X87*VLOOKUP('Données projet'!$B$9,Paramètres!$A$1:$I$89,3,0)*0.475*44/12</f>
        <v>11.570177549923034</v>
      </c>
      <c r="AB87" s="21">
        <f>EXP(-LN(2)/2)*AB86+(1-EXP(-LN(2)/2))/(LN(2)/2)*V87*Y87*VLOOKUP('Données projet'!$B$9,Paramètres!$A$1:$I$89,3,0)*0.475*44/12</f>
        <v>5.5997815132274273E-9</v>
      </c>
      <c r="AC87" s="22">
        <f t="shared" si="57"/>
        <v>158.47552635230522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292.78079999999977</v>
      </c>
      <c r="AK87" s="13">
        <f t="shared" si="89"/>
        <v>69.660903052386217</v>
      </c>
      <c r="AL87" s="20">
        <f t="shared" si="58"/>
        <v>631.25263281623893</v>
      </c>
      <c r="AM87" s="59">
        <f t="shared" si="59"/>
        <v>924.58596614957219</v>
      </c>
      <c r="AN87" s="59">
        <f ca="1">AVERAGE(OFFSET($AM$3,0,0,'Données projet'!$E$10+1,1))-AVERAGE(OFFSET($H$3,0,0,'Données projet'!$E$10+1,1))</f>
        <v>331.52724290297675</v>
      </c>
      <c r="AO87" s="59">
        <f t="shared" si="90"/>
        <v>322.79102610158054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56.938718596835606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56.938718596835606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246.8543999999998</v>
      </c>
      <c r="BF87" s="13">
        <f t="shared" si="91"/>
        <v>59.911862368716115</v>
      </c>
      <c r="BG87" s="20">
        <f t="shared" si="61"/>
        <v>534.28457362551353</v>
      </c>
      <c r="BH87" s="59">
        <f t="shared" si="62"/>
        <v>827.61790695884679</v>
      </c>
      <c r="BI87" s="59">
        <f ca="1">AVERAGE(OFFSET($BH$3,0,0,'Données projet'!$E$11+1,1))-AVERAGE(OFFSET($H$3,0,0,'Données projet'!$E$11+1,1))</f>
        <v>273.84349636755343</v>
      </c>
      <c r="BJ87" s="59">
        <f t="shared" si="92"/>
        <v>268.10688874775451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48.007154895371187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48.007154895371187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401</v>
      </c>
      <c r="BZ87" s="13">
        <f>BY87*VLOOKUP('Données projet'!$B$12,Paramètres!$A$1:$I$89,3,0)*VLOOKUP('Données projet'!$B$12,Paramètres!$A$1:$I$89,5,0)</f>
        <v>250.22399999999999</v>
      </c>
      <c r="CA87" s="13">
        <f t="shared" si="93"/>
        <v>60.633904580527918</v>
      </c>
      <c r="CB87" s="20">
        <f t="shared" si="64"/>
        <v>541.41085047775289</v>
      </c>
      <c r="CC87" s="59">
        <f t="shared" si="65"/>
        <v>834.74418381108626</v>
      </c>
      <c r="CD87" s="59">
        <f ca="1">AVERAGE(OFFSET($CC$3,0,0,'Données projet'!$E$12+1,1))-AVERAGE(OFFSET($H$3,0,0,'Données projet'!$E$12+1,1))</f>
        <v>269.77739619445515</v>
      </c>
      <c r="CE87" s="59">
        <f t="shared" si="94"/>
        <v>347.56964743629885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47.608603933013349</v>
      </c>
      <c r="CL87" s="21">
        <f>EXP(-LN(2)/25)*CL86+(1-EXP(-LN(2)/25))/(LN(2)/25)*Calculateur!CG87*Calculateur!CI87*VLOOKUP('Données projet'!$B$12,Paramètres!$A$1:$I$89,3,0)*0.475*44/12</f>
        <v>20.52789046682069</v>
      </c>
      <c r="CM87" s="21">
        <f>EXP(-LN(2)/2)*CM86+(1-EXP(-LN(2)/2))/(LN(2)/2)*CG87*CJ87*VLOOKUP('Données projet'!$B$12,Paramètres!$A$1:$I$89,3,0)*0.475*44/12</f>
        <v>1.8506009896834831E-10</v>
      </c>
      <c r="CN87" s="22">
        <f t="shared" si="66"/>
        <v>68.136494400019089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852.00000000000011</v>
      </c>
      <c r="O88" s="13">
        <f>N88*VLOOKUP('Données projet'!$B$9,Paramètres!$A$1:$I$89,3,0)*VLOOKUP('Données projet'!$B$9,Paramètres!$A$1:$I$89,5,0)</f>
        <v>420.88800000000009</v>
      </c>
      <c r="P88" s="13">
        <f t="shared" si="87"/>
        <v>95.998759891259041</v>
      </c>
      <c r="Q88" s="20">
        <f t="shared" si="54"/>
        <v>900.24444014394294</v>
      </c>
      <c r="R88" s="59">
        <f t="shared" si="55"/>
        <v>1193.5777734772762</v>
      </c>
      <c r="S88" s="59">
        <f ca="1">AVERAGE(OFFSET($R$3,0,0,'Données projet'!$E$9+1,1))-AVERAGE(OFFSET($H$3,0,0,'Données projet'!$E$9+1,1))</f>
        <v>434.08297999735811</v>
      </c>
      <c r="T88" s="59">
        <f t="shared" si="88"/>
        <v>371.04090283546122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144.02462451029265</v>
      </c>
      <c r="AA88" s="21">
        <f>EXP(-LN(2)/25)*AA87+(1-EXP(-LN(2)/25))/(LN(2)/25)*Calculateur!V88*Calculateur!X88*VLOOKUP('Données projet'!$B$9,Paramètres!$A$1:$I$89,3,0)*0.475*44/12</f>
        <v>11.253790436371196</v>
      </c>
      <c r="AB88" s="21">
        <f>EXP(-LN(2)/2)*AB87+(1-EXP(-LN(2)/2))/(LN(2)/2)*V88*Y88*VLOOKUP('Données projet'!$B$9,Paramètres!$A$1:$I$89,3,0)*0.475*44/12</f>
        <v>3.9596434811661803E-9</v>
      </c>
      <c r="AC88" s="22">
        <f t="shared" si="57"/>
        <v>155.2784149506235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292.78079999999977</v>
      </c>
      <c r="AK88" s="13">
        <f t="shared" si="89"/>
        <v>69.660903052386217</v>
      </c>
      <c r="AL88" s="20">
        <f t="shared" si="58"/>
        <v>631.25263281623893</v>
      </c>
      <c r="AM88" s="59">
        <f t="shared" si="59"/>
        <v>924.58596614957219</v>
      </c>
      <c r="AN88" s="59">
        <f ca="1">AVERAGE(OFFSET($AM$3,0,0,'Données projet'!$E$10+1,1))-AVERAGE(OFFSET($H$3,0,0,'Données projet'!$E$10+1,1))</f>
        <v>331.52724290297675</v>
      </c>
      <c r="AO88" s="59">
        <f t="shared" si="90"/>
        <v>322.79102610158054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55.822185054340778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55.822185054340778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246.8543999999998</v>
      </c>
      <c r="BF88" s="13">
        <f t="shared" si="91"/>
        <v>59.911862368716115</v>
      </c>
      <c r="BG88" s="20">
        <f t="shared" si="61"/>
        <v>534.28457362551353</v>
      </c>
      <c r="BH88" s="59">
        <f t="shared" si="62"/>
        <v>827.61790695884679</v>
      </c>
      <c r="BI88" s="59">
        <f ca="1">AVERAGE(OFFSET($BH$3,0,0,'Données projet'!$E$11+1,1))-AVERAGE(OFFSET($H$3,0,0,'Données projet'!$E$11+1,1))</f>
        <v>273.84349636755343</v>
      </c>
      <c r="BJ88" s="59">
        <f t="shared" si="92"/>
        <v>268.10688874775451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47.065763869346142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47.065763869346142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401</v>
      </c>
      <c r="BZ88" s="13">
        <f>BY88*VLOOKUP('Données projet'!$B$12,Paramètres!$A$1:$I$89,3,0)*VLOOKUP('Données projet'!$B$12,Paramètres!$A$1:$I$89,5,0)</f>
        <v>250.22399999999999</v>
      </c>
      <c r="CA88" s="13">
        <f t="shared" si="93"/>
        <v>60.633904580527918</v>
      </c>
      <c r="CB88" s="20">
        <f t="shared" si="64"/>
        <v>541.41085047775289</v>
      </c>
      <c r="CC88" s="59">
        <f t="shared" si="65"/>
        <v>834.74418381108626</v>
      </c>
      <c r="CD88" s="59">
        <f ca="1">AVERAGE(OFFSET($CC$3,0,0,'Données projet'!$E$12+1,1))-AVERAGE(OFFSET($H$3,0,0,'Données projet'!$E$12+1,1))</f>
        <v>269.77739619445515</v>
      </c>
      <c r="CE88" s="59">
        <f t="shared" si="94"/>
        <v>347.56964743629885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46.675028248268056</v>
      </c>
      <c r="CL88" s="21">
        <f>EXP(-LN(2)/25)*CL87+(1-EXP(-LN(2)/25))/(LN(2)/25)*Calculateur!CG88*Calculateur!CI88*VLOOKUP('Données projet'!$B$12,Paramètres!$A$1:$I$89,3,0)*0.475*44/12</f>
        <v>19.966554222490636</v>
      </c>
      <c r="CM88" s="21">
        <f>EXP(-LN(2)/2)*CM87+(1-EXP(-LN(2)/2))/(LN(2)/2)*CG88*CJ88*VLOOKUP('Données projet'!$B$12,Paramètres!$A$1:$I$89,3,0)*0.475*44/12</f>
        <v>1.308572509075727E-10</v>
      </c>
      <c r="CN88" s="22">
        <f t="shared" si="66"/>
        <v>66.641582470889546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852.00000000000011</v>
      </c>
      <c r="O89" s="13">
        <f>N89*VLOOKUP('Données projet'!$B$9,Paramètres!$A$1:$I$89,3,0)*VLOOKUP('Données projet'!$B$9,Paramètres!$A$1:$I$89,5,0)</f>
        <v>420.88800000000009</v>
      </c>
      <c r="P89" s="13">
        <f t="shared" si="87"/>
        <v>95.998759891259041</v>
      </c>
      <c r="Q89" s="20">
        <f t="shared" si="54"/>
        <v>900.24444014394294</v>
      </c>
      <c r="R89" s="59">
        <f t="shared" si="55"/>
        <v>1193.5777734772762</v>
      </c>
      <c r="S89" s="59">
        <f ca="1">AVERAGE(OFFSET($R$3,0,0,'Données projet'!$E$9+1,1))-AVERAGE(OFFSET($H$3,0,0,'Données projet'!$E$9+1,1))</f>
        <v>434.08297999735811</v>
      </c>
      <c r="T89" s="59">
        <f t="shared" si="88"/>
        <v>371.04090283546122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141.20038946999267</v>
      </c>
      <c r="AA89" s="21">
        <f>EXP(-LN(2)/25)*AA88+(1-EXP(-LN(2)/25))/(LN(2)/25)*Calculateur!V89*Calculateur!X89*VLOOKUP('Données projet'!$B$9,Paramètres!$A$1:$I$89,3,0)*0.475*44/12</f>
        <v>10.946054945077506</v>
      </c>
      <c r="AB89" s="21">
        <f>EXP(-LN(2)/2)*AB88+(1-EXP(-LN(2)/2))/(LN(2)/2)*V89*Y89*VLOOKUP('Données projet'!$B$9,Paramètres!$A$1:$I$89,3,0)*0.475*44/12</f>
        <v>2.7998907566137137E-9</v>
      </c>
      <c r="AC89" s="22">
        <f t="shared" si="57"/>
        <v>152.14644441787004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292.78079999999977</v>
      </c>
      <c r="AK89" s="13">
        <f t="shared" si="89"/>
        <v>69.660903052386217</v>
      </c>
      <c r="AL89" s="20">
        <f t="shared" si="58"/>
        <v>631.25263281623893</v>
      </c>
      <c r="AM89" s="59">
        <f t="shared" si="59"/>
        <v>924.58596614957219</v>
      </c>
      <c r="AN89" s="59">
        <f ca="1">AVERAGE(OFFSET($AM$3,0,0,'Données projet'!$E$10+1,1))-AVERAGE(OFFSET($H$3,0,0,'Données projet'!$E$10+1,1))</f>
        <v>331.52724290297675</v>
      </c>
      <c r="AO89" s="59">
        <f t="shared" si="90"/>
        <v>322.79102610158054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54.727546053596058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54.727546053596058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246.8543999999998</v>
      </c>
      <c r="BF89" s="13">
        <f t="shared" si="91"/>
        <v>59.911862368716115</v>
      </c>
      <c r="BG89" s="20">
        <f t="shared" si="61"/>
        <v>534.28457362551353</v>
      </c>
      <c r="BH89" s="59">
        <f t="shared" si="62"/>
        <v>827.61790695884679</v>
      </c>
      <c r="BI89" s="59">
        <f ca="1">AVERAGE(OFFSET($BH$3,0,0,'Données projet'!$E$11+1,1))-AVERAGE(OFFSET($H$3,0,0,'Données projet'!$E$11+1,1))</f>
        <v>273.84349636755343</v>
      </c>
      <c r="BJ89" s="59">
        <f t="shared" si="92"/>
        <v>268.10688874775451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46.142832947149614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46.142832947149614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401</v>
      </c>
      <c r="BZ89" s="13">
        <f>BY89*VLOOKUP('Données projet'!$B$12,Paramètres!$A$1:$I$89,3,0)*VLOOKUP('Données projet'!$B$12,Paramètres!$A$1:$I$89,5,0)</f>
        <v>250.22399999999999</v>
      </c>
      <c r="CA89" s="13">
        <f t="shared" si="93"/>
        <v>60.633904580527918</v>
      </c>
      <c r="CB89" s="20">
        <f t="shared" si="64"/>
        <v>541.41085047775289</v>
      </c>
      <c r="CC89" s="59">
        <f t="shared" si="65"/>
        <v>834.74418381108626</v>
      </c>
      <c r="CD89" s="59">
        <f ca="1">AVERAGE(OFFSET($CC$3,0,0,'Données projet'!$E$12+1,1))-AVERAGE(OFFSET($H$3,0,0,'Données projet'!$E$12+1,1))</f>
        <v>269.77739619445515</v>
      </c>
      <c r="CE89" s="59">
        <f t="shared" si="94"/>
        <v>347.56964743629885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45.759759413275674</v>
      </c>
      <c r="CL89" s="21">
        <f>EXP(-LN(2)/25)*CL88+(1-EXP(-LN(2)/25))/(LN(2)/25)*Calculateur!CG89*Calculateur!CI89*VLOOKUP('Données projet'!$B$12,Paramètres!$A$1:$I$89,3,0)*0.475*44/12</f>
        <v>19.420567747281176</v>
      </c>
      <c r="CM89" s="21">
        <f>EXP(-LN(2)/2)*CM88+(1-EXP(-LN(2)/2))/(LN(2)/2)*CG89*CJ89*VLOOKUP('Données projet'!$B$12,Paramètres!$A$1:$I$89,3,0)*0.475*44/12</f>
        <v>9.2530049484174156E-11</v>
      </c>
      <c r="CN89" s="22">
        <f t="shared" si="66"/>
        <v>65.180327160649384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852.00000000000011</v>
      </c>
      <c r="O90" s="13">
        <f>N90*VLOOKUP('Données projet'!$B$9,Paramètres!$A$1:$I$89,3,0)*VLOOKUP('Données projet'!$B$9,Paramètres!$A$1:$I$89,5,0)</f>
        <v>420.88800000000009</v>
      </c>
      <c r="P90" s="13">
        <f t="shared" si="87"/>
        <v>95.998759891259041</v>
      </c>
      <c r="Q90" s="20">
        <f t="shared" si="54"/>
        <v>900.24444014394294</v>
      </c>
      <c r="R90" s="59">
        <f t="shared" si="55"/>
        <v>1193.5777734772762</v>
      </c>
      <c r="S90" s="59">
        <f ca="1">AVERAGE(OFFSET($R$3,0,0,'Données projet'!$E$9+1,1))-AVERAGE(OFFSET($H$3,0,0,'Données projet'!$E$9+1,1))</f>
        <v>434.08297999735811</v>
      </c>
      <c r="T90" s="59">
        <f t="shared" si="88"/>
        <v>371.04090283546122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138.43153595621968</v>
      </c>
      <c r="AA90" s="21">
        <f>EXP(-LN(2)/25)*AA89+(1-EXP(-LN(2)/25))/(LN(2)/25)*Calculateur!V90*Calculateur!X90*VLOOKUP('Données projet'!$B$9,Paramètres!$A$1:$I$89,3,0)*0.475*44/12</f>
        <v>10.64673449697635</v>
      </c>
      <c r="AB90" s="21">
        <f>EXP(-LN(2)/2)*AB89+(1-EXP(-LN(2)/2))/(LN(2)/2)*V90*Y90*VLOOKUP('Données projet'!$B$9,Paramètres!$A$1:$I$89,3,0)*0.475*44/12</f>
        <v>1.9798217405830902E-9</v>
      </c>
      <c r="AC90" s="22">
        <f t="shared" si="57"/>
        <v>149.07827045517584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292.78079999999977</v>
      </c>
      <c r="AK90" s="13">
        <f t="shared" si="89"/>
        <v>69.660903052386217</v>
      </c>
      <c r="AL90" s="20">
        <f t="shared" si="58"/>
        <v>631.25263281623893</v>
      </c>
      <c r="AM90" s="59">
        <f t="shared" si="59"/>
        <v>924.58596614957219</v>
      </c>
      <c r="AN90" s="59">
        <f ca="1">AVERAGE(OFFSET($AM$3,0,0,'Données projet'!$E$10+1,1))-AVERAGE(OFFSET($H$3,0,0,'Données projet'!$E$10+1,1))</f>
        <v>331.52724290297675</v>
      </c>
      <c r="AO90" s="59">
        <f t="shared" si="90"/>
        <v>322.79102610158054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53.654372255992079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53.654372255992079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246.8543999999998</v>
      </c>
      <c r="BF90" s="13">
        <f t="shared" si="91"/>
        <v>59.911862368716115</v>
      </c>
      <c r="BG90" s="20">
        <f t="shared" si="61"/>
        <v>534.28457362551353</v>
      </c>
      <c r="BH90" s="59">
        <f t="shared" si="62"/>
        <v>827.61790695884679</v>
      </c>
      <c r="BI90" s="59">
        <f ca="1">AVERAGE(OFFSET($BH$3,0,0,'Données projet'!$E$11+1,1))-AVERAGE(OFFSET($H$3,0,0,'Données projet'!$E$11+1,1))</f>
        <v>273.84349636755343</v>
      </c>
      <c r="BJ90" s="59">
        <f t="shared" si="92"/>
        <v>268.10688874775451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45.238000137405088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45.238000137405088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401</v>
      </c>
      <c r="BZ90" s="13">
        <f>BY90*VLOOKUP('Données projet'!$B$12,Paramètres!$A$1:$I$89,3,0)*VLOOKUP('Données projet'!$B$12,Paramètres!$A$1:$I$89,5,0)</f>
        <v>250.22399999999999</v>
      </c>
      <c r="CA90" s="13">
        <f t="shared" si="93"/>
        <v>60.633904580527918</v>
      </c>
      <c r="CB90" s="20">
        <f t="shared" si="64"/>
        <v>541.41085047775289</v>
      </c>
      <c r="CC90" s="59">
        <f t="shared" si="65"/>
        <v>834.74418381108626</v>
      </c>
      <c r="CD90" s="59">
        <f ca="1">AVERAGE(OFFSET($CC$3,0,0,'Données projet'!$E$12+1,1))-AVERAGE(OFFSET($H$3,0,0,'Données projet'!$E$12+1,1))</f>
        <v>269.77739619445515</v>
      </c>
      <c r="CE90" s="59">
        <f t="shared" si="94"/>
        <v>347.56964743629885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44.862438441878631</v>
      </c>
      <c r="CL90" s="21">
        <f>EXP(-LN(2)/25)*CL89+(1-EXP(-LN(2)/25))/(LN(2)/25)*Calculateur!CG90*Calculateur!CI90*VLOOKUP('Données projet'!$B$12,Paramètres!$A$1:$I$89,3,0)*0.475*44/12</f>
        <v>18.889511300948499</v>
      </c>
      <c r="CM90" s="21">
        <f>EXP(-LN(2)/2)*CM89+(1-EXP(-LN(2)/2))/(LN(2)/2)*CG90*CJ90*VLOOKUP('Données projet'!$B$12,Paramètres!$A$1:$I$89,3,0)*0.475*44/12</f>
        <v>6.5428625453786348E-11</v>
      </c>
      <c r="CN90" s="22">
        <f t="shared" si="66"/>
        <v>63.751949742892556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852.00000000000011</v>
      </c>
      <c r="O91" s="13">
        <f>N91*VLOOKUP('Données projet'!$B$9,Paramètres!$A$1:$I$89,3,0)*VLOOKUP('Données projet'!$B$9,Paramètres!$A$1:$I$89,5,0)</f>
        <v>420.88800000000009</v>
      </c>
      <c r="P91" s="13">
        <f t="shared" si="87"/>
        <v>95.998759891259041</v>
      </c>
      <c r="Q91" s="20">
        <f t="shared" si="54"/>
        <v>900.24444014394294</v>
      </c>
      <c r="R91" s="59">
        <f t="shared" si="55"/>
        <v>1193.5777734772762</v>
      </c>
      <c r="S91" s="59">
        <f ca="1">AVERAGE(OFFSET($R$3,0,0,'Données projet'!$E$9+1,1))-AVERAGE(OFFSET($H$3,0,0,'Données projet'!$E$9+1,1))</f>
        <v>434.08297999735811</v>
      </c>
      <c r="T91" s="59">
        <f t="shared" si="88"/>
        <v>371.04090283546122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135.71697797101788</v>
      </c>
      <c r="AA91" s="21">
        <f>EXP(-LN(2)/25)*AA90+(1-EXP(-LN(2)/25))/(LN(2)/25)*Calculateur!V91*Calculateur!X91*VLOOKUP('Données projet'!$B$9,Paramètres!$A$1:$I$89,3,0)*0.475*44/12</f>
        <v>10.355598982269099</v>
      </c>
      <c r="AB91" s="21">
        <f>EXP(-LN(2)/2)*AB90+(1-EXP(-LN(2)/2))/(LN(2)/2)*V91*Y91*VLOOKUP('Données projet'!$B$9,Paramètres!$A$1:$I$89,3,0)*0.475*44/12</f>
        <v>1.3999453783068568E-9</v>
      </c>
      <c r="AC91" s="22">
        <f t="shared" si="57"/>
        <v>146.07257695468692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292.78079999999977</v>
      </c>
      <c r="AK91" s="13">
        <f t="shared" si="89"/>
        <v>69.660903052386217</v>
      </c>
      <c r="AL91" s="20">
        <f t="shared" si="58"/>
        <v>631.25263281623893</v>
      </c>
      <c r="AM91" s="59">
        <f t="shared" si="59"/>
        <v>924.58596614957219</v>
      </c>
      <c r="AN91" s="59">
        <f ca="1">AVERAGE(OFFSET($AM$3,0,0,'Données projet'!$E$10+1,1))-AVERAGE(OFFSET($H$3,0,0,'Données projet'!$E$10+1,1))</f>
        <v>331.52724290297675</v>
      </c>
      <c r="AO91" s="59">
        <f t="shared" si="90"/>
        <v>322.79102610158054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52.60224274198773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52.60224274198773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246.8543999999998</v>
      </c>
      <c r="BF91" s="13">
        <f t="shared" si="91"/>
        <v>59.911862368716115</v>
      </c>
      <c r="BG91" s="20">
        <f t="shared" si="61"/>
        <v>534.28457362551353</v>
      </c>
      <c r="BH91" s="59">
        <f t="shared" si="62"/>
        <v>827.61790695884679</v>
      </c>
      <c r="BI91" s="59">
        <f ca="1">AVERAGE(OFFSET($BH$3,0,0,'Données projet'!$E$11+1,1))-AVERAGE(OFFSET($H$3,0,0,'Données projet'!$E$11+1,1))</f>
        <v>273.84349636755343</v>
      </c>
      <c r="BJ91" s="59">
        <f t="shared" si="92"/>
        <v>268.10688874775451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44.35091054716613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44.35091054716613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401</v>
      </c>
      <c r="BZ91" s="13">
        <f>BY91*VLOOKUP('Données projet'!$B$12,Paramètres!$A$1:$I$89,3,0)*VLOOKUP('Données projet'!$B$12,Paramètres!$A$1:$I$89,5,0)</f>
        <v>250.22399999999999</v>
      </c>
      <c r="CA91" s="13">
        <f t="shared" si="93"/>
        <v>60.633904580527918</v>
      </c>
      <c r="CB91" s="20">
        <f t="shared" si="64"/>
        <v>541.41085047775289</v>
      </c>
      <c r="CC91" s="59">
        <f t="shared" si="65"/>
        <v>834.74418381108626</v>
      </c>
      <c r="CD91" s="59">
        <f ca="1">AVERAGE(OFFSET($CC$3,0,0,'Données projet'!$E$12+1,1))-AVERAGE(OFFSET($H$3,0,0,'Données projet'!$E$12+1,1))</f>
        <v>269.77739619445515</v>
      </c>
      <c r="CE91" s="59">
        <f t="shared" si="94"/>
        <v>347.56964743629885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43.982713387418933</v>
      </c>
      <c r="CL91" s="21">
        <f>EXP(-LN(2)/25)*CL90+(1-EXP(-LN(2)/25))/(LN(2)/25)*Calculateur!CG91*Calculateur!CI91*VLOOKUP('Données projet'!$B$12,Paramètres!$A$1:$I$89,3,0)*0.475*44/12</f>
        <v>18.372976621067835</v>
      </c>
      <c r="CM91" s="21">
        <f>EXP(-LN(2)/2)*CM90+(1-EXP(-LN(2)/2))/(LN(2)/2)*CG91*CJ91*VLOOKUP('Données projet'!$B$12,Paramètres!$A$1:$I$89,3,0)*0.475*44/12</f>
        <v>4.6265024742087078E-11</v>
      </c>
      <c r="CN91" s="22">
        <f t="shared" si="66"/>
        <v>62.355690008533031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852.00000000000011</v>
      </c>
      <c r="O92" s="13">
        <f>N92*VLOOKUP('Données projet'!$B$9,Paramètres!$A$1:$I$89,3,0)*VLOOKUP('Données projet'!$B$9,Paramètres!$A$1:$I$89,5,0)</f>
        <v>420.88800000000009</v>
      </c>
      <c r="P92" s="13">
        <f t="shared" si="87"/>
        <v>95.998759891259041</v>
      </c>
      <c r="Q92" s="20">
        <f t="shared" si="54"/>
        <v>900.24444014394294</v>
      </c>
      <c r="R92" s="59">
        <f t="shared" si="55"/>
        <v>1193.5777734772762</v>
      </c>
      <c r="S92" s="59">
        <f ca="1">AVERAGE(OFFSET($R$3,0,0,'Données projet'!$E$9+1,1))-AVERAGE(OFFSET($H$3,0,0,'Données projet'!$E$9+1,1))</f>
        <v>434.08297999735811</v>
      </c>
      <c r="T92" s="59">
        <f t="shared" si="88"/>
        <v>371.04090283546122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133.05565081218901</v>
      </c>
      <c r="AA92" s="21">
        <f>EXP(-LN(2)/25)*AA91+(1-EXP(-LN(2)/25))/(LN(2)/25)*Calculateur!V92*Calculateur!X92*VLOOKUP('Données projet'!$B$9,Paramètres!$A$1:$I$89,3,0)*0.475*44/12</f>
        <v>10.072424583521668</v>
      </c>
      <c r="AB92" s="21">
        <f>EXP(-LN(2)/2)*AB91+(1-EXP(-LN(2)/2))/(LN(2)/2)*V92*Y92*VLOOKUP('Données projet'!$B$9,Paramètres!$A$1:$I$89,3,0)*0.475*44/12</f>
        <v>9.8991087029154508E-10</v>
      </c>
      <c r="AC92" s="22">
        <f t="shared" si="57"/>
        <v>143.12807539670058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292.78079999999977</v>
      </c>
      <c r="AK92" s="13">
        <f t="shared" si="89"/>
        <v>69.660903052386217</v>
      </c>
      <c r="AL92" s="20">
        <f t="shared" si="58"/>
        <v>631.25263281623893</v>
      </c>
      <c r="AM92" s="59">
        <f t="shared" si="59"/>
        <v>924.58596614957219</v>
      </c>
      <c r="AN92" s="59">
        <f ca="1">AVERAGE(OFFSET($AM$3,0,0,'Données projet'!$E$10+1,1))-AVERAGE(OFFSET($H$3,0,0,'Données projet'!$E$10+1,1))</f>
        <v>331.52724290297675</v>
      </c>
      <c r="AO92" s="59">
        <f t="shared" si="90"/>
        <v>322.79102610158054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51.570744846017369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51.570744846017369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246.8543999999998</v>
      </c>
      <c r="BF92" s="13">
        <f t="shared" si="91"/>
        <v>59.911862368716115</v>
      </c>
      <c r="BG92" s="20">
        <f t="shared" si="61"/>
        <v>534.28457362551353</v>
      </c>
      <c r="BH92" s="59">
        <f t="shared" si="62"/>
        <v>827.61790695884679</v>
      </c>
      <c r="BI92" s="59">
        <f ca="1">AVERAGE(OFFSET($BH$3,0,0,'Données projet'!$E$11+1,1))-AVERAGE(OFFSET($H$3,0,0,'Données projet'!$E$11+1,1))</f>
        <v>273.84349636755343</v>
      </c>
      <c r="BJ92" s="59">
        <f t="shared" si="92"/>
        <v>268.10688874775451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43.481216242720535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43.481216242720535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401</v>
      </c>
      <c r="BZ92" s="13">
        <f>BY92*VLOOKUP('Données projet'!$B$12,Paramètres!$A$1:$I$89,3,0)*VLOOKUP('Données projet'!$B$12,Paramètres!$A$1:$I$89,5,0)</f>
        <v>250.22399999999999</v>
      </c>
      <c r="CA92" s="13">
        <f t="shared" si="93"/>
        <v>60.633904580527918</v>
      </c>
      <c r="CB92" s="20">
        <f t="shared" si="64"/>
        <v>541.41085047775289</v>
      </c>
      <c r="CC92" s="59">
        <f t="shared" si="65"/>
        <v>834.74418381108626</v>
      </c>
      <c r="CD92" s="59">
        <f ca="1">AVERAGE(OFFSET($CC$3,0,0,'Données projet'!$E$12+1,1))-AVERAGE(OFFSET($H$3,0,0,'Données projet'!$E$12+1,1))</f>
        <v>269.77739619445515</v>
      </c>
      <c r="CE92" s="59">
        <f t="shared" si="94"/>
        <v>347.56964743629885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43.120239204697889</v>
      </c>
      <c r="CL92" s="21">
        <f>EXP(-LN(2)/25)*CL91+(1-EXP(-LN(2)/25))/(LN(2)/25)*Calculateur!CG92*Calculateur!CI92*VLOOKUP('Données projet'!$B$12,Paramètres!$A$1:$I$89,3,0)*0.475*44/12</f>
        <v>17.870566609171888</v>
      </c>
      <c r="CM92" s="21">
        <f>EXP(-LN(2)/2)*CM91+(1-EXP(-LN(2)/2))/(LN(2)/2)*CG92*CJ92*VLOOKUP('Données projet'!$B$12,Paramètres!$A$1:$I$89,3,0)*0.475*44/12</f>
        <v>3.2714312726893174E-11</v>
      </c>
      <c r="CN92" s="22">
        <f t="shared" si="66"/>
        <v>60.99080581390249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852.00000000000011</v>
      </c>
      <c r="O93" s="13">
        <f>N93*VLOOKUP('Données projet'!$B$9,Paramètres!$A$1:$I$89,3,0)*VLOOKUP('Données projet'!$B$9,Paramètres!$A$1:$I$89,5,0)</f>
        <v>420.88800000000009</v>
      </c>
      <c r="P93" s="13">
        <f t="shared" si="87"/>
        <v>95.998759891259041</v>
      </c>
      <c r="Q93" s="20">
        <f t="shared" si="54"/>
        <v>900.24444014394294</v>
      </c>
      <c r="R93" s="59">
        <f t="shared" si="55"/>
        <v>1193.5777734772762</v>
      </c>
      <c r="S93" s="59">
        <f ca="1">AVERAGE(OFFSET($R$3,0,0,'Données projet'!$E$9+1,1))-AVERAGE(OFFSET($H$3,0,0,'Données projet'!$E$9+1,1))</f>
        <v>434.08297999735811</v>
      </c>
      <c r="T93" s="59">
        <f t="shared" si="88"/>
        <v>371.04090283546122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130.4465106556955</v>
      </c>
      <c r="AA93" s="21">
        <f>EXP(-LN(2)/25)*AA92+(1-EXP(-LN(2)/25))/(LN(2)/25)*Calculateur!V93*Calculateur!X93*VLOOKUP('Données projet'!$B$9,Paramètres!$A$1:$I$89,3,0)*0.475*44/12</f>
        <v>9.7969936035994802</v>
      </c>
      <c r="AB93" s="21">
        <f>EXP(-LN(2)/2)*AB92+(1-EXP(-LN(2)/2))/(LN(2)/2)*V93*Y93*VLOOKUP('Données projet'!$B$9,Paramètres!$A$1:$I$89,3,0)*0.475*44/12</f>
        <v>6.9997268915342842E-10</v>
      </c>
      <c r="AC93" s="22">
        <f t="shared" si="57"/>
        <v>140.24350425999495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292.78079999999977</v>
      </c>
      <c r="AK93" s="13">
        <f t="shared" si="89"/>
        <v>69.660903052386217</v>
      </c>
      <c r="AL93" s="20">
        <f t="shared" si="58"/>
        <v>631.25263281623893</v>
      </c>
      <c r="AM93" s="59">
        <f t="shared" si="59"/>
        <v>924.58596614957219</v>
      </c>
      <c r="AN93" s="59">
        <f ca="1">AVERAGE(OFFSET($AM$3,0,0,'Données projet'!$E$10+1,1))-AVERAGE(OFFSET($H$3,0,0,'Données projet'!$E$10+1,1))</f>
        <v>331.52724290297675</v>
      </c>
      <c r="AO93" s="59">
        <f t="shared" si="90"/>
        <v>322.79102610158054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50.559473994635397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50.559473994635397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246.8543999999998</v>
      </c>
      <c r="BF93" s="13">
        <f t="shared" si="91"/>
        <v>59.911862368716115</v>
      </c>
      <c r="BG93" s="20">
        <f t="shared" si="61"/>
        <v>534.28457362551353</v>
      </c>
      <c r="BH93" s="59">
        <f t="shared" si="62"/>
        <v>827.61790695884679</v>
      </c>
      <c r="BI93" s="59">
        <f ca="1">AVERAGE(OFFSET($BH$3,0,0,'Données projet'!$E$11+1,1))-AVERAGE(OFFSET($H$3,0,0,'Données projet'!$E$11+1,1))</f>
        <v>273.84349636755343</v>
      </c>
      <c r="BJ93" s="59">
        <f t="shared" si="92"/>
        <v>268.10688874775451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42.62857611312397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42.62857611312397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401</v>
      </c>
      <c r="BZ93" s="13">
        <f>BY93*VLOOKUP('Données projet'!$B$12,Paramètres!$A$1:$I$89,3,0)*VLOOKUP('Données projet'!$B$12,Paramètres!$A$1:$I$89,5,0)</f>
        <v>250.22399999999999</v>
      </c>
      <c r="CA93" s="13">
        <f t="shared" si="93"/>
        <v>60.633904580527918</v>
      </c>
      <c r="CB93" s="20">
        <f t="shared" si="64"/>
        <v>541.41085047775289</v>
      </c>
      <c r="CC93" s="59">
        <f t="shared" si="65"/>
        <v>834.74418381108626</v>
      </c>
      <c r="CD93" s="59">
        <f ca="1">AVERAGE(OFFSET($CC$3,0,0,'Données projet'!$E$12+1,1))-AVERAGE(OFFSET($H$3,0,0,'Données projet'!$E$12+1,1))</f>
        <v>269.77739619445515</v>
      </c>
      <c r="CE93" s="59">
        <f t="shared" si="94"/>
        <v>347.56964743629885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42.274677614642698</v>
      </c>
      <c r="CL93" s="21">
        <f>EXP(-LN(2)/25)*CL92+(1-EXP(-LN(2)/25))/(LN(2)/25)*Calculateur!CG93*Calculateur!CI93*VLOOKUP('Données projet'!$B$12,Paramètres!$A$1:$I$89,3,0)*0.475*44/12</f>
        <v>17.381895025471827</v>
      </c>
      <c r="CM93" s="21">
        <f>EXP(-LN(2)/2)*CM92+(1-EXP(-LN(2)/2))/(LN(2)/2)*CG93*CJ93*VLOOKUP('Données projet'!$B$12,Paramètres!$A$1:$I$89,3,0)*0.475*44/12</f>
        <v>2.3132512371043539E-11</v>
      </c>
      <c r="CN93" s="22">
        <f t="shared" si="66"/>
        <v>59.656572640137661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852.00000000000011</v>
      </c>
      <c r="O94" s="13">
        <f>N94*VLOOKUP('Données projet'!$B$9,Paramètres!$A$1:$I$89,3,0)*VLOOKUP('Données projet'!$B$9,Paramètres!$A$1:$I$89,5,0)</f>
        <v>420.88800000000009</v>
      </c>
      <c r="P94" s="13">
        <f t="shared" si="87"/>
        <v>95.998759891259041</v>
      </c>
      <c r="Q94" s="20">
        <f t="shared" si="54"/>
        <v>900.24444014394294</v>
      </c>
      <c r="R94" s="59">
        <f t="shared" si="55"/>
        <v>1193.5777734772762</v>
      </c>
      <c r="S94" s="59">
        <f ca="1">AVERAGE(OFFSET($R$3,0,0,'Données projet'!$E$9+1,1))-AVERAGE(OFFSET($H$3,0,0,'Données projet'!$E$9+1,1))</f>
        <v>434.08297999735811</v>
      </c>
      <c r="T94" s="59">
        <f t="shared" si="88"/>
        <v>371.04090283546122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127.88853414625247</v>
      </c>
      <c r="AA94" s="21">
        <f>EXP(-LN(2)/25)*AA93+(1-EXP(-LN(2)/25))/(LN(2)/25)*Calculateur!V94*Calculateur!X94*VLOOKUP('Données projet'!$B$9,Paramètres!$A$1:$I$89,3,0)*0.475*44/12</f>
        <v>9.5290942983075499</v>
      </c>
      <c r="AB94" s="21">
        <f>EXP(-LN(2)/2)*AB93+(1-EXP(-LN(2)/2))/(LN(2)/2)*V94*Y94*VLOOKUP('Données projet'!$B$9,Paramètres!$A$1:$I$89,3,0)*0.475*44/12</f>
        <v>4.9495543514577254E-10</v>
      </c>
      <c r="AC94" s="22">
        <f t="shared" si="57"/>
        <v>137.41762844505499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292.78079999999977</v>
      </c>
      <c r="AK94" s="13">
        <f t="shared" si="89"/>
        <v>69.660903052386217</v>
      </c>
      <c r="AL94" s="20">
        <f t="shared" si="58"/>
        <v>631.25263281623893</v>
      </c>
      <c r="AM94" s="59">
        <f t="shared" si="59"/>
        <v>924.58596614957219</v>
      </c>
      <c r="AN94" s="59">
        <f ca="1">AVERAGE(OFFSET($AM$3,0,0,'Données projet'!$E$10+1,1))-AVERAGE(OFFSET($H$3,0,0,'Données projet'!$E$10+1,1))</f>
        <v>331.52724290297675</v>
      </c>
      <c r="AO94" s="59">
        <f t="shared" si="90"/>
        <v>322.79102610158054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49.568033547834709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49.568033547834709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246.8543999999998</v>
      </c>
      <c r="BF94" s="13">
        <f t="shared" si="91"/>
        <v>59.911862368716115</v>
      </c>
      <c r="BG94" s="20">
        <f t="shared" si="61"/>
        <v>534.28457362551353</v>
      </c>
      <c r="BH94" s="59">
        <f t="shared" si="62"/>
        <v>827.61790695884679</v>
      </c>
      <c r="BI94" s="59">
        <f ca="1">AVERAGE(OFFSET($BH$3,0,0,'Données projet'!$E$11+1,1))-AVERAGE(OFFSET($H$3,0,0,'Données projet'!$E$11+1,1))</f>
        <v>273.84349636755343</v>
      </c>
      <c r="BJ94" s="59">
        <f t="shared" si="92"/>
        <v>268.10688874775451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41.792655736409664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41.792655736409664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401</v>
      </c>
      <c r="BZ94" s="13">
        <f>BY94*VLOOKUP('Données projet'!$B$12,Paramètres!$A$1:$I$89,3,0)*VLOOKUP('Données projet'!$B$12,Paramètres!$A$1:$I$89,5,0)</f>
        <v>250.22399999999999</v>
      </c>
      <c r="CA94" s="13">
        <f t="shared" si="93"/>
        <v>60.633904580527918</v>
      </c>
      <c r="CB94" s="20">
        <f t="shared" si="64"/>
        <v>541.41085047775289</v>
      </c>
      <c r="CC94" s="59">
        <f t="shared" si="65"/>
        <v>834.74418381108626</v>
      </c>
      <c r="CD94" s="59">
        <f ca="1">AVERAGE(OFFSET($CC$3,0,0,'Données projet'!$E$12+1,1))-AVERAGE(OFFSET($H$3,0,0,'Données projet'!$E$12+1,1))</f>
        <v>269.77739619445515</v>
      </c>
      <c r="CE94" s="59">
        <f t="shared" si="94"/>
        <v>347.56964743629885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41.445696971626845</v>
      </c>
      <c r="CL94" s="21">
        <f>EXP(-LN(2)/25)*CL93+(1-EXP(-LN(2)/25))/(LN(2)/25)*Calculateur!CG94*Calculateur!CI94*VLOOKUP('Données projet'!$B$12,Paramètres!$A$1:$I$89,3,0)*0.475*44/12</f>
        <v>16.906586191926166</v>
      </c>
      <c r="CM94" s="21">
        <f>EXP(-LN(2)/2)*CM93+(1-EXP(-LN(2)/2))/(LN(2)/2)*CG94*CJ94*VLOOKUP('Données projet'!$B$12,Paramètres!$A$1:$I$89,3,0)*0.475*44/12</f>
        <v>1.6357156363446587E-11</v>
      </c>
      <c r="CN94" s="22">
        <f t="shared" si="66"/>
        <v>58.352283163569368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852.00000000000011</v>
      </c>
      <c r="O95" s="13">
        <f>N95*VLOOKUP('Données projet'!$B$9,Paramètres!$A$1:$I$89,3,0)*VLOOKUP('Données projet'!$B$9,Paramètres!$A$1:$I$89,5,0)</f>
        <v>420.88800000000009</v>
      </c>
      <c r="P95" s="13">
        <f t="shared" si="87"/>
        <v>95.998759891259041</v>
      </c>
      <c r="Q95" s="20">
        <f t="shared" si="54"/>
        <v>900.24444014394294</v>
      </c>
      <c r="R95" s="59">
        <f t="shared" si="55"/>
        <v>1193.5777734772762</v>
      </c>
      <c r="S95" s="59">
        <f ca="1">AVERAGE(OFFSET($R$3,0,0,'Données projet'!$E$9+1,1))-AVERAGE(OFFSET($H$3,0,0,'Données projet'!$E$9+1,1))</f>
        <v>434.08297999735811</v>
      </c>
      <c r="T95" s="59">
        <f t="shared" si="88"/>
        <v>371.04090283546122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125.380717995948</v>
      </c>
      <c r="AA95" s="21">
        <f>EXP(-LN(2)/25)*AA94+(1-EXP(-LN(2)/25))/(LN(2)/25)*Calculateur!V95*Calculateur!X95*VLOOKUP('Données projet'!$B$9,Paramètres!$A$1:$I$89,3,0)*0.475*44/12</f>
        <v>9.2685207136070407</v>
      </c>
      <c r="AB95" s="21">
        <f>EXP(-LN(2)/2)*AB94+(1-EXP(-LN(2)/2))/(LN(2)/2)*V95*Y95*VLOOKUP('Données projet'!$B$9,Paramètres!$A$1:$I$89,3,0)*0.475*44/12</f>
        <v>3.4998634457671421E-10</v>
      </c>
      <c r="AC95" s="22">
        <f t="shared" si="57"/>
        <v>134.64923870990503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292.78079999999977</v>
      </c>
      <c r="AK95" s="13">
        <f t="shared" si="89"/>
        <v>69.660903052386217</v>
      </c>
      <c r="AL95" s="20">
        <f t="shared" si="58"/>
        <v>631.25263281623893</v>
      </c>
      <c r="AM95" s="59">
        <f t="shared" si="59"/>
        <v>924.58596614957219</v>
      </c>
      <c r="AN95" s="59">
        <f ca="1">AVERAGE(OFFSET($AM$3,0,0,'Données projet'!$E$10+1,1))-AVERAGE(OFFSET($H$3,0,0,'Données projet'!$E$10+1,1))</f>
        <v>331.52724290297675</v>
      </c>
      <c r="AO95" s="59">
        <f t="shared" si="90"/>
        <v>322.79102610158054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48.59603464347682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48.59603464347682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246.8543999999998</v>
      </c>
      <c r="BF95" s="13">
        <f t="shared" si="91"/>
        <v>59.911862368716115</v>
      </c>
      <c r="BG95" s="20">
        <f t="shared" si="61"/>
        <v>534.28457362551353</v>
      </c>
      <c r="BH95" s="59">
        <f t="shared" si="62"/>
        <v>827.61790695884679</v>
      </c>
      <c r="BI95" s="59">
        <f ca="1">AVERAGE(OFFSET($BH$3,0,0,'Données projet'!$E$11+1,1))-AVERAGE(OFFSET($H$3,0,0,'Données projet'!$E$11+1,1))</f>
        <v>273.84349636755343</v>
      </c>
      <c r="BJ95" s="59">
        <f t="shared" si="92"/>
        <v>268.10688874775451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40.97312724842164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40.97312724842164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401</v>
      </c>
      <c r="BZ95" s="13">
        <f>BY95*VLOOKUP('Données projet'!$B$12,Paramètres!$A$1:$I$89,3,0)*VLOOKUP('Données projet'!$B$12,Paramètres!$A$1:$I$89,5,0)</f>
        <v>250.22399999999999</v>
      </c>
      <c r="CA95" s="13">
        <f t="shared" si="93"/>
        <v>60.633904580527918</v>
      </c>
      <c r="CB95" s="20">
        <f t="shared" si="64"/>
        <v>541.41085047775289</v>
      </c>
      <c r="CC95" s="59">
        <f t="shared" si="65"/>
        <v>834.74418381108626</v>
      </c>
      <c r="CD95" s="59">
        <f ca="1">AVERAGE(OFFSET($CC$3,0,0,'Données projet'!$E$12+1,1))-AVERAGE(OFFSET($H$3,0,0,'Données projet'!$E$12+1,1))</f>
        <v>269.77739619445515</v>
      </c>
      <c r="CE95" s="59">
        <f t="shared" si="94"/>
        <v>347.56964743629885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40.632972133392265</v>
      </c>
      <c r="CL95" s="21">
        <f>EXP(-LN(2)/25)*CL94+(1-EXP(-LN(2)/25))/(LN(2)/25)*Calculateur!CG95*Calculateur!CI95*VLOOKUP('Données projet'!$B$12,Paramètres!$A$1:$I$89,3,0)*0.475*44/12</f>
        <v>16.444274703429219</v>
      </c>
      <c r="CM95" s="21">
        <f>EXP(-LN(2)/2)*CM94+(1-EXP(-LN(2)/2))/(LN(2)/2)*CG95*CJ95*VLOOKUP('Données projet'!$B$12,Paramètres!$A$1:$I$89,3,0)*0.475*44/12</f>
        <v>1.156625618552177E-11</v>
      </c>
      <c r="CN95" s="22">
        <f t="shared" si="66"/>
        <v>57.077246836833055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852.00000000000011</v>
      </c>
      <c r="O96" s="13">
        <f>N96*VLOOKUP('Données projet'!$B$9,Paramètres!$A$1:$I$89,3,0)*VLOOKUP('Données projet'!$B$9,Paramètres!$A$1:$I$89,5,0)</f>
        <v>420.88800000000009</v>
      </c>
      <c r="P96" s="13">
        <f t="shared" si="87"/>
        <v>95.998759891259041</v>
      </c>
      <c r="Q96" s="20">
        <f t="shared" si="54"/>
        <v>900.24444014394294</v>
      </c>
      <c r="R96" s="59">
        <f t="shared" si="55"/>
        <v>1193.5777734772762</v>
      </c>
      <c r="S96" s="59">
        <f ca="1">AVERAGE(OFFSET($R$3,0,0,'Données projet'!$E$9+1,1))-AVERAGE(OFFSET($H$3,0,0,'Données projet'!$E$9+1,1))</f>
        <v>434.08297999735811</v>
      </c>
      <c r="T96" s="59">
        <f t="shared" si="88"/>
        <v>371.04090283546122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122.92207859073419</v>
      </c>
      <c r="AA96" s="21">
        <f>EXP(-LN(2)/25)*AA95+(1-EXP(-LN(2)/25))/(LN(2)/25)*Calculateur!V96*Calculateur!X96*VLOOKUP('Données projet'!$B$9,Paramètres!$A$1:$I$89,3,0)*0.475*44/12</f>
        <v>9.0150725272831345</v>
      </c>
      <c r="AB96" s="21">
        <f>EXP(-LN(2)/2)*AB95+(1-EXP(-LN(2)/2))/(LN(2)/2)*V96*Y96*VLOOKUP('Données projet'!$B$9,Paramètres!$A$1:$I$89,3,0)*0.475*44/12</f>
        <v>2.4747771757288627E-10</v>
      </c>
      <c r="AC96" s="22">
        <f t="shared" si="57"/>
        <v>131.93715111826478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292.78079999999977</v>
      </c>
      <c r="AK96" s="13">
        <f t="shared" si="89"/>
        <v>69.660903052386217</v>
      </c>
      <c r="AL96" s="20">
        <f t="shared" si="58"/>
        <v>631.25263281623893</v>
      </c>
      <c r="AM96" s="59">
        <f t="shared" si="59"/>
        <v>924.58596614957219</v>
      </c>
      <c r="AN96" s="59">
        <f ca="1">AVERAGE(OFFSET($AM$3,0,0,'Données projet'!$E$10+1,1))-AVERAGE(OFFSET($H$3,0,0,'Données projet'!$E$10+1,1))</f>
        <v>331.52724290297675</v>
      </c>
      <c r="AO96" s="59">
        <f t="shared" si="90"/>
        <v>322.79102610158054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47.643096044772598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47.643096044772598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246.8543999999998</v>
      </c>
      <c r="BF96" s="13">
        <f t="shared" si="91"/>
        <v>59.911862368716115</v>
      </c>
      <c r="BG96" s="20">
        <f t="shared" si="61"/>
        <v>534.28457362551353</v>
      </c>
      <c r="BH96" s="59">
        <f t="shared" si="62"/>
        <v>827.61790695884679</v>
      </c>
      <c r="BI96" s="59">
        <f ca="1">AVERAGE(OFFSET($BH$3,0,0,'Données projet'!$E$11+1,1))-AVERAGE(OFFSET($H$3,0,0,'Données projet'!$E$11+1,1))</f>
        <v>273.84349636755343</v>
      </c>
      <c r="BJ96" s="59">
        <f t="shared" si="92"/>
        <v>268.10688874775451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40.169669214220043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40.169669214220043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401</v>
      </c>
      <c r="BZ96" s="13">
        <f>BY96*VLOOKUP('Données projet'!$B$12,Paramètres!$A$1:$I$89,3,0)*VLOOKUP('Données projet'!$B$12,Paramètres!$A$1:$I$89,5,0)</f>
        <v>250.22399999999999</v>
      </c>
      <c r="CA96" s="13">
        <f t="shared" si="93"/>
        <v>60.633904580527918</v>
      </c>
      <c r="CB96" s="20">
        <f t="shared" si="64"/>
        <v>541.41085047775289</v>
      </c>
      <c r="CC96" s="59">
        <f t="shared" si="65"/>
        <v>834.74418381108626</v>
      </c>
      <c r="CD96" s="59">
        <f ca="1">AVERAGE(OFFSET($CC$3,0,0,'Données projet'!$E$12+1,1))-AVERAGE(OFFSET($H$3,0,0,'Données projet'!$E$12+1,1))</f>
        <v>269.77739619445515</v>
      </c>
      <c r="CE96" s="59">
        <f t="shared" si="94"/>
        <v>347.56964743629885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39.836184333522262</v>
      </c>
      <c r="CL96" s="21">
        <f>EXP(-LN(2)/25)*CL95+(1-EXP(-LN(2)/25))/(LN(2)/25)*Calculateur!CG96*Calculateur!CI96*VLOOKUP('Données projet'!$B$12,Paramètres!$A$1:$I$89,3,0)*0.475*44/12</f>
        <v>15.994605146897124</v>
      </c>
      <c r="CM96" s="21">
        <f>EXP(-LN(2)/2)*CM95+(1-EXP(-LN(2)/2))/(LN(2)/2)*CG96*CJ96*VLOOKUP('Données projet'!$B$12,Paramètres!$A$1:$I$89,3,0)*0.475*44/12</f>
        <v>8.1785781817232936E-12</v>
      </c>
      <c r="CN96" s="22">
        <f t="shared" si="66"/>
        <v>55.830789480427562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852.00000000000011</v>
      </c>
      <c r="O97" s="13">
        <f>N97*VLOOKUP('Données projet'!$B$9,Paramètres!$A$1:$I$89,3,0)*VLOOKUP('Données projet'!$B$9,Paramètres!$A$1:$I$89,5,0)</f>
        <v>420.88800000000009</v>
      </c>
      <c r="P97" s="13">
        <f t="shared" si="87"/>
        <v>95.998759891259041</v>
      </c>
      <c r="Q97" s="20">
        <f t="shared" si="54"/>
        <v>900.24444014394294</v>
      </c>
      <c r="R97" s="59">
        <f t="shared" si="55"/>
        <v>1193.5777734772762</v>
      </c>
      <c r="S97" s="59">
        <f ca="1">AVERAGE(OFFSET($R$3,0,0,'Données projet'!$E$9+1,1))-AVERAGE(OFFSET($H$3,0,0,'Données projet'!$E$9+1,1))</f>
        <v>434.08297999735811</v>
      </c>
      <c r="T97" s="59">
        <f t="shared" si="88"/>
        <v>371.04090283546122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120.51165160463466</v>
      </c>
      <c r="AA97" s="21">
        <f>EXP(-LN(2)/25)*AA96+(1-EXP(-LN(2)/25))/(LN(2)/25)*Calculateur!V97*Calculateur!X97*VLOOKUP('Données projet'!$B$9,Paramètres!$A$1:$I$89,3,0)*0.475*44/12</f>
        <v>8.7685548949425165</v>
      </c>
      <c r="AB97" s="21">
        <f>EXP(-LN(2)/2)*AB96+(1-EXP(-LN(2)/2))/(LN(2)/2)*V97*Y97*VLOOKUP('Données projet'!$B$9,Paramètres!$A$1:$I$89,3,0)*0.475*44/12</f>
        <v>1.749931722883571E-10</v>
      </c>
      <c r="AC97" s="22">
        <f t="shared" si="57"/>
        <v>129.28020649975218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292.78079999999977</v>
      </c>
      <c r="AK97" s="13">
        <f t="shared" si="89"/>
        <v>69.660903052386217</v>
      </c>
      <c r="AL97" s="20">
        <f t="shared" si="58"/>
        <v>631.25263281623893</v>
      </c>
      <c r="AM97" s="59">
        <f t="shared" si="59"/>
        <v>924.58596614957219</v>
      </c>
      <c r="AN97" s="59">
        <f ca="1">AVERAGE(OFFSET($AM$3,0,0,'Données projet'!$E$10+1,1))-AVERAGE(OFFSET($H$3,0,0,'Données projet'!$E$10+1,1))</f>
        <v>331.52724290297675</v>
      </c>
      <c r="AO97" s="59">
        <f t="shared" si="90"/>
        <v>322.79102610158054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46.708843990753813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46.708843990753813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246.8543999999998</v>
      </c>
      <c r="BF97" s="13">
        <f t="shared" si="91"/>
        <v>59.911862368716115</v>
      </c>
      <c r="BG97" s="20">
        <f t="shared" si="61"/>
        <v>534.28457362551353</v>
      </c>
      <c r="BH97" s="59">
        <f t="shared" si="62"/>
        <v>827.61790695884679</v>
      </c>
      <c r="BI97" s="59">
        <f ca="1">AVERAGE(OFFSET($BH$3,0,0,'Données projet'!$E$11+1,1))-AVERAGE(OFFSET($H$3,0,0,'Données projet'!$E$11+1,1))</f>
        <v>273.84349636755343</v>
      </c>
      <c r="BJ97" s="59">
        <f t="shared" si="92"/>
        <v>268.10688874775451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39.381966502008126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39.381966502008126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401</v>
      </c>
      <c r="BZ97" s="13">
        <f>BY97*VLOOKUP('Données projet'!$B$12,Paramètres!$A$1:$I$89,3,0)*VLOOKUP('Données projet'!$B$12,Paramètres!$A$1:$I$89,5,0)</f>
        <v>250.22399999999999</v>
      </c>
      <c r="CA97" s="13">
        <f t="shared" si="93"/>
        <v>60.633904580527918</v>
      </c>
      <c r="CB97" s="20">
        <f t="shared" si="64"/>
        <v>541.41085047775289</v>
      </c>
      <c r="CC97" s="59">
        <f t="shared" si="65"/>
        <v>834.74418381108626</v>
      </c>
      <c r="CD97" s="59">
        <f ca="1">AVERAGE(OFFSET($CC$3,0,0,'Données projet'!$E$12+1,1))-AVERAGE(OFFSET($H$3,0,0,'Données projet'!$E$12+1,1))</f>
        <v>269.77739619445515</v>
      </c>
      <c r="CE97" s="59">
        <f t="shared" si="94"/>
        <v>347.56964743629885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39.055021056415136</v>
      </c>
      <c r="CL97" s="21">
        <f>EXP(-LN(2)/25)*CL96+(1-EXP(-LN(2)/25))/(LN(2)/25)*Calculateur!CG97*Calculateur!CI97*VLOOKUP('Données projet'!$B$12,Paramètres!$A$1:$I$89,3,0)*0.475*44/12</f>
        <v>15.557231828035494</v>
      </c>
      <c r="CM97" s="21">
        <f>EXP(-LN(2)/2)*CM96+(1-EXP(-LN(2)/2))/(LN(2)/2)*CG97*CJ97*VLOOKUP('Données projet'!$B$12,Paramètres!$A$1:$I$89,3,0)*0.475*44/12</f>
        <v>5.7831280927608848E-12</v>
      </c>
      <c r="CN97" s="22">
        <f t="shared" si="66"/>
        <v>54.61225288445641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852.00000000000011</v>
      </c>
      <c r="O98" s="13">
        <f>N98*VLOOKUP('Données projet'!$B$9,Paramètres!$A$1:$I$89,3,0)*VLOOKUP('Données projet'!$B$9,Paramètres!$A$1:$I$89,5,0)</f>
        <v>420.88800000000009</v>
      </c>
      <c r="P98" s="13">
        <f t="shared" si="87"/>
        <v>95.998759891259041</v>
      </c>
      <c r="Q98" s="20">
        <f t="shared" si="54"/>
        <v>900.24444014394294</v>
      </c>
      <c r="R98" s="59">
        <f t="shared" si="55"/>
        <v>1193.5777734772762</v>
      </c>
      <c r="S98" s="59">
        <f ca="1">AVERAGE(OFFSET($R$3,0,0,'Données projet'!$E$9+1,1))-AVERAGE(OFFSET($H$3,0,0,'Données projet'!$E$9+1,1))</f>
        <v>434.08297999735811</v>
      </c>
      <c r="T98" s="59">
        <f t="shared" si="88"/>
        <v>371.04090283546122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118.14849162151725</v>
      </c>
      <c r="AA98" s="21">
        <f>EXP(-LN(2)/25)*AA97+(1-EXP(-LN(2)/25))/(LN(2)/25)*Calculateur!V98*Calculateur!X98*VLOOKUP('Données projet'!$B$9,Paramètres!$A$1:$I$89,3,0)*0.475*44/12</f>
        <v>8.5287783002220525</v>
      </c>
      <c r="AB98" s="21">
        <f>EXP(-LN(2)/2)*AB97+(1-EXP(-LN(2)/2))/(LN(2)/2)*V98*Y98*VLOOKUP('Données projet'!$B$9,Paramètres!$A$1:$I$89,3,0)*0.475*44/12</f>
        <v>1.2373885878644313E-10</v>
      </c>
      <c r="AC98" s="22">
        <f t="shared" si="57"/>
        <v>126.67726992186304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292.78079999999977</v>
      </c>
      <c r="AK98" s="13">
        <f t="shared" si="89"/>
        <v>69.660903052386217</v>
      </c>
      <c r="AL98" s="20">
        <f t="shared" si="58"/>
        <v>631.25263281623893</v>
      </c>
      <c r="AM98" s="59">
        <f t="shared" si="59"/>
        <v>924.58596614957219</v>
      </c>
      <c r="AN98" s="59">
        <f ca="1">AVERAGE(OFFSET($AM$3,0,0,'Données projet'!$E$10+1,1))-AVERAGE(OFFSET($H$3,0,0,'Données projet'!$E$10+1,1))</f>
        <v>331.52724290297675</v>
      </c>
      <c r="AO98" s="59">
        <f t="shared" si="90"/>
        <v>322.79102610158054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45.79291204967685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45.79291204967685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246.8543999999998</v>
      </c>
      <c r="BF98" s="13">
        <f t="shared" si="91"/>
        <v>59.911862368716115</v>
      </c>
      <c r="BG98" s="20">
        <f t="shared" si="61"/>
        <v>534.28457362551353</v>
      </c>
      <c r="BH98" s="59">
        <f t="shared" si="62"/>
        <v>827.61790695884679</v>
      </c>
      <c r="BI98" s="59">
        <f ca="1">AVERAGE(OFFSET($BH$3,0,0,'Données projet'!$E$11+1,1))-AVERAGE(OFFSET($H$3,0,0,'Données projet'!$E$11+1,1))</f>
        <v>273.84349636755343</v>
      </c>
      <c r="BJ98" s="59">
        <f t="shared" si="92"/>
        <v>268.10688874775451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38.609710159531474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38.609710159531474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401</v>
      </c>
      <c r="BZ98" s="13">
        <f>BY98*VLOOKUP('Données projet'!$B$12,Paramètres!$A$1:$I$89,3,0)*VLOOKUP('Données projet'!$B$12,Paramètres!$A$1:$I$89,5,0)</f>
        <v>250.22399999999999</v>
      </c>
      <c r="CA98" s="13">
        <f t="shared" si="93"/>
        <v>60.633904580527918</v>
      </c>
      <c r="CB98" s="20">
        <f t="shared" si="64"/>
        <v>541.41085047775289</v>
      </c>
      <c r="CC98" s="59">
        <f t="shared" si="65"/>
        <v>834.74418381108626</v>
      </c>
      <c r="CD98" s="59">
        <f ca="1">AVERAGE(OFFSET($CC$3,0,0,'Données projet'!$E$12+1,1))-AVERAGE(OFFSET($H$3,0,0,'Données projet'!$E$12+1,1))</f>
        <v>269.77739619445515</v>
      </c>
      <c r="CE98" s="59">
        <f t="shared" si="94"/>
        <v>347.56964743629885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38.289175914709531</v>
      </c>
      <c r="CL98" s="21">
        <f>EXP(-LN(2)/25)*CL97+(1-EXP(-LN(2)/25))/(LN(2)/25)*Calculateur!CG98*Calculateur!CI98*VLOOKUP('Données projet'!$B$12,Paramètres!$A$1:$I$89,3,0)*0.475*44/12</f>
        <v>15.131818505578599</v>
      </c>
      <c r="CM98" s="21">
        <f>EXP(-LN(2)/2)*CM97+(1-EXP(-LN(2)/2))/(LN(2)/2)*CG98*CJ98*VLOOKUP('Données projet'!$B$12,Paramètres!$A$1:$I$89,3,0)*0.475*44/12</f>
        <v>4.0892890908616468E-12</v>
      </c>
      <c r="CN98" s="22">
        <f t="shared" si="66"/>
        <v>53.420994420292224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852.00000000000011</v>
      </c>
      <c r="O99" s="13">
        <f>N99*VLOOKUP('Données projet'!$B$9,Paramètres!$A$1:$I$89,3,0)*VLOOKUP('Données projet'!$B$9,Paramètres!$A$1:$I$89,5,0)</f>
        <v>420.88800000000009</v>
      </c>
      <c r="P99" s="13">
        <f t="shared" si="87"/>
        <v>95.998759891259041</v>
      </c>
      <c r="Q99" s="20">
        <f t="shared" ref="Q99:Q130" si="107">(O99+P99)*0.475*44/12</f>
        <v>900.24444014394294</v>
      </c>
      <c r="R99" s="59">
        <f t="shared" si="55"/>
        <v>1193.5777734772762</v>
      </c>
      <c r="S99" s="59">
        <f ca="1">AVERAGE(OFFSET($R$3,0,0,'Données projet'!$E$9+1,1))-AVERAGE(OFFSET($H$3,0,0,'Données projet'!$E$9+1,1))</f>
        <v>434.08297999735811</v>
      </c>
      <c r="T99" s="59">
        <f t="shared" si="88"/>
        <v>371.04090283546122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115.83167176428351</v>
      </c>
      <c r="AA99" s="21">
        <f>EXP(-LN(2)/25)*AA98+(1-EXP(-LN(2)/25))/(LN(2)/25)*Calculateur!V99*Calculateur!X99*VLOOKUP('Données projet'!$B$9,Paramètres!$A$1:$I$89,3,0)*0.475*44/12</f>
        <v>8.2955584090935233</v>
      </c>
      <c r="AB99" s="21">
        <f>EXP(-LN(2)/2)*AB98+(1-EXP(-LN(2)/2))/(LN(2)/2)*V99*Y99*VLOOKUP('Données projet'!$B$9,Paramètres!$A$1:$I$89,3,0)*0.475*44/12</f>
        <v>8.7496586144178552E-11</v>
      </c>
      <c r="AC99" s="22">
        <f t="shared" si="57"/>
        <v>124.12723017346453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292.78079999999977</v>
      </c>
      <c r="AK99" s="13">
        <f t="shared" si="89"/>
        <v>69.660903052386217</v>
      </c>
      <c r="AL99" s="20">
        <f t="shared" si="58"/>
        <v>631.25263281623893</v>
      </c>
      <c r="AM99" s="59">
        <f t="shared" si="59"/>
        <v>924.58596614957219</v>
      </c>
      <c r="AN99" s="59">
        <f ca="1">AVERAGE(OFFSET($AM$3,0,0,'Données projet'!$E$10+1,1))-AVERAGE(OFFSET($H$3,0,0,'Données projet'!$E$10+1,1))</f>
        <v>331.52724290297675</v>
      </c>
      <c r="AO99" s="59">
        <f t="shared" si="90"/>
        <v>322.79102610158054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44.89494097530109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44.89494097530109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246.8543999999998</v>
      </c>
      <c r="BF99" s="13">
        <f t="shared" si="91"/>
        <v>59.911862368716115</v>
      </c>
      <c r="BG99" s="20">
        <f t="shared" si="61"/>
        <v>534.28457362551353</v>
      </c>
      <c r="BH99" s="59">
        <f t="shared" si="62"/>
        <v>827.61790695884679</v>
      </c>
      <c r="BI99" s="59">
        <f ca="1">AVERAGE(OFFSET($BH$3,0,0,'Données projet'!$E$11+1,1))-AVERAGE(OFFSET($H$3,0,0,'Données projet'!$E$11+1,1))</f>
        <v>273.84349636755343</v>
      </c>
      <c r="BJ99" s="59">
        <f t="shared" si="92"/>
        <v>268.10688874775451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37.852597292900931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37.852597292900931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401</v>
      </c>
      <c r="BZ99" s="13">
        <f>BY99*VLOOKUP('Données projet'!$B$12,Paramètres!$A$1:$I$89,3,0)*VLOOKUP('Données projet'!$B$12,Paramètres!$A$1:$I$89,5,0)</f>
        <v>250.22399999999999</v>
      </c>
      <c r="CA99" s="13">
        <f t="shared" si="93"/>
        <v>60.633904580527918</v>
      </c>
      <c r="CB99" s="20">
        <f t="shared" si="64"/>
        <v>541.41085047775289</v>
      </c>
      <c r="CC99" s="59">
        <f t="shared" si="65"/>
        <v>834.74418381108626</v>
      </c>
      <c r="CD99" s="59">
        <f ca="1">AVERAGE(OFFSET($CC$3,0,0,'Données projet'!$E$12+1,1))-AVERAGE(OFFSET($H$3,0,0,'Données projet'!$E$12+1,1))</f>
        <v>269.77739619445515</v>
      </c>
      <c r="CE99" s="59">
        <f t="shared" si="94"/>
        <v>347.56964743629885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37.538348529113364</v>
      </c>
      <c r="CL99" s="21">
        <f>EXP(-LN(2)/25)*CL98+(1-EXP(-LN(2)/25))/(LN(2)/25)*Calculateur!CG99*Calculateur!CI99*VLOOKUP('Données projet'!$B$12,Paramètres!$A$1:$I$89,3,0)*0.475*44/12</f>
        <v>14.718038132795801</v>
      </c>
      <c r="CM99" s="21">
        <f>EXP(-LN(2)/2)*CM98+(1-EXP(-LN(2)/2))/(LN(2)/2)*CG99*CJ99*VLOOKUP('Données projet'!$B$12,Paramètres!$A$1:$I$89,3,0)*0.475*44/12</f>
        <v>2.8915640463804424E-12</v>
      </c>
      <c r="CN99" s="22">
        <f t="shared" si="66"/>
        <v>52.256386661912053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852.00000000000011</v>
      </c>
      <c r="O100" s="13">
        <f>N100*VLOOKUP('Données projet'!$B$9,Paramètres!$A$1:$I$89,3,0)*VLOOKUP('Données projet'!$B$9,Paramètres!$A$1:$I$89,5,0)</f>
        <v>420.88800000000009</v>
      </c>
      <c r="P100" s="13">
        <f t="shared" si="87"/>
        <v>95.998759891259041</v>
      </c>
      <c r="Q100" s="20">
        <f t="shared" si="107"/>
        <v>900.24444014394294</v>
      </c>
      <c r="R100" s="59">
        <f t="shared" si="55"/>
        <v>1193.5777734772762</v>
      </c>
      <c r="S100" s="59">
        <f ca="1">AVERAGE(OFFSET($R$3,0,0,'Données projet'!$E$9+1,1))-AVERAGE(OFFSET($H$3,0,0,'Données projet'!$E$9+1,1))</f>
        <v>434.08297999735811</v>
      </c>
      <c r="T100" s="59">
        <f t="shared" si="88"/>
        <v>371.04090283546122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113.56028333132954</v>
      </c>
      <c r="AA100" s="21">
        <f>EXP(-LN(2)/25)*AA99+(1-EXP(-LN(2)/25))/(LN(2)/25)*Calculateur!V100*Calculateur!X100*VLOOKUP('Données projet'!$B$9,Paramètres!$A$1:$I$89,3,0)*0.475*44/12</f>
        <v>8.0687159281524039</v>
      </c>
      <c r="AB100" s="21">
        <f>EXP(-LN(2)/2)*AB99+(1-EXP(-LN(2)/2))/(LN(2)/2)*V100*Y100*VLOOKUP('Données projet'!$B$9,Paramètres!$A$1:$I$89,3,0)*0.475*44/12</f>
        <v>6.1869429393221567E-11</v>
      </c>
      <c r="AC100" s="22">
        <f t="shared" si="57"/>
        <v>121.62899925954382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292.78079999999977</v>
      </c>
      <c r="AK100" s="13">
        <f t="shared" si="89"/>
        <v>69.660903052386217</v>
      </c>
      <c r="AL100" s="20">
        <f t="shared" si="58"/>
        <v>631.25263281623893</v>
      </c>
      <c r="AM100" s="59">
        <f t="shared" si="59"/>
        <v>924.58596614957219</v>
      </c>
      <c r="AN100" s="59">
        <f ca="1">AVERAGE(OFFSET($AM$3,0,0,'Données projet'!$E$10+1,1))-AVERAGE(OFFSET($H$3,0,0,'Données projet'!$E$10+1,1))</f>
        <v>331.52724290297675</v>
      </c>
      <c r="AO100" s="59">
        <f t="shared" si="90"/>
        <v>322.79102610158054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44.014578565985566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44.014578565985566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246.8543999999998</v>
      </c>
      <c r="BF100" s="13">
        <f t="shared" si="91"/>
        <v>59.911862368716115</v>
      </c>
      <c r="BG100" s="20">
        <f t="shared" si="61"/>
        <v>534.28457362551353</v>
      </c>
      <c r="BH100" s="59">
        <f t="shared" si="62"/>
        <v>827.61790695884679</v>
      </c>
      <c r="BI100" s="59">
        <f ca="1">AVERAGE(OFFSET($BH$3,0,0,'Données projet'!$E$11+1,1))-AVERAGE(OFFSET($H$3,0,0,'Données projet'!$E$11+1,1))</f>
        <v>273.84349636755343</v>
      </c>
      <c r="BJ100" s="59">
        <f t="shared" si="92"/>
        <v>268.10688874775451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37.110330947791759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37.110330947791759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401</v>
      </c>
      <c r="BZ100" s="13">
        <f>BY100*VLOOKUP('Données projet'!$B$12,Paramètres!$A$1:$I$89,3,0)*VLOOKUP('Données projet'!$B$12,Paramètres!$A$1:$I$89,5,0)</f>
        <v>250.22399999999999</v>
      </c>
      <c r="CA100" s="13">
        <f t="shared" si="93"/>
        <v>60.633904580527918</v>
      </c>
      <c r="CB100" s="20">
        <f t="shared" si="64"/>
        <v>541.41085047775289</v>
      </c>
      <c r="CC100" s="59">
        <f t="shared" si="65"/>
        <v>834.74418381108626</v>
      </c>
      <c r="CD100" s="59">
        <f ca="1">AVERAGE(OFFSET($CC$3,0,0,'Données projet'!$E$12+1,1))-AVERAGE(OFFSET($H$3,0,0,'Données projet'!$E$12+1,1))</f>
        <v>269.77739619445515</v>
      </c>
      <c r="CE100" s="59">
        <f t="shared" si="94"/>
        <v>347.56964743629885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36.802244410589246</v>
      </c>
      <c r="CL100" s="21">
        <f>EXP(-LN(2)/25)*CL99+(1-EXP(-LN(2)/25))/(LN(2)/25)*Calculateur!CG100*Calculateur!CI100*VLOOKUP('Données projet'!$B$12,Paramètres!$A$1:$I$89,3,0)*0.475*44/12</f>
        <v>14.315572606066512</v>
      </c>
      <c r="CM100" s="21">
        <f>EXP(-LN(2)/2)*CM99+(1-EXP(-LN(2)/2))/(LN(2)/2)*CG100*CJ100*VLOOKUP('Données projet'!$B$12,Paramètres!$A$1:$I$89,3,0)*0.475*44/12</f>
        <v>2.0446445454308234E-12</v>
      </c>
      <c r="CN100" s="22">
        <f t="shared" si="66"/>
        <v>51.117817016657803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852.00000000000011</v>
      </c>
      <c r="O101" s="13">
        <f>N101*VLOOKUP('Données projet'!$B$9,Paramètres!$A$1:$I$89,3,0)*VLOOKUP('Données projet'!$B$9,Paramètres!$A$1:$I$89,5,0)</f>
        <v>420.88800000000009</v>
      </c>
      <c r="P101" s="13">
        <f t="shared" si="87"/>
        <v>95.998759891259041</v>
      </c>
      <c r="Q101" s="20">
        <f t="shared" si="107"/>
        <v>900.24444014394294</v>
      </c>
      <c r="R101" s="59">
        <f t="shared" si="55"/>
        <v>1193.5777734772762</v>
      </c>
      <c r="S101" s="59">
        <f ca="1">AVERAGE(OFFSET($R$3,0,0,'Données projet'!$E$9+1,1))-AVERAGE(OFFSET($H$3,0,0,'Données projet'!$E$9+1,1))</f>
        <v>434.08297999735811</v>
      </c>
      <c r="T101" s="59">
        <f t="shared" si="88"/>
        <v>371.04090283546122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111.33343544013566</v>
      </c>
      <c r="AA101" s="21">
        <f>EXP(-LN(2)/25)*AA100+(1-EXP(-LN(2)/25))/(LN(2)/25)*Calculateur!V101*Calculateur!X101*VLOOKUP('Données projet'!$B$9,Paramètres!$A$1:$I$89,3,0)*0.475*44/12</f>
        <v>7.8480764667817473</v>
      </c>
      <c r="AB101" s="21">
        <f>EXP(-LN(2)/2)*AB100+(1-EXP(-LN(2)/2))/(LN(2)/2)*V101*Y101*VLOOKUP('Données projet'!$B$9,Paramètres!$A$1:$I$89,3,0)*0.475*44/12</f>
        <v>4.3748293072089276E-11</v>
      </c>
      <c r="AC101" s="22">
        <f t="shared" si="57"/>
        <v>119.18151190696116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292.78079999999977</v>
      </c>
      <c r="AK101" s="13">
        <f t="shared" si="89"/>
        <v>69.660903052386217</v>
      </c>
      <c r="AL101" s="20">
        <f t="shared" si="58"/>
        <v>631.25263281623893</v>
      </c>
      <c r="AM101" s="59">
        <f t="shared" si="59"/>
        <v>924.58596614957219</v>
      </c>
      <c r="AN101" s="59">
        <f ca="1">AVERAGE(OFFSET($AM$3,0,0,'Données projet'!$E$10+1,1))-AVERAGE(OFFSET($H$3,0,0,'Données projet'!$E$10+1,1))</f>
        <v>331.52724290297675</v>
      </c>
      <c r="AO101" s="59">
        <f t="shared" si="90"/>
        <v>322.79102610158054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43.15147952654867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43.15147952654867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246.8543999999998</v>
      </c>
      <c r="BF101" s="13">
        <f t="shared" si="91"/>
        <v>59.911862368716115</v>
      </c>
      <c r="BG101" s="20">
        <f t="shared" si="61"/>
        <v>534.28457362551353</v>
      </c>
      <c r="BH101" s="59">
        <f t="shared" si="62"/>
        <v>827.61790695884679</v>
      </c>
      <c r="BI101" s="59">
        <f ca="1">AVERAGE(OFFSET($BH$3,0,0,'Données projet'!$E$11+1,1))-AVERAGE(OFFSET($H$3,0,0,'Données projet'!$E$11+1,1))</f>
        <v>273.84349636755343</v>
      </c>
      <c r="BJ101" s="59">
        <f t="shared" si="92"/>
        <v>268.10688874775451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36.382619992972415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36.382619992972415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401</v>
      </c>
      <c r="BZ101" s="13">
        <f>BY101*VLOOKUP('Données projet'!$B$12,Paramètres!$A$1:$I$89,3,0)*VLOOKUP('Données projet'!$B$12,Paramètres!$A$1:$I$89,5,0)</f>
        <v>250.22399999999999</v>
      </c>
      <c r="CA101" s="13">
        <f t="shared" si="93"/>
        <v>60.633904580527918</v>
      </c>
      <c r="CB101" s="20">
        <f t="shared" si="64"/>
        <v>541.41085047775289</v>
      </c>
      <c r="CC101" s="59">
        <f t="shared" si="65"/>
        <v>834.74418381108626</v>
      </c>
      <c r="CD101" s="59">
        <f ca="1">AVERAGE(OFFSET($CC$3,0,0,'Données projet'!$E$12+1,1))-AVERAGE(OFFSET($H$3,0,0,'Données projet'!$E$12+1,1))</f>
        <v>269.77739619445515</v>
      </c>
      <c r="CE101" s="59">
        <f t="shared" si="94"/>
        <v>347.56964743629885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36.080574844850211</v>
      </c>
      <c r="CL101" s="21">
        <f>EXP(-LN(2)/25)*CL100+(1-EXP(-LN(2)/25))/(LN(2)/25)*Calculateur!CG101*Calculateur!CI101*VLOOKUP('Données projet'!$B$12,Paramètres!$A$1:$I$89,3,0)*0.475*44/12</f>
        <v>13.924112520330379</v>
      </c>
      <c r="CM101" s="21">
        <f>EXP(-LN(2)/2)*CM100+(1-EXP(-LN(2)/2))/(LN(2)/2)*CG101*CJ101*VLOOKUP('Données projet'!$B$12,Paramètres!$A$1:$I$89,3,0)*0.475*44/12</f>
        <v>1.4457820231902212E-12</v>
      </c>
      <c r="CN101" s="22">
        <f t="shared" si="66"/>
        <v>50.004687365182029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852.00000000000011</v>
      </c>
      <c r="O102" s="13">
        <f>N102*VLOOKUP('Données projet'!$B$9,Paramètres!$A$1:$I$89,3,0)*VLOOKUP('Données projet'!$B$9,Paramètres!$A$1:$I$89,5,0)</f>
        <v>420.88800000000009</v>
      </c>
      <c r="P102" s="13">
        <f t="shared" si="87"/>
        <v>95.998759891259041</v>
      </c>
      <c r="Q102" s="20">
        <f t="shared" si="107"/>
        <v>900.24444014394294</v>
      </c>
      <c r="R102" s="59">
        <f t="shared" si="55"/>
        <v>1193.5777734772762</v>
      </c>
      <c r="S102" s="59">
        <f ca="1">AVERAGE(OFFSET($R$3,0,0,'Données projet'!$E$9+1,1))-AVERAGE(OFFSET($H$3,0,0,'Données projet'!$E$9+1,1))</f>
        <v>434.08297999735811</v>
      </c>
      <c r="T102" s="59">
        <f t="shared" si="88"/>
        <v>371.04090283546122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109.15025467784498</v>
      </c>
      <c r="AA102" s="21">
        <f>EXP(-LN(2)/25)*AA101+(1-EXP(-LN(2)/25))/(LN(2)/25)*Calculateur!V102*Calculateur!X102*VLOOKUP('Données projet'!$B$9,Paramètres!$A$1:$I$89,3,0)*0.475*44/12</f>
        <v>7.6334704030851963</v>
      </c>
      <c r="AB102" s="21">
        <f>EXP(-LN(2)/2)*AB101+(1-EXP(-LN(2)/2))/(LN(2)/2)*V102*Y102*VLOOKUP('Données projet'!$B$9,Paramètres!$A$1:$I$89,3,0)*0.475*44/12</f>
        <v>3.0934714696610784E-11</v>
      </c>
      <c r="AC102" s="22">
        <f t="shared" si="57"/>
        <v>116.78372508096112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292.78079999999977</v>
      </c>
      <c r="AK102" s="13">
        <f t="shared" si="89"/>
        <v>69.660903052386217</v>
      </c>
      <c r="AL102" s="20">
        <f t="shared" si="58"/>
        <v>631.25263281623893</v>
      </c>
      <c r="AM102" s="59">
        <f t="shared" si="59"/>
        <v>924.58596614957219</v>
      </c>
      <c r="AN102" s="59">
        <f ca="1">AVERAGE(OFFSET($AM$3,0,0,'Données projet'!$E$10+1,1))-AVERAGE(OFFSET($H$3,0,0,'Données projet'!$E$10+1,1))</f>
        <v>331.52724290297675</v>
      </c>
      <c r="AO102" s="59">
        <f t="shared" si="90"/>
        <v>322.79102610158054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42.305305332836696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42.305305332836696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246.8543999999998</v>
      </c>
      <c r="BF102" s="13">
        <f t="shared" si="91"/>
        <v>59.911862368716115</v>
      </c>
      <c r="BG102" s="20">
        <f t="shared" si="61"/>
        <v>534.28457362551353</v>
      </c>
      <c r="BH102" s="59">
        <f t="shared" si="62"/>
        <v>827.61790695884679</v>
      </c>
      <c r="BI102" s="59">
        <f ca="1">AVERAGE(OFFSET($BH$3,0,0,'Données projet'!$E$11+1,1))-AVERAGE(OFFSET($H$3,0,0,'Données projet'!$E$11+1,1))</f>
        <v>273.84349636755343</v>
      </c>
      <c r="BJ102" s="59">
        <f t="shared" si="92"/>
        <v>268.10688874775451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35.669179006117226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35.669179006117226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401</v>
      </c>
      <c r="BZ102" s="13">
        <f>BY102*VLOOKUP('Données projet'!$B$12,Paramètres!$A$1:$I$89,3,0)*VLOOKUP('Données projet'!$B$12,Paramètres!$A$1:$I$89,5,0)</f>
        <v>250.22399999999999</v>
      </c>
      <c r="CA102" s="13">
        <f t="shared" si="93"/>
        <v>60.633904580527918</v>
      </c>
      <c r="CB102" s="20">
        <f t="shared" si="64"/>
        <v>541.41085047775289</v>
      </c>
      <c r="CC102" s="59">
        <f t="shared" si="65"/>
        <v>834.74418381108626</v>
      </c>
      <c r="CD102" s="59">
        <f ca="1">AVERAGE(OFFSET($CC$3,0,0,'Données projet'!$E$12+1,1))-AVERAGE(OFFSET($H$3,0,0,'Données projet'!$E$12+1,1))</f>
        <v>269.77739619445515</v>
      </c>
      <c r="CE102" s="59">
        <f t="shared" si="94"/>
        <v>347.56964743629885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35.373056779120347</v>
      </c>
      <c r="CL102" s="21">
        <f>EXP(-LN(2)/25)*CL101+(1-EXP(-LN(2)/25))/(LN(2)/25)*Calculateur!CG102*Calculateur!CI102*VLOOKUP('Données projet'!$B$12,Paramètres!$A$1:$I$89,3,0)*0.475*44/12</f>
        <v>13.543356931224691</v>
      </c>
      <c r="CM102" s="21">
        <f>EXP(-LN(2)/2)*CM101+(1-EXP(-LN(2)/2))/(LN(2)/2)*CG102*CJ102*VLOOKUP('Données projet'!$B$12,Paramètres!$A$1:$I$89,3,0)*0.475*44/12</f>
        <v>1.0223222727154117E-12</v>
      </c>
      <c r="CN102" s="22">
        <f t="shared" si="66"/>
        <v>48.916413710346063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852.00000000000011</v>
      </c>
      <c r="O103" s="13">
        <f>N103*VLOOKUP('Données projet'!$B$9,Paramètres!$A$1:$I$89,3,0)*VLOOKUP('Données projet'!$B$9,Paramètres!$A$1:$I$89,5,0)</f>
        <v>420.88800000000009</v>
      </c>
      <c r="P103" s="13">
        <f t="shared" si="87"/>
        <v>95.998759891259041</v>
      </c>
      <c r="Q103" s="20">
        <f t="shared" si="107"/>
        <v>900.24444014394294</v>
      </c>
      <c r="R103" s="59">
        <f t="shared" si="55"/>
        <v>1193.5777734772762</v>
      </c>
      <c r="S103" s="59">
        <f ca="1">AVERAGE(OFFSET($R$3,0,0,'Données projet'!$E$9+1,1))-AVERAGE(OFFSET($H$3,0,0,'Données projet'!$E$9+1,1))</f>
        <v>434.08297999735811</v>
      </c>
      <c r="T103" s="59">
        <f t="shared" si="88"/>
        <v>371.04090283546122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107.00988475869406</v>
      </c>
      <c r="AA103" s="21">
        <f>EXP(-LN(2)/25)*AA102+(1-EXP(-LN(2)/25))/(LN(2)/25)*Calculateur!V103*Calculateur!X103*VLOOKUP('Données projet'!$B$9,Paramètres!$A$1:$I$89,3,0)*0.475*44/12</f>
        <v>7.4247327534860696</v>
      </c>
      <c r="AB103" s="21">
        <f>EXP(-LN(2)/2)*AB102+(1-EXP(-LN(2)/2))/(LN(2)/2)*V103*Y103*VLOOKUP('Données projet'!$B$9,Paramètres!$A$1:$I$89,3,0)*0.475*44/12</f>
        <v>2.1874146536044638E-11</v>
      </c>
      <c r="AC103" s="22">
        <f t="shared" si="57"/>
        <v>114.434617512202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292.78079999999977</v>
      </c>
      <c r="AK103" s="13">
        <f t="shared" si="89"/>
        <v>69.660903052386217</v>
      </c>
      <c r="AL103" s="20">
        <f t="shared" si="58"/>
        <v>631.25263281623893</v>
      </c>
      <c r="AM103" s="59">
        <f t="shared" si="59"/>
        <v>924.58596614957219</v>
      </c>
      <c r="AN103" s="59">
        <f ca="1">AVERAGE(OFFSET($AM$3,0,0,'Données projet'!$E$10+1,1))-AVERAGE(OFFSET($H$3,0,0,'Données projet'!$E$10+1,1))</f>
        <v>331.52724290297675</v>
      </c>
      <c r="AO103" s="59">
        <f t="shared" si="90"/>
        <v>322.79102610158054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41.47572409894812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41.47572409894812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246.8543999999998</v>
      </c>
      <c r="BF103" s="13">
        <f t="shared" si="91"/>
        <v>59.911862368716115</v>
      </c>
      <c r="BG103" s="20">
        <f t="shared" si="61"/>
        <v>534.28457362551353</v>
      </c>
      <c r="BH103" s="59">
        <f t="shared" si="62"/>
        <v>827.61790695884679</v>
      </c>
      <c r="BI103" s="59">
        <f ca="1">AVERAGE(OFFSET($BH$3,0,0,'Données projet'!$E$11+1,1))-AVERAGE(OFFSET($H$3,0,0,'Données projet'!$E$11+1,1))</f>
        <v>273.84349636755343</v>
      </c>
      <c r="BJ103" s="59">
        <f t="shared" si="92"/>
        <v>268.10688874775451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34.969728161858228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34.969728161858228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401</v>
      </c>
      <c r="BZ103" s="13">
        <f>BY103*VLOOKUP('Données projet'!$B$12,Paramètres!$A$1:$I$89,3,0)*VLOOKUP('Données projet'!$B$12,Paramètres!$A$1:$I$89,5,0)</f>
        <v>250.22399999999999</v>
      </c>
      <c r="CA103" s="13">
        <f t="shared" si="93"/>
        <v>60.633904580527918</v>
      </c>
      <c r="CB103" s="20">
        <f t="shared" si="64"/>
        <v>541.41085047775289</v>
      </c>
      <c r="CC103" s="59">
        <f t="shared" si="65"/>
        <v>834.74418381108626</v>
      </c>
      <c r="CD103" s="59">
        <f ca="1">AVERAGE(OFFSET($CC$3,0,0,'Données projet'!$E$12+1,1))-AVERAGE(OFFSET($H$3,0,0,'Données projet'!$E$12+1,1))</f>
        <v>269.77739619445515</v>
      </c>
      <c r="CE103" s="59">
        <f t="shared" si="94"/>
        <v>347.56964743629885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34.679412711116036</v>
      </c>
      <c r="CL103" s="21">
        <f>EXP(-LN(2)/25)*CL102+(1-EXP(-LN(2)/25))/(LN(2)/25)*Calculateur!CG103*Calculateur!CI103*VLOOKUP('Données projet'!$B$12,Paramètres!$A$1:$I$89,3,0)*0.475*44/12</f>
        <v>13.173013123726165</v>
      </c>
      <c r="CM103" s="21">
        <f>EXP(-LN(2)/2)*CM102+(1-EXP(-LN(2)/2))/(LN(2)/2)*CG103*CJ103*VLOOKUP('Données projet'!$B$12,Paramètres!$A$1:$I$89,3,0)*0.475*44/12</f>
        <v>7.228910115951106E-13</v>
      </c>
      <c r="CN103" s="22">
        <f t="shared" si="66"/>
        <v>47.852425834842926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852.00000000000011</v>
      </c>
      <c r="O104" s="13">
        <f>N104*VLOOKUP('Données projet'!$B$9,Paramètres!$A$1:$I$89,3,0)*VLOOKUP('Données projet'!$B$9,Paramètres!$A$1:$I$89,5,0)</f>
        <v>420.88800000000009</v>
      </c>
      <c r="P104" s="13">
        <f t="shared" si="87"/>
        <v>95.998759891259041</v>
      </c>
      <c r="Q104" s="20">
        <f t="shared" si="107"/>
        <v>900.24444014394294</v>
      </c>
      <c r="R104" s="59">
        <f t="shared" si="55"/>
        <v>1193.5777734772762</v>
      </c>
      <c r="S104" s="59">
        <f ca="1">AVERAGE(OFFSET($R$3,0,0,'Données projet'!$E$9+1,1))-AVERAGE(OFFSET($H$3,0,0,'Données projet'!$E$9+1,1))</f>
        <v>434.08297999735811</v>
      </c>
      <c r="T104" s="59">
        <f t="shared" si="88"/>
        <v>371.04090283546122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104.91148618816094</v>
      </c>
      <c r="AA104" s="21">
        <f>EXP(-LN(2)/25)*AA103+(1-EXP(-LN(2)/25))/(LN(2)/25)*Calculateur!V104*Calculateur!X104*VLOOKUP('Données projet'!$B$9,Paramètres!$A$1:$I$89,3,0)*0.475*44/12</f>
        <v>7.2217030458922666</v>
      </c>
      <c r="AB104" s="21">
        <f>EXP(-LN(2)/2)*AB103+(1-EXP(-LN(2)/2))/(LN(2)/2)*V104*Y104*VLOOKUP('Données projet'!$B$9,Paramètres!$A$1:$I$89,3,0)*0.475*44/12</f>
        <v>1.5467357348305392E-11</v>
      </c>
      <c r="AC104" s="22">
        <f t="shared" si="57"/>
        <v>112.13318923406867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292.78079999999977</v>
      </c>
      <c r="AK104" s="13">
        <f t="shared" si="89"/>
        <v>69.660903052386217</v>
      </c>
      <c r="AL104" s="20">
        <f t="shared" si="58"/>
        <v>631.25263281623893</v>
      </c>
      <c r="AM104" s="59">
        <f t="shared" si="59"/>
        <v>924.58596614957219</v>
      </c>
      <c r="AN104" s="59">
        <f ca="1">AVERAGE(OFFSET($AM$3,0,0,'Données projet'!$E$10+1,1))-AVERAGE(OFFSET($H$3,0,0,'Données projet'!$E$10+1,1))</f>
        <v>331.52724290297675</v>
      </c>
      <c r="AO104" s="59">
        <f t="shared" si="90"/>
        <v>322.79102610158054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40.662410447061511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40.662410447061511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246.8543999999998</v>
      </c>
      <c r="BF104" s="13">
        <f t="shared" si="91"/>
        <v>59.911862368716115</v>
      </c>
      <c r="BG104" s="20">
        <f t="shared" si="61"/>
        <v>534.28457362551353</v>
      </c>
      <c r="BH104" s="59">
        <f t="shared" si="62"/>
        <v>827.61790695884679</v>
      </c>
      <c r="BI104" s="59">
        <f ca="1">AVERAGE(OFFSET($BH$3,0,0,'Données projet'!$E$11+1,1))-AVERAGE(OFFSET($H$3,0,0,'Données projet'!$E$11+1,1))</f>
        <v>273.84349636755343</v>
      </c>
      <c r="BJ104" s="59">
        <f t="shared" si="92"/>
        <v>268.10688874775451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34.283993122032264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34.283993122032264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401</v>
      </c>
      <c r="BZ104" s="13">
        <f>BY104*VLOOKUP('Données projet'!$B$12,Paramètres!$A$1:$I$89,3,0)*VLOOKUP('Données projet'!$B$12,Paramètres!$A$1:$I$89,5,0)</f>
        <v>250.22399999999999</v>
      </c>
      <c r="CA104" s="13">
        <f t="shared" si="93"/>
        <v>60.633904580527918</v>
      </c>
      <c r="CB104" s="20">
        <f t="shared" si="64"/>
        <v>541.41085047775289</v>
      </c>
      <c r="CC104" s="59">
        <f t="shared" si="65"/>
        <v>834.74418381108626</v>
      </c>
      <c r="CD104" s="59">
        <f ca="1">AVERAGE(OFFSET($CC$3,0,0,'Données projet'!$E$12+1,1))-AVERAGE(OFFSET($H$3,0,0,'Données projet'!$E$12+1,1))</f>
        <v>269.77739619445515</v>
      </c>
      <c r="CE104" s="59">
        <f t="shared" si="94"/>
        <v>347.56964743629885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33.999370580204186</v>
      </c>
      <c r="CL104" s="21">
        <f>EXP(-LN(2)/25)*CL103+(1-EXP(-LN(2)/25))/(LN(2)/25)*Calculateur!CG104*Calculateur!CI104*VLOOKUP('Données projet'!$B$12,Paramètres!$A$1:$I$89,3,0)*0.475*44/12</f>
        <v>12.812796387119219</v>
      </c>
      <c r="CM104" s="21">
        <f>EXP(-LN(2)/2)*CM103+(1-EXP(-LN(2)/2))/(LN(2)/2)*CG104*CJ104*VLOOKUP('Données projet'!$B$12,Paramètres!$A$1:$I$89,3,0)*0.475*44/12</f>
        <v>5.1116113635770585E-13</v>
      </c>
      <c r="CN104" s="22">
        <f t="shared" si="66"/>
        <v>46.812166967323918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852.00000000000011</v>
      </c>
      <c r="O105" s="13">
        <f>N105*VLOOKUP('Données projet'!$B$9,Paramètres!$A$1:$I$89,3,0)*VLOOKUP('Données projet'!$B$9,Paramètres!$A$1:$I$89,5,0)</f>
        <v>420.88800000000009</v>
      </c>
      <c r="P105" s="13">
        <f t="shared" si="87"/>
        <v>95.998759891259041</v>
      </c>
      <c r="Q105" s="20">
        <f t="shared" si="107"/>
        <v>900.24444014394294</v>
      </c>
      <c r="R105" s="59">
        <f t="shared" si="55"/>
        <v>1193.5777734772762</v>
      </c>
      <c r="S105" s="59">
        <f ca="1">AVERAGE(OFFSET($R$3,0,0,'Données projet'!$E$9+1,1))-AVERAGE(OFFSET($H$3,0,0,'Données projet'!$E$9+1,1))</f>
        <v>434.08297999735811</v>
      </c>
      <c r="T105" s="59">
        <f t="shared" si="88"/>
        <v>371.04090283546122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102.85423593369921</v>
      </c>
      <c r="AA105" s="21">
        <f>EXP(-LN(2)/25)*AA104+(1-EXP(-LN(2)/25))/(LN(2)/25)*Calculateur!V105*Calculateur!X105*VLOOKUP('Données projet'!$B$9,Paramètres!$A$1:$I$89,3,0)*0.475*44/12</f>
        <v>7.0242251963294846</v>
      </c>
      <c r="AB105" s="21">
        <f>EXP(-LN(2)/2)*AB104+(1-EXP(-LN(2)/2))/(LN(2)/2)*V105*Y105*VLOOKUP('Données projet'!$B$9,Paramètres!$A$1:$I$89,3,0)*0.475*44/12</f>
        <v>1.0937073268022319E-11</v>
      </c>
      <c r="AC105" s="22">
        <f t="shared" si="57"/>
        <v>109.87846113003964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292.78079999999977</v>
      </c>
      <c r="AK105" s="13">
        <f t="shared" si="89"/>
        <v>69.660903052386217</v>
      </c>
      <c r="AL105" s="20">
        <f t="shared" si="58"/>
        <v>631.25263281623893</v>
      </c>
      <c r="AM105" s="59">
        <f t="shared" si="59"/>
        <v>924.58596614957219</v>
      </c>
      <c r="AN105" s="59">
        <f ca="1">AVERAGE(OFFSET($AM$3,0,0,'Données projet'!$E$10+1,1))-AVERAGE(OFFSET($H$3,0,0,'Données projet'!$E$10+1,1))</f>
        <v>331.52724290297675</v>
      </c>
      <c r="AO105" s="59">
        <f t="shared" si="90"/>
        <v>322.79102610158054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39.865045379816053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39.865045379816053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246.8543999999998</v>
      </c>
      <c r="BF105" s="13">
        <f t="shared" si="91"/>
        <v>59.911862368716115</v>
      </c>
      <c r="BG105" s="20">
        <f t="shared" si="61"/>
        <v>534.28457362551353</v>
      </c>
      <c r="BH105" s="59">
        <f t="shared" si="62"/>
        <v>827.61790695884679</v>
      </c>
      <c r="BI105" s="59">
        <f ca="1">AVERAGE(OFFSET($BH$3,0,0,'Données projet'!$E$11+1,1))-AVERAGE(OFFSET($H$3,0,0,'Données projet'!$E$11+1,1))</f>
        <v>273.84349636755343</v>
      </c>
      <c r="BJ105" s="59">
        <f t="shared" si="92"/>
        <v>268.10688874775451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33.611704928080208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33.611704928080208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401</v>
      </c>
      <c r="BZ105" s="13">
        <f>BY105*VLOOKUP('Données projet'!$B$12,Paramètres!$A$1:$I$89,3,0)*VLOOKUP('Données projet'!$B$12,Paramètres!$A$1:$I$89,5,0)</f>
        <v>250.22399999999999</v>
      </c>
      <c r="CA105" s="13">
        <f t="shared" si="93"/>
        <v>60.633904580527918</v>
      </c>
      <c r="CB105" s="20">
        <f t="shared" si="64"/>
        <v>541.41085047775289</v>
      </c>
      <c r="CC105" s="59">
        <f t="shared" si="65"/>
        <v>834.74418381108626</v>
      </c>
      <c r="CD105" s="59">
        <f ca="1">AVERAGE(OFFSET($CC$3,0,0,'Données projet'!$E$12+1,1))-AVERAGE(OFFSET($H$3,0,0,'Données projet'!$E$12+1,1))</f>
        <v>269.77739619445515</v>
      </c>
      <c r="CE105" s="59">
        <f t="shared" si="94"/>
        <v>347.56964743629885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33.33266366069477</v>
      </c>
      <c r="CL105" s="21">
        <f>EXP(-LN(2)/25)*CL104+(1-EXP(-LN(2)/25))/(LN(2)/25)*Calculateur!CG105*Calculateur!CI105*VLOOKUP('Données projet'!$B$12,Paramètres!$A$1:$I$89,3,0)*0.475*44/12</f>
        <v>12.462429796117766</v>
      </c>
      <c r="CM105" s="21">
        <f>EXP(-LN(2)/2)*CM104+(1-EXP(-LN(2)/2))/(LN(2)/2)*CG105*CJ105*VLOOKUP('Données projet'!$B$12,Paramètres!$A$1:$I$89,3,0)*0.475*44/12</f>
        <v>3.614455057975553E-13</v>
      </c>
      <c r="CN105" s="22">
        <f t="shared" si="66"/>
        <v>45.7950934568129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852.00000000000011</v>
      </c>
      <c r="O106" s="13">
        <f>N106*VLOOKUP('Données projet'!$B$9,Paramètres!$A$1:$I$89,3,0)*VLOOKUP('Données projet'!$B$9,Paramètres!$A$1:$I$89,5,0)</f>
        <v>420.88800000000009</v>
      </c>
      <c r="P106" s="13">
        <f t="shared" si="87"/>
        <v>95.998759891259041</v>
      </c>
      <c r="Q106" s="20">
        <f t="shared" si="107"/>
        <v>900.24444014394294</v>
      </c>
      <c r="R106" s="59">
        <f t="shared" si="55"/>
        <v>1193.5777734772762</v>
      </c>
      <c r="S106" s="59">
        <f ca="1">AVERAGE(OFFSET($R$3,0,0,'Données projet'!$E$9+1,1))-AVERAGE(OFFSET($H$3,0,0,'Données projet'!$E$9+1,1))</f>
        <v>434.08297999735811</v>
      </c>
      <c r="T106" s="59">
        <f t="shared" si="88"/>
        <v>371.04090283546122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100.83732710192874</v>
      </c>
      <c r="AA106" s="21">
        <f>EXP(-LN(2)/25)*AA105+(1-EXP(-LN(2)/25))/(LN(2)/25)*Calculateur!V106*Calculateur!X106*VLOOKUP('Données projet'!$B$9,Paramètres!$A$1:$I$89,3,0)*0.475*44/12</f>
        <v>6.8321473889479059</v>
      </c>
      <c r="AB106" s="21">
        <f>EXP(-LN(2)/2)*AB105+(1-EXP(-LN(2)/2))/(LN(2)/2)*V106*Y106*VLOOKUP('Données projet'!$B$9,Paramètres!$A$1:$I$89,3,0)*0.475*44/12</f>
        <v>7.7336786741526959E-12</v>
      </c>
      <c r="AC106" s="22">
        <f t="shared" si="57"/>
        <v>107.66947449088437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292.78079999999977</v>
      </c>
      <c r="AK106" s="13">
        <f t="shared" si="89"/>
        <v>69.660903052386217</v>
      </c>
      <c r="AL106" s="20">
        <f t="shared" si="58"/>
        <v>631.25263281623893</v>
      </c>
      <c r="AM106" s="59">
        <f t="shared" si="59"/>
        <v>924.58596614957219</v>
      </c>
      <c r="AN106" s="59">
        <f ca="1">AVERAGE(OFFSET($AM$3,0,0,'Données projet'!$E$10+1,1))-AVERAGE(OFFSET($H$3,0,0,'Données projet'!$E$10+1,1))</f>
        <v>331.52724290297675</v>
      </c>
      <c r="AO106" s="59">
        <f t="shared" si="90"/>
        <v>322.79102610158054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39.083316155194609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39.083316155194609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246.8543999999998</v>
      </c>
      <c r="BF106" s="13">
        <f t="shared" si="91"/>
        <v>59.911862368716115</v>
      </c>
      <c r="BG106" s="20">
        <f t="shared" si="61"/>
        <v>534.28457362551353</v>
      </c>
      <c r="BH106" s="59">
        <f t="shared" si="62"/>
        <v>827.61790695884679</v>
      </c>
      <c r="BI106" s="59">
        <f ca="1">AVERAGE(OFFSET($BH$3,0,0,'Données projet'!$E$11+1,1))-AVERAGE(OFFSET($H$3,0,0,'Données projet'!$E$11+1,1))</f>
        <v>273.84349636755343</v>
      </c>
      <c r="BJ106" s="59">
        <f t="shared" si="92"/>
        <v>268.10688874775451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32.952599895556247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32.952599895556247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401</v>
      </c>
      <c r="BZ106" s="13">
        <f>BY106*VLOOKUP('Données projet'!$B$12,Paramètres!$A$1:$I$89,3,0)*VLOOKUP('Données projet'!$B$12,Paramètres!$A$1:$I$89,5,0)</f>
        <v>250.22399999999999</v>
      </c>
      <c r="CA106" s="13">
        <f t="shared" si="93"/>
        <v>60.633904580527918</v>
      </c>
      <c r="CB106" s="20">
        <f t="shared" si="64"/>
        <v>541.41085047775289</v>
      </c>
      <c r="CC106" s="59">
        <f t="shared" si="65"/>
        <v>834.74418381108626</v>
      </c>
      <c r="CD106" s="59">
        <f ca="1">AVERAGE(OFFSET($CC$3,0,0,'Données projet'!$E$12+1,1))-AVERAGE(OFFSET($H$3,0,0,'Données projet'!$E$12+1,1))</f>
        <v>269.77739619445515</v>
      </c>
      <c r="CE106" s="59">
        <f t="shared" si="94"/>
        <v>347.56964743629885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32.679030457225871</v>
      </c>
      <c r="CL106" s="21">
        <f>EXP(-LN(2)/25)*CL105+(1-EXP(-LN(2)/25))/(LN(2)/25)*Calculateur!CG106*Calculateur!CI106*VLOOKUP('Données projet'!$B$12,Paramètres!$A$1:$I$89,3,0)*0.475*44/12</f>
        <v>12.121643997972226</v>
      </c>
      <c r="CM106" s="21">
        <f>EXP(-LN(2)/2)*CM105+(1-EXP(-LN(2)/2))/(LN(2)/2)*CG106*CJ106*VLOOKUP('Données projet'!$B$12,Paramètres!$A$1:$I$89,3,0)*0.475*44/12</f>
        <v>2.5558056817885292E-13</v>
      </c>
      <c r="CN106" s="22">
        <f t="shared" si="66"/>
        <v>44.800674455198354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852.00000000000011</v>
      </c>
      <c r="O107" s="13">
        <f>N107*VLOOKUP('Données projet'!$B$9,Paramètres!$A$1:$I$89,3,0)*VLOOKUP('Données projet'!$B$9,Paramètres!$A$1:$I$89,5,0)</f>
        <v>420.88800000000009</v>
      </c>
      <c r="P107" s="13">
        <f t="shared" si="87"/>
        <v>95.998759891259041</v>
      </c>
      <c r="Q107" s="20">
        <f t="shared" si="107"/>
        <v>900.24444014394294</v>
      </c>
      <c r="R107" s="59">
        <f t="shared" si="55"/>
        <v>1193.5777734772762</v>
      </c>
      <c r="S107" s="59">
        <f ca="1">AVERAGE(OFFSET($R$3,0,0,'Données projet'!$E$9+1,1))-AVERAGE(OFFSET($H$3,0,0,'Données projet'!$E$9+1,1))</f>
        <v>434.08297999735811</v>
      </c>
      <c r="T107" s="59">
        <f t="shared" si="88"/>
        <v>371.04090283546122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98.859968622156359</v>
      </c>
      <c r="AA107" s="21">
        <f>EXP(-LN(2)/25)*AA106+(1-EXP(-LN(2)/25))/(LN(2)/25)*Calculateur!V107*Calculateur!X107*VLOOKUP('Données projet'!$B$9,Paramètres!$A$1:$I$89,3,0)*0.475*44/12</f>
        <v>6.6453219593101096</v>
      </c>
      <c r="AB107" s="21">
        <f>EXP(-LN(2)/2)*AB106+(1-EXP(-LN(2)/2))/(LN(2)/2)*V107*Y107*VLOOKUP('Données projet'!$B$9,Paramètres!$A$1:$I$89,3,0)*0.475*44/12</f>
        <v>5.4685366340111595E-12</v>
      </c>
      <c r="AC107" s="22">
        <f t="shared" si="57"/>
        <v>105.50529058147194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292.78079999999977</v>
      </c>
      <c r="AK107" s="13">
        <f t="shared" si="89"/>
        <v>69.660903052386217</v>
      </c>
      <c r="AL107" s="20">
        <f t="shared" si="58"/>
        <v>631.25263281623893</v>
      </c>
      <c r="AM107" s="59">
        <f t="shared" si="59"/>
        <v>924.58596614957219</v>
      </c>
      <c r="AN107" s="59">
        <f ca="1">AVERAGE(OFFSET($AM$3,0,0,'Données projet'!$E$10+1,1))-AVERAGE(OFFSET($H$3,0,0,'Données projet'!$E$10+1,1))</f>
        <v>331.52724290297675</v>
      </c>
      <c r="AO107" s="59">
        <f t="shared" si="90"/>
        <v>322.79102610158054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38.316916163860242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38.316916163860242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246.8543999999998</v>
      </c>
      <c r="BF107" s="13">
        <f t="shared" si="91"/>
        <v>59.911862368716115</v>
      </c>
      <c r="BG107" s="20">
        <f t="shared" si="61"/>
        <v>534.28457362551353</v>
      </c>
      <c r="BH107" s="59">
        <f t="shared" si="62"/>
        <v>827.61790695884679</v>
      </c>
      <c r="BI107" s="59">
        <f ca="1">AVERAGE(OFFSET($BH$3,0,0,'Données projet'!$E$11+1,1))-AVERAGE(OFFSET($H$3,0,0,'Données projet'!$E$11+1,1))</f>
        <v>273.84349636755343</v>
      </c>
      <c r="BJ107" s="59">
        <f t="shared" si="92"/>
        <v>268.10688874775451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32.306419510705702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32.306419510705702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401</v>
      </c>
      <c r="BZ107" s="13">
        <f>BY107*VLOOKUP('Données projet'!$B$12,Paramètres!$A$1:$I$89,3,0)*VLOOKUP('Données projet'!$B$12,Paramètres!$A$1:$I$89,5,0)</f>
        <v>250.22399999999999</v>
      </c>
      <c r="CA107" s="13">
        <f t="shared" si="93"/>
        <v>60.633904580527918</v>
      </c>
      <c r="CB107" s="20">
        <f t="shared" si="64"/>
        <v>541.41085047775289</v>
      </c>
      <c r="CC107" s="59">
        <f t="shared" si="65"/>
        <v>834.74418381108626</v>
      </c>
      <c r="CD107" s="59">
        <f ca="1">AVERAGE(OFFSET($CC$3,0,0,'Données projet'!$E$12+1,1))-AVERAGE(OFFSET($H$3,0,0,'Données projet'!$E$12+1,1))</f>
        <v>269.77739619445515</v>
      </c>
      <c r="CE107" s="59">
        <f t="shared" si="94"/>
        <v>347.56964743629885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32.038214602200107</v>
      </c>
      <c r="CL107" s="21">
        <f>EXP(-LN(2)/25)*CL106+(1-EXP(-LN(2)/25))/(LN(2)/25)*Calculateur!CG107*Calculateur!CI107*VLOOKUP('Données projet'!$B$12,Paramètres!$A$1:$I$89,3,0)*0.475*44/12</f>
        <v>11.790177005398123</v>
      </c>
      <c r="CM107" s="21">
        <f>EXP(-LN(2)/2)*CM106+(1-EXP(-LN(2)/2))/(LN(2)/2)*CG107*CJ107*VLOOKUP('Données projet'!$B$12,Paramètres!$A$1:$I$89,3,0)*0.475*44/12</f>
        <v>1.8072275289877765E-13</v>
      </c>
      <c r="CN107" s="22">
        <f t="shared" si="66"/>
        <v>43.828391607598405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852.00000000000011</v>
      </c>
      <c r="O108" s="13">
        <f>N108*VLOOKUP('Données projet'!$B$9,Paramètres!$A$1:$I$89,3,0)*VLOOKUP('Données projet'!$B$9,Paramètres!$A$1:$I$89,5,0)</f>
        <v>420.88800000000009</v>
      </c>
      <c r="P108" s="13">
        <f t="shared" si="87"/>
        <v>95.998759891259041</v>
      </c>
      <c r="Q108" s="20">
        <f t="shared" si="107"/>
        <v>900.24444014394294</v>
      </c>
      <c r="R108" s="59">
        <f t="shared" si="55"/>
        <v>1193.5777734772762</v>
      </c>
      <c r="S108" s="59">
        <f ca="1">AVERAGE(OFFSET($R$3,0,0,'Données projet'!$E$9+1,1))-AVERAGE(OFFSET($H$3,0,0,'Données projet'!$E$9+1,1))</f>
        <v>434.08297999735811</v>
      </c>
      <c r="T108" s="59">
        <f t="shared" si="88"/>
        <v>371.04090283546122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96.92138493610274</v>
      </c>
      <c r="AA108" s="21">
        <f>EXP(-LN(2)/25)*AA107+(1-EXP(-LN(2)/25))/(LN(2)/25)*Calculateur!V108*Calculateur!X108*VLOOKUP('Données projet'!$B$9,Paramètres!$A$1:$I$89,3,0)*0.475*44/12</f>
        <v>6.4636052808704809</v>
      </c>
      <c r="AB108" s="21">
        <f>EXP(-LN(2)/2)*AB107+(1-EXP(-LN(2)/2))/(LN(2)/2)*V108*Y108*VLOOKUP('Données projet'!$B$9,Paramètres!$A$1:$I$89,3,0)*0.475*44/12</f>
        <v>3.8668393370763479E-12</v>
      </c>
      <c r="AC108" s="22">
        <f t="shared" si="57"/>
        <v>103.38499021697709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292.78079999999977</v>
      </c>
      <c r="AK108" s="13">
        <f t="shared" si="89"/>
        <v>69.660903052386217</v>
      </c>
      <c r="AL108" s="20">
        <f t="shared" si="58"/>
        <v>631.25263281623893</v>
      </c>
      <c r="AM108" s="59">
        <f t="shared" si="59"/>
        <v>924.58596614957219</v>
      </c>
      <c r="AN108" s="59">
        <f ca="1">AVERAGE(OFFSET($AM$3,0,0,'Données projet'!$E$10+1,1))-AVERAGE(OFFSET($H$3,0,0,'Données projet'!$E$10+1,1))</f>
        <v>331.52724290297675</v>
      </c>
      <c r="AO108" s="59">
        <f t="shared" si="90"/>
        <v>322.79102610158054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37.565544808898103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37.565544808898103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246.8543999999998</v>
      </c>
      <c r="BF108" s="13">
        <f t="shared" si="91"/>
        <v>59.911862368716115</v>
      </c>
      <c r="BG108" s="20">
        <f t="shared" si="61"/>
        <v>534.28457362551353</v>
      </c>
      <c r="BH108" s="59">
        <f t="shared" si="62"/>
        <v>827.61790695884679</v>
      </c>
      <c r="BI108" s="59">
        <f ca="1">AVERAGE(OFFSET($BH$3,0,0,'Données projet'!$E$11+1,1))-AVERAGE(OFFSET($H$3,0,0,'Données projet'!$E$11+1,1))</f>
        <v>273.84349636755343</v>
      </c>
      <c r="BJ108" s="59">
        <f t="shared" si="92"/>
        <v>268.10688874775451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31.672910329070959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31.672910329070959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401</v>
      </c>
      <c r="BZ108" s="13">
        <f>BY108*VLOOKUP('Données projet'!$B$12,Paramètres!$A$1:$I$89,3,0)*VLOOKUP('Données projet'!$B$12,Paramètres!$A$1:$I$89,5,0)</f>
        <v>250.22399999999999</v>
      </c>
      <c r="CA108" s="13">
        <f t="shared" si="93"/>
        <v>60.633904580527918</v>
      </c>
      <c r="CB108" s="20">
        <f t="shared" si="64"/>
        <v>541.41085047775289</v>
      </c>
      <c r="CC108" s="59">
        <f t="shared" si="65"/>
        <v>834.74418381108626</v>
      </c>
      <c r="CD108" s="59">
        <f ca="1">AVERAGE(OFFSET($CC$3,0,0,'Données projet'!$E$12+1,1))-AVERAGE(OFFSET($H$3,0,0,'Données projet'!$E$12+1,1))</f>
        <v>269.77739619445515</v>
      </c>
      <c r="CE108" s="59">
        <f t="shared" si="94"/>
        <v>347.56964743629885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31.40996475523232</v>
      </c>
      <c r="CL108" s="21">
        <f>EXP(-LN(2)/25)*CL107+(1-EXP(-LN(2)/25))/(LN(2)/25)*Calculateur!CG108*Calculateur!CI108*VLOOKUP('Données projet'!$B$12,Paramètres!$A$1:$I$89,3,0)*0.475*44/12</f>
        <v>11.467773995167049</v>
      </c>
      <c r="CM108" s="21">
        <f>EXP(-LN(2)/2)*CM107+(1-EXP(-LN(2)/2))/(LN(2)/2)*CG108*CJ108*VLOOKUP('Données projet'!$B$12,Paramètres!$A$1:$I$89,3,0)*0.475*44/12</f>
        <v>1.2779028408942646E-13</v>
      </c>
      <c r="CN108" s="22">
        <f t="shared" si="66"/>
        <v>42.877738750399494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852.00000000000011</v>
      </c>
      <c r="O109" s="13">
        <f>N109*VLOOKUP('Données projet'!$B$9,Paramètres!$A$1:$I$89,3,0)*VLOOKUP('Données projet'!$B$9,Paramètres!$A$1:$I$89,5,0)</f>
        <v>420.88800000000009</v>
      </c>
      <c r="P109" s="13">
        <f t="shared" si="87"/>
        <v>95.998759891259041</v>
      </c>
      <c r="Q109" s="20">
        <f t="shared" si="107"/>
        <v>900.24444014394294</v>
      </c>
      <c r="R109" s="59">
        <f t="shared" si="55"/>
        <v>1193.5777734772762</v>
      </c>
      <c r="S109" s="59">
        <f ca="1">AVERAGE(OFFSET($R$3,0,0,'Données projet'!$E$9+1,1))-AVERAGE(OFFSET($H$3,0,0,'Données projet'!$E$9+1,1))</f>
        <v>434.08297999735811</v>
      </c>
      <c r="T109" s="59">
        <f t="shared" si="88"/>
        <v>371.04090283546122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95.020815693713331</v>
      </c>
      <c r="AA109" s="21">
        <f>EXP(-LN(2)/25)*AA108+(1-EXP(-LN(2)/25))/(LN(2)/25)*Calculateur!V109*Calculateur!X109*VLOOKUP('Données projet'!$B$9,Paramètres!$A$1:$I$89,3,0)*0.475*44/12</f>
        <v>6.2868576545588484</v>
      </c>
      <c r="AB109" s="21">
        <f>EXP(-LN(2)/2)*AB108+(1-EXP(-LN(2)/2))/(LN(2)/2)*V109*Y109*VLOOKUP('Données projet'!$B$9,Paramètres!$A$1:$I$89,3,0)*0.475*44/12</f>
        <v>2.7342683170055797E-12</v>
      </c>
      <c r="AC109" s="22">
        <f t="shared" si="57"/>
        <v>101.3076733482749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292.78079999999977</v>
      </c>
      <c r="AK109" s="13">
        <f t="shared" si="89"/>
        <v>69.660903052386217</v>
      </c>
      <c r="AL109" s="20">
        <f t="shared" si="58"/>
        <v>631.25263281623893</v>
      </c>
      <c r="AM109" s="59">
        <f t="shared" si="59"/>
        <v>924.58596614957219</v>
      </c>
      <c r="AN109" s="59">
        <f ca="1">AVERAGE(OFFSET($AM$3,0,0,'Données projet'!$E$10+1,1))-AVERAGE(OFFSET($H$3,0,0,'Données projet'!$E$10+1,1))</f>
        <v>331.52724290297675</v>
      </c>
      <c r="AO109" s="59">
        <f t="shared" si="90"/>
        <v>322.79102610158054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36.8289073879155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36.8289073879155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246.8543999999998</v>
      </c>
      <c r="BF109" s="13">
        <f t="shared" si="91"/>
        <v>59.911862368716115</v>
      </c>
      <c r="BG109" s="20">
        <f t="shared" si="61"/>
        <v>534.28457362551353</v>
      </c>
      <c r="BH109" s="59">
        <f t="shared" si="62"/>
        <v>827.61790695884679</v>
      </c>
      <c r="BI109" s="59">
        <f ca="1">AVERAGE(OFFSET($BH$3,0,0,'Données projet'!$E$11+1,1))-AVERAGE(OFFSET($H$3,0,0,'Données projet'!$E$11+1,1))</f>
        <v>273.84349636755343</v>
      </c>
      <c r="BJ109" s="59">
        <f t="shared" si="92"/>
        <v>268.10688874775451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31.051823876085628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31.051823876085628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401</v>
      </c>
      <c r="BZ109" s="13">
        <f>BY109*VLOOKUP('Données projet'!$B$12,Paramètres!$A$1:$I$89,3,0)*VLOOKUP('Données projet'!$B$12,Paramètres!$A$1:$I$89,5,0)</f>
        <v>250.22399999999999</v>
      </c>
      <c r="CA109" s="13">
        <f t="shared" si="93"/>
        <v>60.633904580527918</v>
      </c>
      <c r="CB109" s="20">
        <f t="shared" si="64"/>
        <v>541.41085047775289</v>
      </c>
      <c r="CC109" s="59">
        <f t="shared" si="65"/>
        <v>834.74418381108626</v>
      </c>
      <c r="CD109" s="59">
        <f ca="1">AVERAGE(OFFSET($CC$3,0,0,'Données projet'!$E$12+1,1))-AVERAGE(OFFSET($H$3,0,0,'Données projet'!$E$12+1,1))</f>
        <v>269.77739619445515</v>
      </c>
      <c r="CE109" s="59">
        <f t="shared" si="94"/>
        <v>347.56964743629885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30.794034504569002</v>
      </c>
      <c r="CL109" s="21">
        <f>EXP(-LN(2)/25)*CL108+(1-EXP(-LN(2)/25))/(LN(2)/25)*Calculateur!CG109*Calculateur!CI109*VLOOKUP('Données projet'!$B$12,Paramètres!$A$1:$I$89,3,0)*0.475*44/12</f>
        <v>11.154187112205181</v>
      </c>
      <c r="CM109" s="21">
        <f>EXP(-LN(2)/2)*CM108+(1-EXP(-LN(2)/2))/(LN(2)/2)*CG109*CJ109*VLOOKUP('Données projet'!$B$12,Paramètres!$A$1:$I$89,3,0)*0.475*44/12</f>
        <v>9.0361376449388825E-14</v>
      </c>
      <c r="CN109" s="22">
        <f t="shared" si="66"/>
        <v>41.948221616774276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852.00000000000011</v>
      </c>
      <c r="O110" s="13">
        <f>N110*VLOOKUP('Données projet'!$B$9,Paramètres!$A$1:$I$89,3,0)*VLOOKUP('Données projet'!$B$9,Paramètres!$A$1:$I$89,5,0)</f>
        <v>420.88800000000009</v>
      </c>
      <c r="P110" s="13">
        <f t="shared" si="87"/>
        <v>95.998759891259041</v>
      </c>
      <c r="Q110" s="20">
        <f t="shared" si="107"/>
        <v>900.24444014394294</v>
      </c>
      <c r="R110" s="59">
        <f t="shared" si="55"/>
        <v>1193.5777734772762</v>
      </c>
      <c r="S110" s="59">
        <f ca="1">AVERAGE(OFFSET($R$3,0,0,'Données projet'!$E$9+1,1))-AVERAGE(OFFSET($H$3,0,0,'Données projet'!$E$9+1,1))</f>
        <v>434.08297999735811</v>
      </c>
      <c r="T110" s="59">
        <f t="shared" si="88"/>
        <v>371.04090283546122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93.157515454934412</v>
      </c>
      <c r="AA110" s="21">
        <f>EXP(-LN(2)/25)*AA109+(1-EXP(-LN(2)/25))/(LN(2)/25)*Calculateur!V110*Calculateur!X110*VLOOKUP('Données projet'!$B$9,Paramètres!$A$1:$I$89,3,0)*0.475*44/12</f>
        <v>6.1149432013834613</v>
      </c>
      <c r="AB110" s="21">
        <f>EXP(-LN(2)/2)*AB109+(1-EXP(-LN(2)/2))/(LN(2)/2)*V110*Y110*VLOOKUP('Données projet'!$B$9,Paramètres!$A$1:$I$89,3,0)*0.475*44/12</f>
        <v>1.933419668538174E-12</v>
      </c>
      <c r="AC110" s="22">
        <f t="shared" si="57"/>
        <v>99.272458656319799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292.78079999999977</v>
      </c>
      <c r="AK110" s="13">
        <f t="shared" si="89"/>
        <v>69.660903052386217</v>
      </c>
      <c r="AL110" s="20">
        <f t="shared" si="58"/>
        <v>631.25263281623893</v>
      </c>
      <c r="AM110" s="59">
        <f t="shared" si="59"/>
        <v>924.58596614957219</v>
      </c>
      <c r="AN110" s="59">
        <f ca="1">AVERAGE(OFFSET($AM$3,0,0,'Données projet'!$E$10+1,1))-AVERAGE(OFFSET($H$3,0,0,'Données projet'!$E$10+1,1))</f>
        <v>331.52724290297675</v>
      </c>
      <c r="AO110" s="59">
        <f t="shared" si="90"/>
        <v>322.79102610158054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36.106714977453905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36.106714977453905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246.8543999999998</v>
      </c>
      <c r="BF110" s="13">
        <f t="shared" si="91"/>
        <v>59.911862368716115</v>
      </c>
      <c r="BG110" s="20">
        <f t="shared" si="61"/>
        <v>534.28457362551353</v>
      </c>
      <c r="BH110" s="59">
        <f t="shared" si="62"/>
        <v>827.61790695884679</v>
      </c>
      <c r="BI110" s="59">
        <f ca="1">AVERAGE(OFFSET($BH$3,0,0,'Données projet'!$E$11+1,1))-AVERAGE(OFFSET($H$3,0,0,'Données projet'!$E$11+1,1))</f>
        <v>273.84349636755343</v>
      </c>
      <c r="BJ110" s="59">
        <f t="shared" si="92"/>
        <v>268.10688874775451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30.442916549618008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30.442916549618008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401</v>
      </c>
      <c r="BZ110" s="13">
        <f>BY110*VLOOKUP('Données projet'!$B$12,Paramètres!$A$1:$I$89,3,0)*VLOOKUP('Données projet'!$B$12,Paramètres!$A$1:$I$89,5,0)</f>
        <v>250.22399999999999</v>
      </c>
      <c r="CA110" s="13">
        <f t="shared" si="93"/>
        <v>60.633904580527918</v>
      </c>
      <c r="CB110" s="20">
        <f t="shared" si="64"/>
        <v>541.41085047775289</v>
      </c>
      <c r="CC110" s="59">
        <f t="shared" si="65"/>
        <v>834.74418381108626</v>
      </c>
      <c r="CD110" s="59">
        <f ca="1">AVERAGE(OFFSET($CC$3,0,0,'Données projet'!$E$12+1,1))-AVERAGE(OFFSET($H$3,0,0,'Données projet'!$E$12+1,1))</f>
        <v>269.77739619445515</v>
      </c>
      <c r="CE110" s="59">
        <f t="shared" si="94"/>
        <v>347.56964743629885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30.190182270440832</v>
      </c>
      <c r="CL110" s="21">
        <f>EXP(-LN(2)/25)*CL109+(1-EXP(-LN(2)/25))/(LN(2)/25)*Calculateur!CG110*Calculateur!CI110*VLOOKUP('Données projet'!$B$12,Paramètres!$A$1:$I$89,3,0)*0.475*44/12</f>
        <v>10.849175279048723</v>
      </c>
      <c r="CM110" s="21">
        <f>EXP(-LN(2)/2)*CM109+(1-EXP(-LN(2)/2))/(LN(2)/2)*CG110*CJ110*VLOOKUP('Données projet'!$B$12,Paramètres!$A$1:$I$89,3,0)*0.475*44/12</f>
        <v>6.3895142044713231E-14</v>
      </c>
      <c r="CN110" s="22">
        <f t="shared" si="66"/>
        <v>41.039357549489615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852.00000000000011</v>
      </c>
      <c r="O111" s="13">
        <f>N111*VLOOKUP('Données projet'!$B$9,Paramètres!$A$1:$I$89,3,0)*VLOOKUP('Données projet'!$B$9,Paramètres!$A$1:$I$89,5,0)</f>
        <v>420.88800000000009</v>
      </c>
      <c r="P111" s="13">
        <f t="shared" si="87"/>
        <v>95.998759891259041</v>
      </c>
      <c r="Q111" s="20">
        <f t="shared" si="107"/>
        <v>900.24444014394294</v>
      </c>
      <c r="R111" s="59">
        <f t="shared" si="55"/>
        <v>1193.5777734772762</v>
      </c>
      <c r="S111" s="59">
        <f ca="1">AVERAGE(OFFSET($R$3,0,0,'Données projet'!$E$9+1,1))-AVERAGE(OFFSET($H$3,0,0,'Données projet'!$E$9+1,1))</f>
        <v>434.08297999735811</v>
      </c>
      <c r="T111" s="59">
        <f t="shared" si="88"/>
        <v>371.04090283546122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91.33075339733702</v>
      </c>
      <c r="AA111" s="21">
        <f>EXP(-LN(2)/25)*AA110+(1-EXP(-LN(2)/25))/(LN(2)/25)*Calculateur!V111*Calculateur!X111*VLOOKUP('Données projet'!$B$9,Paramètres!$A$1:$I$89,3,0)*0.475*44/12</f>
        <v>5.9477297579707438</v>
      </c>
      <c r="AB111" s="21">
        <f>EXP(-LN(2)/2)*AB110+(1-EXP(-LN(2)/2))/(LN(2)/2)*V111*Y111*VLOOKUP('Données projet'!$B$9,Paramètres!$A$1:$I$89,3,0)*0.475*44/12</f>
        <v>1.3671341585027899E-12</v>
      </c>
      <c r="AC111" s="22">
        <f t="shared" si="57"/>
        <v>97.278483155309132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292.78079999999977</v>
      </c>
      <c r="AK111" s="13">
        <f t="shared" si="89"/>
        <v>69.660903052386217</v>
      </c>
      <c r="AL111" s="20">
        <f t="shared" si="58"/>
        <v>631.25263281623893</v>
      </c>
      <c r="AM111" s="59">
        <f t="shared" si="59"/>
        <v>924.58596614957219</v>
      </c>
      <c r="AN111" s="59">
        <f ca="1">AVERAGE(OFFSET($AM$3,0,0,'Données projet'!$E$10+1,1))-AVERAGE(OFFSET($H$3,0,0,'Données projet'!$E$10+1,1))</f>
        <v>331.52724290297675</v>
      </c>
      <c r="AO111" s="59">
        <f t="shared" si="90"/>
        <v>322.79102610158054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35.398684319667588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35.398684319667588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246.8543999999998</v>
      </c>
      <c r="BF111" s="13">
        <f t="shared" si="91"/>
        <v>59.911862368716115</v>
      </c>
      <c r="BG111" s="20">
        <f t="shared" si="61"/>
        <v>534.28457362551353</v>
      </c>
      <c r="BH111" s="59">
        <f t="shared" si="62"/>
        <v>827.61790695884679</v>
      </c>
      <c r="BI111" s="59">
        <f ca="1">AVERAGE(OFFSET($BH$3,0,0,'Données projet'!$E$11+1,1))-AVERAGE(OFFSET($H$3,0,0,'Données projet'!$E$11+1,1))</f>
        <v>273.84349636755343</v>
      </c>
      <c r="BJ111" s="59">
        <f t="shared" si="92"/>
        <v>268.10688874775451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29.845949524425624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29.845949524425624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401</v>
      </c>
      <c r="BZ111" s="13">
        <f>BY111*VLOOKUP('Données projet'!$B$12,Paramètres!$A$1:$I$89,3,0)*VLOOKUP('Données projet'!$B$12,Paramètres!$A$1:$I$89,5,0)</f>
        <v>250.22399999999999</v>
      </c>
      <c r="CA111" s="13">
        <f t="shared" si="93"/>
        <v>60.633904580527918</v>
      </c>
      <c r="CB111" s="20">
        <f t="shared" si="64"/>
        <v>541.41085047775289</v>
      </c>
      <c r="CC111" s="59">
        <f t="shared" si="65"/>
        <v>834.74418381108626</v>
      </c>
      <c r="CD111" s="59">
        <f ca="1">AVERAGE(OFFSET($CC$3,0,0,'Données projet'!$E$12+1,1))-AVERAGE(OFFSET($H$3,0,0,'Données projet'!$E$12+1,1))</f>
        <v>269.77739619445515</v>
      </c>
      <c r="CE111" s="59">
        <f t="shared" si="94"/>
        <v>347.56964743629885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29.598171210310422</v>
      </c>
      <c r="CL111" s="21">
        <f>EXP(-LN(2)/25)*CL110+(1-EXP(-LN(2)/25))/(LN(2)/25)*Calculateur!CG111*Calculateur!CI111*VLOOKUP('Données projet'!$B$12,Paramètres!$A$1:$I$89,3,0)*0.475*44/12</f>
        <v>10.552504010509804</v>
      </c>
      <c r="CM111" s="21">
        <f>EXP(-LN(2)/2)*CM110+(1-EXP(-LN(2)/2))/(LN(2)/2)*CG111*CJ111*VLOOKUP('Données projet'!$B$12,Paramètres!$A$1:$I$89,3,0)*0.475*44/12</f>
        <v>4.5180688224694412E-14</v>
      </c>
      <c r="CN111" s="22">
        <f t="shared" si="66"/>
        <v>40.150675220820268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852.00000000000011</v>
      </c>
      <c r="O112" s="13">
        <f>N112*VLOOKUP('Données projet'!$B$9,Paramètres!$A$1:$I$89,3,0)*VLOOKUP('Données projet'!$B$9,Paramètres!$A$1:$I$89,5,0)</f>
        <v>420.88800000000009</v>
      </c>
      <c r="P112" s="13">
        <f t="shared" si="87"/>
        <v>95.998759891259041</v>
      </c>
      <c r="Q112" s="20">
        <f t="shared" si="107"/>
        <v>900.24444014394294</v>
      </c>
      <c r="R112" s="59">
        <f t="shared" si="55"/>
        <v>1193.5777734772762</v>
      </c>
      <c r="S112" s="59">
        <f ca="1">AVERAGE(OFFSET($R$3,0,0,'Données projet'!$E$9+1,1))-AVERAGE(OFFSET($H$3,0,0,'Données projet'!$E$9+1,1))</f>
        <v>434.08297999735811</v>
      </c>
      <c r="T112" s="59">
        <f t="shared" si="88"/>
        <v>371.04090283546122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89.539813029474274</v>
      </c>
      <c r="AA112" s="21">
        <f>EXP(-LN(2)/25)*AA111+(1-EXP(-LN(2)/25))/(LN(2)/25)*Calculateur!V112*Calculateur!X112*VLOOKUP('Données projet'!$B$9,Paramètres!$A$1:$I$89,3,0)*0.475*44/12</f>
        <v>5.7850887749615199</v>
      </c>
      <c r="AB112" s="21">
        <f>EXP(-LN(2)/2)*AB111+(1-EXP(-LN(2)/2))/(LN(2)/2)*V112*Y112*VLOOKUP('Données projet'!$B$9,Paramètres!$A$1:$I$89,3,0)*0.475*44/12</f>
        <v>9.6670983426908699E-13</v>
      </c>
      <c r="AC112" s="22">
        <f t="shared" si="57"/>
        <v>95.324901804436763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292.78079999999977</v>
      </c>
      <c r="AK112" s="13">
        <f t="shared" si="89"/>
        <v>69.660903052386217</v>
      </c>
      <c r="AL112" s="20">
        <f t="shared" si="58"/>
        <v>631.25263281623893</v>
      </c>
      <c r="AM112" s="59">
        <f t="shared" si="59"/>
        <v>924.58596614957219</v>
      </c>
      <c r="AN112" s="59">
        <f ca="1">AVERAGE(OFFSET($AM$3,0,0,'Données projet'!$E$10+1,1))-AVERAGE(OFFSET($H$3,0,0,'Données projet'!$E$10+1,1))</f>
        <v>331.52724290297675</v>
      </c>
      <c r="AO112" s="59">
        <f t="shared" si="90"/>
        <v>322.79102610158054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34.704537711224404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34.704537711224404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246.8543999999998</v>
      </c>
      <c r="BF112" s="13">
        <f t="shared" si="91"/>
        <v>59.911862368716115</v>
      </c>
      <c r="BG112" s="20">
        <f t="shared" si="61"/>
        <v>534.28457362551353</v>
      </c>
      <c r="BH112" s="59">
        <f t="shared" si="62"/>
        <v>827.61790695884679</v>
      </c>
      <c r="BI112" s="59">
        <f ca="1">AVERAGE(OFFSET($BH$3,0,0,'Données projet'!$E$11+1,1))-AVERAGE(OFFSET($H$3,0,0,'Données projet'!$E$11+1,1))</f>
        <v>273.84349636755343</v>
      </c>
      <c r="BJ112" s="59">
        <f t="shared" si="92"/>
        <v>268.10688874775451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29.260688658483328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29.260688658483328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401</v>
      </c>
      <c r="BZ112" s="13">
        <f>BY112*VLOOKUP('Données projet'!$B$12,Paramètres!$A$1:$I$89,3,0)*VLOOKUP('Données projet'!$B$12,Paramètres!$A$1:$I$89,5,0)</f>
        <v>250.22399999999999</v>
      </c>
      <c r="CA112" s="13">
        <f t="shared" si="93"/>
        <v>60.633904580527918</v>
      </c>
      <c r="CB112" s="20">
        <f t="shared" si="64"/>
        <v>541.41085047775289</v>
      </c>
      <c r="CC112" s="59">
        <f t="shared" si="65"/>
        <v>834.74418381108626</v>
      </c>
      <c r="CD112" s="59">
        <f ca="1">AVERAGE(OFFSET($CC$3,0,0,'Données projet'!$E$12+1,1))-AVERAGE(OFFSET($H$3,0,0,'Données projet'!$E$12+1,1))</f>
        <v>269.77739619445515</v>
      </c>
      <c r="CE112" s="59">
        <f t="shared" si="94"/>
        <v>347.56964743629885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29.017769125978077</v>
      </c>
      <c r="CL112" s="21">
        <f>EXP(-LN(2)/25)*CL111+(1-EXP(-LN(2)/25))/(LN(2)/25)*Calculateur!CG112*Calculateur!CI112*VLOOKUP('Données projet'!$B$12,Paramètres!$A$1:$I$89,3,0)*0.475*44/12</f>
        <v>10.263945233410345</v>
      </c>
      <c r="CM112" s="21">
        <f>EXP(-LN(2)/2)*CM111+(1-EXP(-LN(2)/2))/(LN(2)/2)*CG112*CJ112*VLOOKUP('Données projet'!$B$12,Paramètres!$A$1:$I$89,3,0)*0.475*44/12</f>
        <v>3.1947571022356615E-14</v>
      </c>
      <c r="CN112" s="22">
        <f t="shared" si="66"/>
        <v>39.281714359388452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852.00000000000011</v>
      </c>
      <c r="O113" s="13">
        <f>N113*VLOOKUP('Données projet'!$B$9,Paramètres!$A$1:$I$89,3,0)*VLOOKUP('Données projet'!$B$9,Paramètres!$A$1:$I$89,5,0)</f>
        <v>420.88800000000009</v>
      </c>
      <c r="P113" s="13">
        <f t="shared" si="87"/>
        <v>95.998759891259041</v>
      </c>
      <c r="Q113" s="20">
        <f t="shared" si="107"/>
        <v>900.24444014394294</v>
      </c>
      <c r="R113" s="59">
        <f t="shared" si="55"/>
        <v>1193.5777734772762</v>
      </c>
      <c r="S113" s="59">
        <f ca="1">AVERAGE(OFFSET($R$3,0,0,'Données projet'!$E$9+1,1))-AVERAGE(OFFSET($H$3,0,0,'Données projet'!$E$9+1,1))</f>
        <v>434.08297999735811</v>
      </c>
      <c r="T113" s="59">
        <f t="shared" si="88"/>
        <v>371.04090283546122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87.783991909859552</v>
      </c>
      <c r="AA113" s="21">
        <f>EXP(-LN(2)/25)*AA112+(1-EXP(-LN(2)/25))/(LN(2)/25)*Calculateur!V113*Calculateur!X113*VLOOKUP('Données projet'!$B$9,Paramètres!$A$1:$I$89,3,0)*0.475*44/12</f>
        <v>5.6268952181856005</v>
      </c>
      <c r="AB113" s="21">
        <f>EXP(-LN(2)/2)*AB112+(1-EXP(-LN(2)/2))/(LN(2)/2)*V113*Y113*VLOOKUP('Données projet'!$B$9,Paramètres!$A$1:$I$89,3,0)*0.475*44/12</f>
        <v>6.8356707925139494E-13</v>
      </c>
      <c r="AC113" s="22">
        <f t="shared" si="57"/>
        <v>93.410887128045829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292.78079999999977</v>
      </c>
      <c r="AK113" s="13">
        <f t="shared" si="89"/>
        <v>69.660903052386217</v>
      </c>
      <c r="AL113" s="20">
        <f t="shared" si="58"/>
        <v>631.25263281623893</v>
      </c>
      <c r="AM113" s="59">
        <f t="shared" si="59"/>
        <v>924.58596614957219</v>
      </c>
      <c r="AN113" s="59">
        <f ca="1">AVERAGE(OFFSET($AM$3,0,0,'Données projet'!$E$10+1,1))-AVERAGE(OFFSET($H$3,0,0,'Données projet'!$E$10+1,1))</f>
        <v>331.52724290297675</v>
      </c>
      <c r="AO113" s="59">
        <f t="shared" si="90"/>
        <v>322.79102610158054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34.024002894385163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34.024002894385163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246.8543999999998</v>
      </c>
      <c r="BF113" s="13">
        <f t="shared" si="91"/>
        <v>59.911862368716115</v>
      </c>
      <c r="BG113" s="20">
        <f t="shared" si="61"/>
        <v>534.28457362551353</v>
      </c>
      <c r="BH113" s="59">
        <f t="shared" si="62"/>
        <v>827.61790695884679</v>
      </c>
      <c r="BI113" s="59">
        <f ca="1">AVERAGE(OFFSET($BH$3,0,0,'Données projet'!$E$11+1,1))-AVERAGE(OFFSET($H$3,0,0,'Données projet'!$E$11+1,1))</f>
        <v>273.84349636755343</v>
      </c>
      <c r="BJ113" s="59">
        <f t="shared" si="92"/>
        <v>268.10688874775451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28.686904401148283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28.686904401148283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401</v>
      </c>
      <c r="BZ113" s="13">
        <f>BY113*VLOOKUP('Données projet'!$B$12,Paramètres!$A$1:$I$89,3,0)*VLOOKUP('Données projet'!$B$12,Paramètres!$A$1:$I$89,5,0)</f>
        <v>250.22399999999999</v>
      </c>
      <c r="CA113" s="13">
        <f t="shared" si="93"/>
        <v>60.633904580527918</v>
      </c>
      <c r="CB113" s="20">
        <f t="shared" si="64"/>
        <v>541.41085047775289</v>
      </c>
      <c r="CC113" s="59">
        <f t="shared" si="65"/>
        <v>834.74418381108626</v>
      </c>
      <c r="CD113" s="59">
        <f ca="1">AVERAGE(OFFSET($CC$3,0,0,'Données projet'!$E$12+1,1))-AVERAGE(OFFSET($H$3,0,0,'Données projet'!$E$12+1,1))</f>
        <v>269.77739619445515</v>
      </c>
      <c r="CE113" s="59">
        <f t="shared" si="94"/>
        <v>347.56964743629885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28.448748372509172</v>
      </c>
      <c r="CL113" s="21">
        <f>EXP(-LN(2)/25)*CL112+(1-EXP(-LN(2)/25))/(LN(2)/25)*Calculateur!CG113*Calculateur!CI113*VLOOKUP('Données projet'!$B$12,Paramètres!$A$1:$I$89,3,0)*0.475*44/12</f>
        <v>9.983277111245318</v>
      </c>
      <c r="CM113" s="21">
        <f>EXP(-LN(2)/2)*CM112+(1-EXP(-LN(2)/2))/(LN(2)/2)*CG113*CJ113*VLOOKUP('Données projet'!$B$12,Paramètres!$A$1:$I$89,3,0)*0.475*44/12</f>
        <v>2.2590344112347206E-14</v>
      </c>
      <c r="CN113" s="22">
        <f t="shared" si="66"/>
        <v>38.432025483754508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852.00000000000011</v>
      </c>
      <c r="O114" s="13">
        <f>N114*VLOOKUP('Données projet'!$B$9,Paramètres!$A$1:$I$89,3,0)*VLOOKUP('Données projet'!$B$9,Paramètres!$A$1:$I$89,5,0)</f>
        <v>420.88800000000009</v>
      </c>
      <c r="P114" s="13">
        <f t="shared" si="87"/>
        <v>95.998759891259041</v>
      </c>
      <c r="Q114" s="20">
        <f t="shared" si="107"/>
        <v>900.24444014394294</v>
      </c>
      <c r="R114" s="59">
        <f t="shared" si="55"/>
        <v>1193.5777734772762</v>
      </c>
      <c r="S114" s="59">
        <f ca="1">AVERAGE(OFFSET($R$3,0,0,'Données projet'!$E$9+1,1))-AVERAGE(OFFSET($H$3,0,0,'Données projet'!$E$9+1,1))</f>
        <v>434.08297999735811</v>
      </c>
      <c r="T114" s="59">
        <f t="shared" si="88"/>
        <v>371.04090283546122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86.062601371455344</v>
      </c>
      <c r="AA114" s="21">
        <f>EXP(-LN(2)/25)*AA113+(1-EXP(-LN(2)/25))/(LN(2)/25)*Calculateur!V114*Calculateur!X114*VLOOKUP('Données projet'!$B$9,Paramètres!$A$1:$I$89,3,0)*0.475*44/12</f>
        <v>5.4730274725387558</v>
      </c>
      <c r="AB114" s="21">
        <f>EXP(-LN(2)/2)*AB113+(1-EXP(-LN(2)/2))/(LN(2)/2)*V114*Y114*VLOOKUP('Données projet'!$B$9,Paramètres!$A$1:$I$89,3,0)*0.475*44/12</f>
        <v>4.8335491713454349E-13</v>
      </c>
      <c r="AC114" s="22">
        <f t="shared" si="57"/>
        <v>91.535628843994587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292.78079999999977</v>
      </c>
      <c r="AK114" s="13">
        <f t="shared" si="89"/>
        <v>69.660903052386217</v>
      </c>
      <c r="AL114" s="20">
        <f t="shared" si="58"/>
        <v>631.25263281623893</v>
      </c>
      <c r="AM114" s="59">
        <f t="shared" si="59"/>
        <v>924.58596614957219</v>
      </c>
      <c r="AN114" s="59">
        <f ca="1">AVERAGE(OFFSET($AM$3,0,0,'Données projet'!$E$10+1,1))-AVERAGE(OFFSET($H$3,0,0,'Données projet'!$E$10+1,1))</f>
        <v>331.52724290297675</v>
      </c>
      <c r="AO114" s="59">
        <f t="shared" si="90"/>
        <v>322.79102610158054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33.356812950218888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33.356812950218888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246.8543999999998</v>
      </c>
      <c r="BF114" s="13">
        <f t="shared" si="91"/>
        <v>59.911862368716115</v>
      </c>
      <c r="BG114" s="20">
        <f t="shared" si="61"/>
        <v>534.28457362551353</v>
      </c>
      <c r="BH114" s="59">
        <f t="shared" si="62"/>
        <v>827.61790695884679</v>
      </c>
      <c r="BI114" s="59">
        <f ca="1">AVERAGE(OFFSET($BH$3,0,0,'Données projet'!$E$11+1,1))-AVERAGE(OFFSET($H$3,0,0,'Données projet'!$E$11+1,1))</f>
        <v>273.84349636755343</v>
      </c>
      <c r="BJ114" s="59">
        <f t="shared" si="92"/>
        <v>268.10688874775451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28.124371703125735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28.124371703125735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401</v>
      </c>
      <c r="BZ114" s="13">
        <f>BY114*VLOOKUP('Données projet'!$B$12,Paramètres!$A$1:$I$89,3,0)*VLOOKUP('Données projet'!$B$12,Paramètres!$A$1:$I$89,5,0)</f>
        <v>250.22399999999999</v>
      </c>
      <c r="CA114" s="13">
        <f t="shared" si="93"/>
        <v>60.633904580527918</v>
      </c>
      <c r="CB114" s="20">
        <f t="shared" si="64"/>
        <v>541.41085047775289</v>
      </c>
      <c r="CC114" s="59">
        <f t="shared" si="65"/>
        <v>834.74418381108626</v>
      </c>
      <c r="CD114" s="59">
        <f ca="1">AVERAGE(OFFSET($CC$3,0,0,'Données projet'!$E$12+1,1))-AVERAGE(OFFSET($H$3,0,0,'Données projet'!$E$12+1,1))</f>
        <v>269.77739619445515</v>
      </c>
      <c r="CE114" s="59">
        <f t="shared" si="94"/>
        <v>347.56964743629885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27.890885768947406</v>
      </c>
      <c r="CL114" s="21">
        <f>EXP(-LN(2)/25)*CL113+(1-EXP(-LN(2)/25))/(LN(2)/25)*Calculateur!CG114*Calculateur!CI114*VLOOKUP('Données projet'!$B$12,Paramètres!$A$1:$I$89,3,0)*0.475*44/12</f>
        <v>9.7102838736405879</v>
      </c>
      <c r="CM114" s="21">
        <f>EXP(-LN(2)/2)*CM113+(1-EXP(-LN(2)/2))/(LN(2)/2)*CG114*CJ114*VLOOKUP('Données projet'!$B$12,Paramètres!$A$1:$I$89,3,0)*0.475*44/12</f>
        <v>1.5973785511178308E-14</v>
      </c>
      <c r="CN114" s="22">
        <f t="shared" si="66"/>
        <v>37.601169642588005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852.00000000000011</v>
      </c>
      <c r="O115" s="13">
        <f>N115*VLOOKUP('Données projet'!$B$9,Paramètres!$A$1:$I$89,3,0)*VLOOKUP('Données projet'!$B$9,Paramètres!$A$1:$I$89,5,0)</f>
        <v>420.88800000000009</v>
      </c>
      <c r="P115" s="13">
        <f t="shared" si="87"/>
        <v>95.998759891259041</v>
      </c>
      <c r="Q115" s="20">
        <f t="shared" si="107"/>
        <v>900.24444014394294</v>
      </c>
      <c r="R115" s="59">
        <f t="shared" si="55"/>
        <v>1193.5777734772762</v>
      </c>
      <c r="S115" s="59">
        <f ca="1">AVERAGE(OFFSET($R$3,0,0,'Données projet'!$E$9+1,1))-AVERAGE(OFFSET($H$3,0,0,'Données projet'!$E$9+1,1))</f>
        <v>434.08297999735811</v>
      </c>
      <c r="T115" s="59">
        <f t="shared" si="88"/>
        <v>371.04090283546122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84.374966251564686</v>
      </c>
      <c r="AA115" s="21">
        <f>EXP(-LN(2)/25)*AA114+(1-EXP(-LN(2)/25))/(LN(2)/25)*Calculateur!V115*Calculateur!X115*VLOOKUP('Données projet'!$B$9,Paramètres!$A$1:$I$89,3,0)*0.475*44/12</f>
        <v>5.3233672484881778</v>
      </c>
      <c r="AB115" s="21">
        <f>EXP(-LN(2)/2)*AB114+(1-EXP(-LN(2)/2))/(LN(2)/2)*V115*Y115*VLOOKUP('Données projet'!$B$9,Paramètres!$A$1:$I$89,3,0)*0.475*44/12</f>
        <v>3.4178353962569747E-13</v>
      </c>
      <c r="AC115" s="22">
        <f t="shared" si="57"/>
        <v>89.698333500053209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292.78079999999977</v>
      </c>
      <c r="AK115" s="13">
        <f t="shared" si="89"/>
        <v>69.660903052386217</v>
      </c>
      <c r="AL115" s="20">
        <f t="shared" si="58"/>
        <v>631.25263281623893</v>
      </c>
      <c r="AM115" s="59">
        <f t="shared" si="59"/>
        <v>924.58596614957219</v>
      </c>
      <c r="AN115" s="59">
        <f ca="1">AVERAGE(OFFSET($AM$3,0,0,'Données projet'!$E$10+1,1))-AVERAGE(OFFSET($H$3,0,0,'Données projet'!$E$10+1,1))</f>
        <v>331.52724290297675</v>
      </c>
      <c r="AO115" s="59">
        <f t="shared" si="90"/>
        <v>322.79102610158054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32.702706193912029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32.702706193912029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246.8543999999998</v>
      </c>
      <c r="BF115" s="13">
        <f t="shared" si="91"/>
        <v>59.911862368716115</v>
      </c>
      <c r="BG115" s="20">
        <f t="shared" si="61"/>
        <v>534.28457362551353</v>
      </c>
      <c r="BH115" s="59">
        <f t="shared" si="62"/>
        <v>827.61790695884679</v>
      </c>
      <c r="BI115" s="59">
        <f ca="1">AVERAGE(OFFSET($BH$3,0,0,'Données projet'!$E$11+1,1))-AVERAGE(OFFSET($H$3,0,0,'Données projet'!$E$11+1,1))</f>
        <v>273.84349636755343</v>
      </c>
      <c r="BJ115" s="59">
        <f t="shared" si="92"/>
        <v>268.10688874775451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27.572869928200344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27.572869928200344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401</v>
      </c>
      <c r="BZ115" s="13">
        <f>BY115*VLOOKUP('Données projet'!$B$12,Paramètres!$A$1:$I$89,3,0)*VLOOKUP('Données projet'!$B$12,Paramètres!$A$1:$I$89,5,0)</f>
        <v>250.22399999999999</v>
      </c>
      <c r="CA115" s="13">
        <f t="shared" si="93"/>
        <v>60.633904580527918</v>
      </c>
      <c r="CB115" s="20">
        <f t="shared" si="64"/>
        <v>541.41085047775289</v>
      </c>
      <c r="CC115" s="59">
        <f t="shared" si="65"/>
        <v>834.74418381108626</v>
      </c>
      <c r="CD115" s="59">
        <f ca="1">AVERAGE(OFFSET($CC$3,0,0,'Données projet'!$E$12+1,1))-AVERAGE(OFFSET($H$3,0,0,'Données projet'!$E$12+1,1))</f>
        <v>269.77739619445515</v>
      </c>
      <c r="CE115" s="59">
        <f t="shared" si="94"/>
        <v>347.56964743629885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27.343962510778894</v>
      </c>
      <c r="CL115" s="21">
        <f>EXP(-LN(2)/25)*CL114+(1-EXP(-LN(2)/25))/(LN(2)/25)*Calculateur!CG115*Calculateur!CI115*VLOOKUP('Données projet'!$B$12,Paramètres!$A$1:$I$89,3,0)*0.475*44/12</f>
        <v>9.4447556504742494</v>
      </c>
      <c r="CM115" s="21">
        <f>EXP(-LN(2)/2)*CM114+(1-EXP(-LN(2)/2))/(LN(2)/2)*CG115*CJ115*VLOOKUP('Données projet'!$B$12,Paramètres!$A$1:$I$89,3,0)*0.475*44/12</f>
        <v>1.1295172056173603E-14</v>
      </c>
      <c r="CN115" s="22">
        <f t="shared" si="66"/>
        <v>36.788718161253158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852.00000000000011</v>
      </c>
      <c r="O116" s="13">
        <f>N116*VLOOKUP('Données projet'!$B$9,Paramètres!$A$1:$I$89,3,0)*VLOOKUP('Données projet'!$B$9,Paramètres!$A$1:$I$89,5,0)</f>
        <v>420.88800000000009</v>
      </c>
      <c r="P116" s="13">
        <f t="shared" si="87"/>
        <v>95.998759891259041</v>
      </c>
      <c r="Q116" s="20">
        <f t="shared" si="107"/>
        <v>900.24444014394294</v>
      </c>
      <c r="R116" s="59">
        <f t="shared" si="55"/>
        <v>1193.5777734772762</v>
      </c>
      <c r="S116" s="59">
        <f ca="1">AVERAGE(OFFSET($R$3,0,0,'Données projet'!$E$9+1,1))-AVERAGE(OFFSET($H$3,0,0,'Données projet'!$E$9+1,1))</f>
        <v>434.08297999735811</v>
      </c>
      <c r="T116" s="59">
        <f t="shared" si="88"/>
        <v>371.04090283546122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82.720424627019298</v>
      </c>
      <c r="AA116" s="21">
        <f>EXP(-LN(2)/25)*AA115+(1-EXP(-LN(2)/25))/(LN(2)/25)*Calculateur!V116*Calculateur!X116*VLOOKUP('Données projet'!$B$9,Paramètres!$A$1:$I$89,3,0)*0.475*44/12</f>
        <v>5.177799491134552</v>
      </c>
      <c r="AB116" s="21">
        <f>EXP(-LN(2)/2)*AB115+(1-EXP(-LN(2)/2))/(LN(2)/2)*V116*Y116*VLOOKUP('Données projet'!$B$9,Paramètres!$A$1:$I$89,3,0)*0.475*44/12</f>
        <v>2.4167745856727175E-13</v>
      </c>
      <c r="AC116" s="22">
        <f t="shared" si="57"/>
        <v>87.89822411815409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292.78079999999977</v>
      </c>
      <c r="AK116" s="13">
        <f t="shared" si="89"/>
        <v>69.660903052386217</v>
      </c>
      <c r="AL116" s="20">
        <f t="shared" si="58"/>
        <v>631.25263281623893</v>
      </c>
      <c r="AM116" s="59">
        <f t="shared" si="59"/>
        <v>924.58596614957219</v>
      </c>
      <c r="AN116" s="59">
        <f ca="1">AVERAGE(OFFSET($AM$3,0,0,'Données projet'!$E$10+1,1))-AVERAGE(OFFSET($H$3,0,0,'Données projet'!$E$10+1,1))</f>
        <v>331.52724290297675</v>
      </c>
      <c r="AO116" s="59">
        <f t="shared" si="90"/>
        <v>322.79102610158054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32.061426072130622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32.061426072130622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246.8543999999998</v>
      </c>
      <c r="BF116" s="13">
        <f t="shared" si="91"/>
        <v>59.911862368716115</v>
      </c>
      <c r="BG116" s="20">
        <f t="shared" si="61"/>
        <v>534.28457362551353</v>
      </c>
      <c r="BH116" s="59">
        <f t="shared" si="62"/>
        <v>827.61790695884679</v>
      </c>
      <c r="BI116" s="59">
        <f ca="1">AVERAGE(OFFSET($BH$3,0,0,'Données projet'!$E$11+1,1))-AVERAGE(OFFSET($H$3,0,0,'Données projet'!$E$11+1,1))</f>
        <v>273.84349636755343</v>
      </c>
      <c r="BJ116" s="59">
        <f t="shared" si="92"/>
        <v>268.10688874775451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27.032182766698373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27.032182766698373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401</v>
      </c>
      <c r="BZ116" s="13">
        <f>BY116*VLOOKUP('Données projet'!$B$12,Paramètres!$A$1:$I$89,3,0)*VLOOKUP('Données projet'!$B$12,Paramètres!$A$1:$I$89,5,0)</f>
        <v>250.22399999999999</v>
      </c>
      <c r="CA116" s="13">
        <f t="shared" si="93"/>
        <v>60.633904580527918</v>
      </c>
      <c r="CB116" s="20">
        <f t="shared" si="64"/>
        <v>541.41085047775289</v>
      </c>
      <c r="CC116" s="59">
        <f t="shared" si="65"/>
        <v>834.74418381108626</v>
      </c>
      <c r="CD116" s="59">
        <f ca="1">AVERAGE(OFFSET($CC$3,0,0,'Données projet'!$E$12+1,1))-AVERAGE(OFFSET($H$3,0,0,'Données projet'!$E$12+1,1))</f>
        <v>269.77739619445515</v>
      </c>
      <c r="CE116" s="59">
        <f t="shared" si="94"/>
        <v>347.56964743629885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26.807764084112819</v>
      </c>
      <c r="CL116" s="21">
        <f>EXP(-LN(2)/25)*CL115+(1-EXP(-LN(2)/25))/(LN(2)/25)*Calculateur!CG116*Calculateur!CI116*VLOOKUP('Données projet'!$B$12,Paramètres!$A$1:$I$89,3,0)*0.475*44/12</f>
        <v>9.1864883105339175</v>
      </c>
      <c r="CM116" s="21">
        <f>EXP(-LN(2)/2)*CM115+(1-EXP(-LN(2)/2))/(LN(2)/2)*CG116*CJ116*VLOOKUP('Données projet'!$B$12,Paramètres!$A$1:$I$89,3,0)*0.475*44/12</f>
        <v>7.9868927555891539E-15</v>
      </c>
      <c r="CN116" s="22">
        <f t="shared" si="66"/>
        <v>35.994252394646743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852.00000000000011</v>
      </c>
      <c r="O117" s="13">
        <f>N117*VLOOKUP('Données projet'!$B$9,Paramètres!$A$1:$I$89,3,0)*VLOOKUP('Données projet'!$B$9,Paramètres!$A$1:$I$89,5,0)</f>
        <v>420.88800000000009</v>
      </c>
      <c r="P117" s="13">
        <f t="shared" si="87"/>
        <v>95.998759891259041</v>
      </c>
      <c r="Q117" s="20">
        <f t="shared" si="107"/>
        <v>900.24444014394294</v>
      </c>
      <c r="R117" s="59">
        <f t="shared" si="55"/>
        <v>1193.5777734772762</v>
      </c>
      <c r="S117" s="59">
        <f ca="1">AVERAGE(OFFSET($R$3,0,0,'Données projet'!$E$9+1,1))-AVERAGE(OFFSET($H$3,0,0,'Données projet'!$E$9+1,1))</f>
        <v>434.08297999735811</v>
      </c>
      <c r="T117" s="59">
        <f t="shared" si="88"/>
        <v>371.04090283546122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81.098327554560512</v>
      </c>
      <c r="AA117" s="21">
        <f>EXP(-LN(2)/25)*AA116+(1-EXP(-LN(2)/25))/(LN(2)/25)*Calculateur!V117*Calculateur!X117*VLOOKUP('Données projet'!$B$9,Paramètres!$A$1:$I$89,3,0)*0.475*44/12</f>
        <v>5.0362122917608367</v>
      </c>
      <c r="AB117" s="21">
        <f>EXP(-LN(2)/2)*AB116+(1-EXP(-LN(2)/2))/(LN(2)/2)*V117*Y117*VLOOKUP('Données projet'!$B$9,Paramètres!$A$1:$I$89,3,0)*0.475*44/12</f>
        <v>1.7089176981284873E-13</v>
      </c>
      <c r="AC117" s="22">
        <f t="shared" si="57"/>
        <v>86.134539846321516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292.78079999999977</v>
      </c>
      <c r="AK117" s="13">
        <f t="shared" si="89"/>
        <v>69.660903052386217</v>
      </c>
      <c r="AL117" s="20">
        <f t="shared" si="58"/>
        <v>631.25263281623893</v>
      </c>
      <c r="AM117" s="59">
        <f t="shared" si="59"/>
        <v>924.58596614957219</v>
      </c>
      <c r="AN117" s="59">
        <f ca="1">AVERAGE(OFFSET($AM$3,0,0,'Données projet'!$E$10+1,1))-AVERAGE(OFFSET($H$3,0,0,'Données projet'!$E$10+1,1))</f>
        <v>331.52724290297675</v>
      </c>
      <c r="AO117" s="59">
        <f t="shared" si="90"/>
        <v>322.79102610158054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31.432721062395096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31.432721062395096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246.8543999999998</v>
      </c>
      <c r="BF117" s="13">
        <f t="shared" si="91"/>
        <v>59.911862368716115</v>
      </c>
      <c r="BG117" s="20">
        <f t="shared" si="61"/>
        <v>534.28457362551353</v>
      </c>
      <c r="BH117" s="59">
        <f t="shared" si="62"/>
        <v>827.61790695884679</v>
      </c>
      <c r="BI117" s="59">
        <f ca="1">AVERAGE(OFFSET($BH$3,0,0,'Données projet'!$E$11+1,1))-AVERAGE(OFFSET($H$3,0,0,'Données projet'!$E$11+1,1))</f>
        <v>273.84349636755343</v>
      </c>
      <c r="BJ117" s="59">
        <f t="shared" si="92"/>
        <v>268.10688874775451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26.502098150646852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26.502098150646852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401</v>
      </c>
      <c r="BZ117" s="13">
        <f>BY117*VLOOKUP('Données projet'!$B$12,Paramètres!$A$1:$I$89,3,0)*VLOOKUP('Données projet'!$B$12,Paramètres!$A$1:$I$89,5,0)</f>
        <v>250.22399999999999</v>
      </c>
      <c r="CA117" s="13">
        <f t="shared" si="93"/>
        <v>60.633904580527918</v>
      </c>
      <c r="CB117" s="20">
        <f t="shared" si="64"/>
        <v>541.41085047775289</v>
      </c>
      <c r="CC117" s="59">
        <f t="shared" si="65"/>
        <v>834.74418381108626</v>
      </c>
      <c r="CD117" s="59">
        <f ca="1">AVERAGE(OFFSET($CC$3,0,0,'Données projet'!$E$12+1,1))-AVERAGE(OFFSET($H$3,0,0,'Données projet'!$E$12+1,1))</f>
        <v>269.77739619445515</v>
      </c>
      <c r="CE117" s="59">
        <f t="shared" si="94"/>
        <v>347.56964743629885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26.28208018154492</v>
      </c>
      <c r="CL117" s="21">
        <f>EXP(-LN(2)/25)*CL116+(1-EXP(-LN(2)/25))/(LN(2)/25)*Calculateur!CG117*Calculateur!CI117*VLOOKUP('Données projet'!$B$12,Paramètres!$A$1:$I$89,3,0)*0.475*44/12</f>
        <v>8.9352833045859441</v>
      </c>
      <c r="CM117" s="21">
        <f>EXP(-LN(2)/2)*CM116+(1-EXP(-LN(2)/2))/(LN(2)/2)*CG117*CJ117*VLOOKUP('Données projet'!$B$12,Paramètres!$A$1:$I$89,3,0)*0.475*44/12</f>
        <v>5.6475860280868015E-15</v>
      </c>
      <c r="CN117" s="22">
        <f t="shared" si="66"/>
        <v>35.217363486130871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852.00000000000011</v>
      </c>
      <c r="O118" s="13">
        <f>N118*VLOOKUP('Données projet'!$B$9,Paramètres!$A$1:$I$89,3,0)*VLOOKUP('Données projet'!$B$9,Paramètres!$A$1:$I$89,5,0)</f>
        <v>420.88800000000009</v>
      </c>
      <c r="P118" s="13">
        <f t="shared" si="87"/>
        <v>95.998759891259041</v>
      </c>
      <c r="Q118" s="20">
        <f t="shared" si="107"/>
        <v>900.24444014394294</v>
      </c>
      <c r="R118" s="59">
        <f t="shared" si="55"/>
        <v>1193.5777734772762</v>
      </c>
      <c r="S118" s="59">
        <f ca="1">AVERAGE(OFFSET($R$3,0,0,'Données projet'!$E$9+1,1))-AVERAGE(OFFSET($H$3,0,0,'Données projet'!$E$9+1,1))</f>
        <v>434.08297999735811</v>
      </c>
      <c r="T118" s="59">
        <f t="shared" si="88"/>
        <v>371.04090283546122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79.508038816311114</v>
      </c>
      <c r="AA118" s="21">
        <f>EXP(-LN(2)/25)*AA117+(1-EXP(-LN(2)/25))/(LN(2)/25)*Calculateur!V118*Calculateur!X118*VLOOKUP('Données projet'!$B$9,Paramètres!$A$1:$I$89,3,0)*0.475*44/12</f>
        <v>4.8984968017997428</v>
      </c>
      <c r="AB118" s="21">
        <f>EXP(-LN(2)/2)*AB117+(1-EXP(-LN(2)/2))/(LN(2)/2)*V118*Y118*VLOOKUP('Données projet'!$B$9,Paramètres!$A$1:$I$89,3,0)*0.475*44/12</f>
        <v>1.2083872928363587E-13</v>
      </c>
      <c r="AC118" s="22">
        <f t="shared" si="57"/>
        <v>84.406535618110979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292.78079999999977</v>
      </c>
      <c r="AK118" s="13">
        <f t="shared" si="89"/>
        <v>69.660903052386217</v>
      </c>
      <c r="AL118" s="20">
        <f t="shared" si="58"/>
        <v>631.25263281623893</v>
      </c>
      <c r="AM118" s="59">
        <f t="shared" si="59"/>
        <v>924.58596614957219</v>
      </c>
      <c r="AN118" s="59">
        <f ca="1">AVERAGE(OFFSET($AM$3,0,0,'Données projet'!$E$10+1,1))-AVERAGE(OFFSET($H$3,0,0,'Données projet'!$E$10+1,1))</f>
        <v>331.52724290297675</v>
      </c>
      <c r="AO118" s="59">
        <f t="shared" si="90"/>
        <v>322.79102610158054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30.816344574428292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30.816344574428292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246.8543999999998</v>
      </c>
      <c r="BF118" s="13">
        <f t="shared" si="91"/>
        <v>59.911862368716115</v>
      </c>
      <c r="BG118" s="20">
        <f t="shared" si="61"/>
        <v>534.28457362551353</v>
      </c>
      <c r="BH118" s="59">
        <f t="shared" si="62"/>
        <v>827.61790695884679</v>
      </c>
      <c r="BI118" s="59">
        <f ca="1">AVERAGE(OFFSET($BH$3,0,0,'Données projet'!$E$11+1,1))-AVERAGE(OFFSET($H$3,0,0,'Données projet'!$E$11+1,1))</f>
        <v>273.84349636755343</v>
      </c>
      <c r="BJ118" s="59">
        <f t="shared" si="92"/>
        <v>268.10688874775451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25.982408170596408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25.982408170596408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401</v>
      </c>
      <c r="BZ118" s="13">
        <f>BY118*VLOOKUP('Données projet'!$B$12,Paramètres!$A$1:$I$89,3,0)*VLOOKUP('Données projet'!$B$12,Paramètres!$A$1:$I$89,5,0)</f>
        <v>250.22399999999999</v>
      </c>
      <c r="CA118" s="13">
        <f t="shared" si="93"/>
        <v>60.633904580527918</v>
      </c>
      <c r="CB118" s="20">
        <f t="shared" si="64"/>
        <v>541.41085047775289</v>
      </c>
      <c r="CC118" s="59">
        <f t="shared" si="65"/>
        <v>834.74418381108626</v>
      </c>
      <c r="CD118" s="59">
        <f ca="1">AVERAGE(OFFSET($CC$3,0,0,'Données projet'!$E$12+1,1))-AVERAGE(OFFSET($H$3,0,0,'Données projet'!$E$12+1,1))</f>
        <v>269.77739619445515</v>
      </c>
      <c r="CE118" s="59">
        <f t="shared" si="94"/>
        <v>347.56964743629885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25.766704619670858</v>
      </c>
      <c r="CL118" s="21">
        <f>EXP(-LN(2)/25)*CL117+(1-EXP(-LN(2)/25))/(LN(2)/25)*Calculateur!CG118*Calculateur!CI118*VLOOKUP('Données projet'!$B$12,Paramètres!$A$1:$I$89,3,0)*0.475*44/12</f>
        <v>8.6909475127359137</v>
      </c>
      <c r="CM118" s="21">
        <f>EXP(-LN(2)/2)*CM117+(1-EXP(-LN(2)/2))/(LN(2)/2)*CG118*CJ118*VLOOKUP('Données projet'!$B$12,Paramètres!$A$1:$I$89,3,0)*0.475*44/12</f>
        <v>3.9934463777945769E-15</v>
      </c>
      <c r="CN118" s="22">
        <f t="shared" si="66"/>
        <v>34.457652132406778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852.00000000000011</v>
      </c>
      <c r="O119" s="13">
        <f>N119*VLOOKUP('Données projet'!$B$9,Paramètres!$A$1:$I$89,3,0)*VLOOKUP('Données projet'!$B$9,Paramètres!$A$1:$I$89,5,0)</f>
        <v>420.88800000000009</v>
      </c>
      <c r="P119" s="13">
        <f t="shared" si="87"/>
        <v>95.998759891259041</v>
      </c>
      <c r="Q119" s="20">
        <f t="shared" si="107"/>
        <v>900.24444014394294</v>
      </c>
      <c r="R119" s="59">
        <f t="shared" si="55"/>
        <v>1193.5777734772762</v>
      </c>
      <c r="S119" s="59">
        <f ca="1">AVERAGE(OFFSET($R$3,0,0,'Données projet'!$E$9+1,1))-AVERAGE(OFFSET($H$3,0,0,'Données projet'!$E$9+1,1))</f>
        <v>434.08297999735811</v>
      </c>
      <c r="T119" s="59">
        <f t="shared" si="88"/>
        <v>371.04090283546122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77.94893467023843</v>
      </c>
      <c r="AA119" s="21">
        <f>EXP(-LN(2)/25)*AA118+(1-EXP(-LN(2)/25))/(LN(2)/25)*Calculateur!V119*Calculateur!X119*VLOOKUP('Données projet'!$B$9,Paramètres!$A$1:$I$89,3,0)*0.475*44/12</f>
        <v>4.7645471491537776</v>
      </c>
      <c r="AB119" s="21">
        <f>EXP(-LN(2)/2)*AB118+(1-EXP(-LN(2)/2))/(LN(2)/2)*V119*Y119*VLOOKUP('Données projet'!$B$9,Paramètres!$A$1:$I$89,3,0)*0.475*44/12</f>
        <v>8.5445884906424367E-14</v>
      </c>
      <c r="AC119" s="22">
        <f t="shared" si="57"/>
        <v>82.713481819392285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292.78079999999977</v>
      </c>
      <c r="AK119" s="13">
        <f t="shared" si="89"/>
        <v>69.660903052386217</v>
      </c>
      <c r="AL119" s="20">
        <f t="shared" si="58"/>
        <v>631.25263281623893</v>
      </c>
      <c r="AM119" s="59">
        <f t="shared" si="59"/>
        <v>924.58596614957219</v>
      </c>
      <c r="AN119" s="59">
        <f ca="1">AVERAGE(OFFSET($AM$3,0,0,'Données projet'!$E$10+1,1))-AVERAGE(OFFSET($H$3,0,0,'Données projet'!$E$10+1,1))</f>
        <v>331.52724290297675</v>
      </c>
      <c r="AO119" s="59">
        <f t="shared" si="90"/>
        <v>322.79102610158054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30.212054853437984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30.212054853437984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246.8543999999998</v>
      </c>
      <c r="BF119" s="13">
        <f t="shared" si="91"/>
        <v>59.911862368716115</v>
      </c>
      <c r="BG119" s="20">
        <f t="shared" si="61"/>
        <v>534.28457362551353</v>
      </c>
      <c r="BH119" s="59">
        <f t="shared" si="62"/>
        <v>827.61790695884679</v>
      </c>
      <c r="BI119" s="59">
        <f ca="1">AVERAGE(OFFSET($BH$3,0,0,'Données projet'!$E$11+1,1))-AVERAGE(OFFSET($H$3,0,0,'Données projet'!$E$11+1,1))</f>
        <v>273.84349636755343</v>
      </c>
      <c r="BJ119" s="59">
        <f t="shared" si="92"/>
        <v>268.10688874775451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25.472908994075166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25.472908994075166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401</v>
      </c>
      <c r="BZ119" s="13">
        <f>BY119*VLOOKUP('Données projet'!$B$12,Paramètres!$A$1:$I$89,3,0)*VLOOKUP('Données projet'!$B$12,Paramètres!$A$1:$I$89,5,0)</f>
        <v>250.22399999999999</v>
      </c>
      <c r="CA119" s="13">
        <f t="shared" si="93"/>
        <v>60.633904580527918</v>
      </c>
      <c r="CB119" s="20">
        <f t="shared" si="64"/>
        <v>541.41085047775289</v>
      </c>
      <c r="CC119" s="59">
        <f t="shared" si="65"/>
        <v>834.74418381108626</v>
      </c>
      <c r="CD119" s="59">
        <f ca="1">AVERAGE(OFFSET($CC$3,0,0,'Données projet'!$E$12+1,1))-AVERAGE(OFFSET($H$3,0,0,'Données projet'!$E$12+1,1))</f>
        <v>269.77739619445515</v>
      </c>
      <c r="CE119" s="59">
        <f t="shared" si="94"/>
        <v>347.56964743629885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25.261435258217091</v>
      </c>
      <c r="CL119" s="21">
        <f>EXP(-LN(2)/25)*CL118+(1-EXP(-LN(2)/25))/(LN(2)/25)*Calculateur!CG119*Calculateur!CI119*VLOOKUP('Données projet'!$B$12,Paramètres!$A$1:$I$89,3,0)*0.475*44/12</f>
        <v>8.4532930959630832</v>
      </c>
      <c r="CM119" s="21">
        <f>EXP(-LN(2)/2)*CM118+(1-EXP(-LN(2)/2))/(LN(2)/2)*CG119*CJ119*VLOOKUP('Données projet'!$B$12,Paramètres!$A$1:$I$89,3,0)*0.475*44/12</f>
        <v>2.8237930140434008E-15</v>
      </c>
      <c r="CN119" s="22">
        <f t="shared" si="66"/>
        <v>33.714728354180174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852.00000000000011</v>
      </c>
      <c r="O120" s="13">
        <f>N120*VLOOKUP('Données projet'!$B$9,Paramètres!$A$1:$I$89,3,0)*VLOOKUP('Données projet'!$B$9,Paramètres!$A$1:$I$89,5,0)</f>
        <v>420.88800000000009</v>
      </c>
      <c r="P120" s="13">
        <f t="shared" si="87"/>
        <v>95.998759891259041</v>
      </c>
      <c r="Q120" s="20">
        <f t="shared" si="107"/>
        <v>900.24444014394294</v>
      </c>
      <c r="R120" s="59">
        <f t="shared" si="55"/>
        <v>1193.5777734772762</v>
      </c>
      <c r="S120" s="59">
        <f ca="1">AVERAGE(OFFSET($R$3,0,0,'Données projet'!$E$9+1,1))-AVERAGE(OFFSET($H$3,0,0,'Données projet'!$E$9+1,1))</f>
        <v>434.08297999735811</v>
      </c>
      <c r="T120" s="59">
        <f t="shared" si="88"/>
        <v>371.04090283546122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76.420403605510614</v>
      </c>
      <c r="AA120" s="21">
        <f>EXP(-LN(2)/25)*AA119+(1-EXP(-LN(2)/25))/(LN(2)/25)*Calculateur!V120*Calculateur!X120*VLOOKUP('Données projet'!$B$9,Paramètres!$A$1:$I$89,3,0)*0.475*44/12</f>
        <v>4.6342603568035221</v>
      </c>
      <c r="AB120" s="21">
        <f>EXP(-LN(2)/2)*AB119+(1-EXP(-LN(2)/2))/(LN(2)/2)*V120*Y120*VLOOKUP('Données projet'!$B$9,Paramètres!$A$1:$I$89,3,0)*0.475*44/12</f>
        <v>6.0419364641817937E-14</v>
      </c>
      <c r="AC120" s="22">
        <f t="shared" si="57"/>
        <v>81.054663962314194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292.78079999999977</v>
      </c>
      <c r="AK120" s="13">
        <f t="shared" si="89"/>
        <v>69.660903052386217</v>
      </c>
      <c r="AL120" s="20">
        <f t="shared" si="58"/>
        <v>631.25263281623893</v>
      </c>
      <c r="AM120" s="59">
        <f t="shared" si="59"/>
        <v>924.58596614957219</v>
      </c>
      <c r="AN120" s="59">
        <f ca="1">AVERAGE(OFFSET($AM$3,0,0,'Données projet'!$E$10+1,1))-AVERAGE(OFFSET($H$3,0,0,'Données projet'!$E$10+1,1))</f>
        <v>331.52724290297675</v>
      </c>
      <c r="AO120" s="59">
        <f t="shared" si="90"/>
        <v>322.79102610158054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29.619614885295956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29.619614885295956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246.8543999999998</v>
      </c>
      <c r="BF120" s="13">
        <f t="shared" si="91"/>
        <v>59.911862368716115</v>
      </c>
      <c r="BG120" s="20">
        <f t="shared" si="61"/>
        <v>534.28457362551353</v>
      </c>
      <c r="BH120" s="59">
        <f t="shared" si="62"/>
        <v>827.61790695884679</v>
      </c>
      <c r="BI120" s="59">
        <f ca="1">AVERAGE(OFFSET($BH$3,0,0,'Données projet'!$E$11+1,1))-AVERAGE(OFFSET($H$3,0,0,'Données projet'!$E$11+1,1))</f>
        <v>273.84349636755343</v>
      </c>
      <c r="BJ120" s="59">
        <f t="shared" si="92"/>
        <v>268.10688874775451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24.973400785641694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24.973400785641694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401</v>
      </c>
      <c r="BZ120" s="13">
        <f>BY120*VLOOKUP('Données projet'!$B$12,Paramètres!$A$1:$I$89,3,0)*VLOOKUP('Données projet'!$B$12,Paramètres!$A$1:$I$89,5,0)</f>
        <v>250.22399999999999</v>
      </c>
      <c r="CA120" s="13">
        <f t="shared" si="93"/>
        <v>60.633904580527918</v>
      </c>
      <c r="CB120" s="20">
        <f t="shared" si="64"/>
        <v>541.41085047775289</v>
      </c>
      <c r="CC120" s="59">
        <f t="shared" si="65"/>
        <v>834.74418381108626</v>
      </c>
      <c r="CD120" s="59">
        <f ca="1">AVERAGE(OFFSET($CC$3,0,0,'Données projet'!$E$12+1,1))-AVERAGE(OFFSET($H$3,0,0,'Données projet'!$E$12+1,1))</f>
        <v>269.77739619445515</v>
      </c>
      <c r="CE120" s="59">
        <f t="shared" si="94"/>
        <v>347.56964743629885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24.766073920757552</v>
      </c>
      <c r="CL120" s="21">
        <f>EXP(-LN(2)/25)*CL119+(1-EXP(-LN(2)/25))/(LN(2)/25)*Calculateur!CG120*Calculateur!CI120*VLOOKUP('Données projet'!$B$12,Paramètres!$A$1:$I$89,3,0)*0.475*44/12</f>
        <v>8.2221373517146095</v>
      </c>
      <c r="CM120" s="21">
        <f>EXP(-LN(2)/2)*CM119+(1-EXP(-LN(2)/2))/(LN(2)/2)*CG120*CJ120*VLOOKUP('Données projet'!$B$12,Paramètres!$A$1:$I$89,3,0)*0.475*44/12</f>
        <v>1.9967231888972885E-15</v>
      </c>
      <c r="CN120" s="22">
        <f t="shared" si="66"/>
        <v>32.988211272472164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852.00000000000011</v>
      </c>
      <c r="O121" s="13">
        <f>N121*VLOOKUP('Données projet'!$B$9,Paramètres!$A$1:$I$89,3,0)*VLOOKUP('Données projet'!$B$9,Paramètres!$A$1:$I$89,5,0)</f>
        <v>420.88800000000009</v>
      </c>
      <c r="P121" s="13">
        <f t="shared" si="87"/>
        <v>95.998759891259041</v>
      </c>
      <c r="Q121" s="20">
        <f t="shared" si="107"/>
        <v>900.24444014394294</v>
      </c>
      <c r="R121" s="59">
        <f t="shared" si="55"/>
        <v>1193.5777734772762</v>
      </c>
      <c r="S121" s="59">
        <f ca="1">AVERAGE(OFFSET($R$3,0,0,'Données projet'!$E$9+1,1))-AVERAGE(OFFSET($H$3,0,0,'Données projet'!$E$9+1,1))</f>
        <v>434.08297999735811</v>
      </c>
      <c r="T121" s="59">
        <f t="shared" si="88"/>
        <v>371.04090283546122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74.921846102650207</v>
      </c>
      <c r="AA121" s="21">
        <f>EXP(-LN(2)/25)*AA120+(1-EXP(-LN(2)/25))/(LN(2)/25)*Calculateur!V121*Calculateur!X121*VLOOKUP('Données projet'!$B$9,Paramètres!$A$1:$I$89,3,0)*0.475*44/12</f>
        <v>4.507536263641569</v>
      </c>
      <c r="AB121" s="21">
        <f>EXP(-LN(2)/2)*AB120+(1-EXP(-LN(2)/2))/(LN(2)/2)*V121*Y121*VLOOKUP('Données projet'!$B$9,Paramètres!$A$1:$I$89,3,0)*0.475*44/12</f>
        <v>4.2722942453212184E-14</v>
      </c>
      <c r="AC121" s="22">
        <f t="shared" si="57"/>
        <v>79.429382366291819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292.78079999999977</v>
      </c>
      <c r="AK121" s="13">
        <f t="shared" si="89"/>
        <v>69.660903052386217</v>
      </c>
      <c r="AL121" s="20">
        <f t="shared" si="58"/>
        <v>631.25263281623893</v>
      </c>
      <c r="AM121" s="59">
        <f t="shared" si="59"/>
        <v>924.58596614957219</v>
      </c>
      <c r="AN121" s="59">
        <f ca="1">AVERAGE(OFFSET($AM$3,0,0,'Données projet'!$E$10+1,1))-AVERAGE(OFFSET($H$3,0,0,'Données projet'!$E$10+1,1))</f>
        <v>331.52724290297675</v>
      </c>
      <c r="AO121" s="59">
        <f t="shared" si="90"/>
        <v>322.79102610158054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29.038792303576496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29.038792303576496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246.8543999999998</v>
      </c>
      <c r="BF121" s="13">
        <f t="shared" si="91"/>
        <v>59.911862368716115</v>
      </c>
      <c r="BG121" s="20">
        <f t="shared" si="61"/>
        <v>534.28457362551353</v>
      </c>
      <c r="BH121" s="59">
        <f t="shared" si="62"/>
        <v>827.61790695884679</v>
      </c>
      <c r="BI121" s="59">
        <f ca="1">AVERAGE(OFFSET($BH$3,0,0,'Données projet'!$E$11+1,1))-AVERAGE(OFFSET($H$3,0,0,'Données projet'!$E$11+1,1))</f>
        <v>273.84349636755343</v>
      </c>
      <c r="BJ121" s="59">
        <f t="shared" si="92"/>
        <v>268.10688874775451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24.483687628505677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24.483687628505677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401</v>
      </c>
      <c r="BZ121" s="13">
        <f>BY121*VLOOKUP('Données projet'!$B$12,Paramètres!$A$1:$I$89,3,0)*VLOOKUP('Données projet'!$B$12,Paramètres!$A$1:$I$89,5,0)</f>
        <v>250.22399999999999</v>
      </c>
      <c r="CA121" s="13">
        <f t="shared" si="93"/>
        <v>60.633904580527918</v>
      </c>
      <c r="CB121" s="20">
        <f t="shared" si="64"/>
        <v>541.41085047775289</v>
      </c>
      <c r="CC121" s="59">
        <f t="shared" si="65"/>
        <v>834.74418381108626</v>
      </c>
      <c r="CD121" s="59">
        <f ca="1">AVERAGE(OFFSET($CC$3,0,0,'Données projet'!$E$12+1,1))-AVERAGE(OFFSET($H$3,0,0,'Données projet'!$E$12+1,1))</f>
        <v>269.77739619445515</v>
      </c>
      <c r="CE121" s="59">
        <f t="shared" si="94"/>
        <v>347.56964743629885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24.280426316985015</v>
      </c>
      <c r="CL121" s="21">
        <f>EXP(-LN(2)/25)*CL120+(1-EXP(-LN(2)/25))/(LN(2)/25)*Calculateur!CG121*Calculateur!CI121*VLOOKUP('Données projet'!$B$12,Paramètres!$A$1:$I$89,3,0)*0.475*44/12</f>
        <v>7.9973025734485619</v>
      </c>
      <c r="CM121" s="21">
        <f>EXP(-LN(2)/2)*CM120+(1-EXP(-LN(2)/2))/(LN(2)/2)*CG121*CJ121*VLOOKUP('Données projet'!$B$12,Paramètres!$A$1:$I$89,3,0)*0.475*44/12</f>
        <v>1.4118965070217004E-15</v>
      </c>
      <c r="CN121" s="22">
        <f t="shared" si="66"/>
        <v>32.277728890433579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852.00000000000011</v>
      </c>
      <c r="O122" s="13">
        <f>N122*VLOOKUP('Données projet'!$B$9,Paramètres!$A$1:$I$89,3,0)*VLOOKUP('Données projet'!$B$9,Paramètres!$A$1:$I$89,5,0)</f>
        <v>420.88800000000009</v>
      </c>
      <c r="P122" s="13">
        <f t="shared" si="87"/>
        <v>95.998759891259041</v>
      </c>
      <c r="Q122" s="20">
        <f t="shared" si="107"/>
        <v>900.24444014394294</v>
      </c>
      <c r="R122" s="59">
        <f t="shared" si="55"/>
        <v>1193.5777734772762</v>
      </c>
      <c r="S122" s="59">
        <f ca="1">AVERAGE(OFFSET($R$3,0,0,'Données projet'!$E$9+1,1))-AVERAGE(OFFSET($H$3,0,0,'Données projet'!$E$9+1,1))</f>
        <v>434.08297999735811</v>
      </c>
      <c r="T122" s="59">
        <f t="shared" si="88"/>
        <v>371.04090283546122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73.452674398391068</v>
      </c>
      <c r="AA122" s="21">
        <f>EXP(-LN(2)/25)*AA121+(1-EXP(-LN(2)/25))/(LN(2)/25)*Calculateur!V122*Calculateur!X122*VLOOKUP('Données projet'!$B$9,Paramètres!$A$1:$I$89,3,0)*0.475*44/12</f>
        <v>4.38427744747126</v>
      </c>
      <c r="AB122" s="21">
        <f>EXP(-LN(2)/2)*AB121+(1-EXP(-LN(2)/2))/(LN(2)/2)*V122*Y122*VLOOKUP('Données projet'!$B$9,Paramètres!$A$1:$I$89,3,0)*0.475*44/12</f>
        <v>3.0209682320908968E-14</v>
      </c>
      <c r="AC122" s="22">
        <f t="shared" si="57"/>
        <v>77.836951845862359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292.78079999999977</v>
      </c>
      <c r="AK122" s="13">
        <f t="shared" si="89"/>
        <v>69.660903052386217</v>
      </c>
      <c r="AL122" s="20">
        <f t="shared" si="58"/>
        <v>631.25263281623893</v>
      </c>
      <c r="AM122" s="59">
        <f t="shared" si="59"/>
        <v>924.58596614957219</v>
      </c>
      <c r="AN122" s="59">
        <f ca="1">AVERAGE(OFFSET($AM$3,0,0,'Données projet'!$E$10+1,1))-AVERAGE(OFFSET($H$3,0,0,'Données projet'!$E$10+1,1))</f>
        <v>331.52724290297675</v>
      </c>
      <c r="AO122" s="59">
        <f t="shared" si="90"/>
        <v>322.79102610158054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28.469359298417761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28.469359298417761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246.8543999999998</v>
      </c>
      <c r="BF122" s="13">
        <f t="shared" si="91"/>
        <v>59.911862368716115</v>
      </c>
      <c r="BG122" s="20">
        <f t="shared" si="61"/>
        <v>534.28457362551353</v>
      </c>
      <c r="BH122" s="59">
        <f t="shared" si="62"/>
        <v>827.61790695884679</v>
      </c>
      <c r="BI122" s="59">
        <f ca="1">AVERAGE(OFFSET($BH$3,0,0,'Données projet'!$E$11+1,1))-AVERAGE(OFFSET($H$3,0,0,'Données projet'!$E$11+1,1))</f>
        <v>273.84349636755343</v>
      </c>
      <c r="BJ122" s="59">
        <f t="shared" si="92"/>
        <v>268.10688874775451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24.003577447685565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24.003577447685565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401</v>
      </c>
      <c r="BZ122" s="13">
        <f>BY122*VLOOKUP('Données projet'!$B$12,Paramètres!$A$1:$I$89,3,0)*VLOOKUP('Données projet'!$B$12,Paramètres!$A$1:$I$89,5,0)</f>
        <v>250.22399999999999</v>
      </c>
      <c r="CA122" s="13">
        <f t="shared" si="93"/>
        <v>60.633904580527918</v>
      </c>
      <c r="CB122" s="20">
        <f t="shared" si="64"/>
        <v>541.41085047775289</v>
      </c>
      <c r="CC122" s="59">
        <f t="shared" si="65"/>
        <v>834.74418381108626</v>
      </c>
      <c r="CD122" s="59">
        <f ca="1">AVERAGE(OFFSET($CC$3,0,0,'Données projet'!$E$12+1,1))-AVERAGE(OFFSET($H$3,0,0,'Données projet'!$E$12+1,1))</f>
        <v>269.77739619445515</v>
      </c>
      <c r="CE122" s="59">
        <f t="shared" si="94"/>
        <v>347.56964743629885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23.804301966506664</v>
      </c>
      <c r="CL122" s="21">
        <f>EXP(-LN(2)/25)*CL121+(1-EXP(-LN(2)/25))/(LN(2)/25)*Calculateur!CG122*Calculateur!CI122*VLOOKUP('Données projet'!$B$12,Paramètres!$A$1:$I$89,3,0)*0.475*44/12</f>
        <v>7.7786159140177471</v>
      </c>
      <c r="CM122" s="21">
        <f>EXP(-LN(2)/2)*CM121+(1-EXP(-LN(2)/2))/(LN(2)/2)*CG122*CJ122*VLOOKUP('Données projet'!$B$12,Paramètres!$A$1:$I$89,3,0)*0.475*44/12</f>
        <v>9.9836159444864423E-16</v>
      </c>
      <c r="CN122" s="22">
        <f t="shared" si="66"/>
        <v>31.582917880524413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852.00000000000011</v>
      </c>
      <c r="O123" s="13">
        <f>N123*VLOOKUP('Données projet'!$B$9,Paramètres!$A$1:$I$89,3,0)*VLOOKUP('Données projet'!$B$9,Paramètres!$A$1:$I$89,5,0)</f>
        <v>420.88800000000009</v>
      </c>
      <c r="P123" s="13">
        <f t="shared" si="87"/>
        <v>95.998759891259041</v>
      </c>
      <c r="Q123" s="20">
        <f t="shared" si="107"/>
        <v>900.24444014394294</v>
      </c>
      <c r="R123" s="59">
        <f t="shared" si="55"/>
        <v>1193.5777734772762</v>
      </c>
      <c r="S123" s="59">
        <f ca="1">AVERAGE(OFFSET($R$3,0,0,'Données projet'!$E$9+1,1))-AVERAGE(OFFSET($H$3,0,0,'Données projet'!$E$9+1,1))</f>
        <v>434.08297999735811</v>
      </c>
      <c r="T123" s="59">
        <f t="shared" si="88"/>
        <v>371.04090283546122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72.012312255146199</v>
      </c>
      <c r="AA123" s="21">
        <f>EXP(-LN(2)/25)*AA122+(1-EXP(-LN(2)/25))/(LN(2)/25)*Calculateur!V123*Calculateur!X123*VLOOKUP('Données projet'!$B$9,Paramètres!$A$1:$I$89,3,0)*0.475*44/12</f>
        <v>4.264389150111028</v>
      </c>
      <c r="AB123" s="21">
        <f>EXP(-LN(2)/2)*AB122+(1-EXP(-LN(2)/2))/(LN(2)/2)*V123*Y123*VLOOKUP('Données projet'!$B$9,Paramètres!$A$1:$I$89,3,0)*0.475*44/12</f>
        <v>2.1361471226606092E-14</v>
      </c>
      <c r="AC123" s="22">
        <f t="shared" si="57"/>
        <v>76.276701405257256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292.78079999999977</v>
      </c>
      <c r="AK123" s="13">
        <f t="shared" si="89"/>
        <v>69.660903052386217</v>
      </c>
      <c r="AL123" s="20">
        <f t="shared" si="58"/>
        <v>631.25263281623893</v>
      </c>
      <c r="AM123" s="59">
        <f t="shared" si="59"/>
        <v>924.58596614957219</v>
      </c>
      <c r="AN123" s="59">
        <f ca="1">AVERAGE(OFFSET($AM$3,0,0,'Données projet'!$E$10+1,1))-AVERAGE(OFFSET($H$3,0,0,'Données projet'!$E$10+1,1))</f>
        <v>331.52724290297675</v>
      </c>
      <c r="AO123" s="59">
        <f t="shared" si="90"/>
        <v>322.79102610158054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27.91109252717035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27.91109252717035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246.8543999999998</v>
      </c>
      <c r="BF123" s="13">
        <f t="shared" si="91"/>
        <v>59.911862368716115</v>
      </c>
      <c r="BG123" s="20">
        <f t="shared" si="61"/>
        <v>534.28457362551353</v>
      </c>
      <c r="BH123" s="59">
        <f t="shared" si="62"/>
        <v>827.61790695884679</v>
      </c>
      <c r="BI123" s="59">
        <f ca="1">AVERAGE(OFFSET($BH$3,0,0,'Données projet'!$E$11+1,1))-AVERAGE(OFFSET($H$3,0,0,'Données projet'!$E$11+1,1))</f>
        <v>273.84349636755343</v>
      </c>
      <c r="BJ123" s="59">
        <f t="shared" si="92"/>
        <v>268.10688874775451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23.532881934673043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23.532881934673043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401</v>
      </c>
      <c r="BZ123" s="13">
        <f>BY123*VLOOKUP('Données projet'!$B$12,Paramètres!$A$1:$I$89,3,0)*VLOOKUP('Données projet'!$B$12,Paramètres!$A$1:$I$89,5,0)</f>
        <v>250.22399999999999</v>
      </c>
      <c r="CA123" s="13">
        <f t="shared" si="93"/>
        <v>60.633904580527918</v>
      </c>
      <c r="CB123" s="20">
        <f t="shared" si="64"/>
        <v>541.41085047775289</v>
      </c>
      <c r="CC123" s="59">
        <f t="shared" si="65"/>
        <v>834.74418381108626</v>
      </c>
      <c r="CD123" s="59">
        <f ca="1">AVERAGE(OFFSET($CC$3,0,0,'Données projet'!$E$12+1,1))-AVERAGE(OFFSET($H$3,0,0,'Données projet'!$E$12+1,1))</f>
        <v>269.77739619445515</v>
      </c>
      <c r="CE123" s="59">
        <f t="shared" si="94"/>
        <v>347.56964743629885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23.337514124134017</v>
      </c>
      <c r="CL123" s="21">
        <f>EXP(-LN(2)/25)*CL122+(1-EXP(-LN(2)/25))/(LN(2)/25)*Calculateur!CG123*Calculateur!CI123*VLOOKUP('Données projet'!$B$12,Paramètres!$A$1:$I$89,3,0)*0.475*44/12</f>
        <v>7.5659092527892993</v>
      </c>
      <c r="CM123" s="21">
        <f>EXP(-LN(2)/2)*CM122+(1-EXP(-LN(2)/2))/(LN(2)/2)*CG123*CJ123*VLOOKUP('Données projet'!$B$12,Paramètres!$A$1:$I$89,3,0)*0.475*44/12</f>
        <v>7.0594825351085019E-16</v>
      </c>
      <c r="CN123" s="22">
        <f t="shared" si="66"/>
        <v>30.903423376923318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852.00000000000011</v>
      </c>
      <c r="O124" s="13">
        <f>N124*VLOOKUP('Données projet'!$B$9,Paramètres!$A$1:$I$89,3,0)*VLOOKUP('Données projet'!$B$9,Paramètres!$A$1:$I$89,5,0)</f>
        <v>420.88800000000009</v>
      </c>
      <c r="P124" s="13">
        <f t="shared" si="87"/>
        <v>95.998759891259041</v>
      </c>
      <c r="Q124" s="20">
        <f t="shared" si="107"/>
        <v>900.24444014394294</v>
      </c>
      <c r="R124" s="59">
        <f t="shared" si="55"/>
        <v>1193.5777734772762</v>
      </c>
      <c r="S124" s="59">
        <f ca="1">AVERAGE(OFFSET($R$3,0,0,'Données projet'!$E$9+1,1))-AVERAGE(OFFSET($H$3,0,0,'Données projet'!$E$9+1,1))</f>
        <v>434.08297999735811</v>
      </c>
      <c r="T124" s="59">
        <f t="shared" si="88"/>
        <v>371.04090283546122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70.600194734996208</v>
      </c>
      <c r="AA124" s="21">
        <f>EXP(-LN(2)/25)*AA123+(1-EXP(-LN(2)/25))/(LN(2)/25)*Calculateur!V124*Calculateur!X124*VLOOKUP('Données projet'!$B$9,Paramètres!$A$1:$I$89,3,0)*0.475*44/12</f>
        <v>4.1477792045467625</v>
      </c>
      <c r="AB124" s="21">
        <f>EXP(-LN(2)/2)*AB123+(1-EXP(-LN(2)/2))/(LN(2)/2)*V124*Y124*VLOOKUP('Données projet'!$B$9,Paramètres!$A$1:$I$89,3,0)*0.475*44/12</f>
        <v>1.5104841160454484E-14</v>
      </c>
      <c r="AC124" s="22">
        <f t="shared" si="57"/>
        <v>74.747973939542987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292.78079999999977</v>
      </c>
      <c r="AK124" s="13">
        <f t="shared" si="89"/>
        <v>69.660903052386217</v>
      </c>
      <c r="AL124" s="20">
        <f t="shared" si="58"/>
        <v>631.25263281623893</v>
      </c>
      <c r="AM124" s="59">
        <f t="shared" si="59"/>
        <v>924.58596614957219</v>
      </c>
      <c r="AN124" s="59">
        <f ca="1">AVERAGE(OFFSET($AM$3,0,0,'Données projet'!$E$10+1,1))-AVERAGE(OFFSET($H$3,0,0,'Données projet'!$E$10+1,1))</f>
        <v>331.52724290297675</v>
      </c>
      <c r="AO124" s="59">
        <f t="shared" si="90"/>
        <v>322.79102610158054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27.363773026797993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27.363773026797993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246.8543999999998</v>
      </c>
      <c r="BF124" s="13">
        <f t="shared" si="91"/>
        <v>59.911862368716115</v>
      </c>
      <c r="BG124" s="20">
        <f t="shared" si="61"/>
        <v>534.28457362551353</v>
      </c>
      <c r="BH124" s="59">
        <f t="shared" si="62"/>
        <v>827.61790695884679</v>
      </c>
      <c r="BI124" s="59">
        <f ca="1">AVERAGE(OFFSET($BH$3,0,0,'Données projet'!$E$11+1,1))-AVERAGE(OFFSET($H$3,0,0,'Données projet'!$E$11+1,1))</f>
        <v>273.84349636755343</v>
      </c>
      <c r="BJ124" s="59">
        <f t="shared" si="92"/>
        <v>268.10688874775451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23.071416473574779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23.071416473574779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401</v>
      </c>
      <c r="BZ124" s="13">
        <f>BY124*VLOOKUP('Données projet'!$B$12,Paramètres!$A$1:$I$89,3,0)*VLOOKUP('Données projet'!$B$12,Paramètres!$A$1:$I$89,5,0)</f>
        <v>250.22399999999999</v>
      </c>
      <c r="CA124" s="13">
        <f t="shared" si="93"/>
        <v>60.633904580527918</v>
      </c>
      <c r="CB124" s="20">
        <f t="shared" si="64"/>
        <v>541.41085047775289</v>
      </c>
      <c r="CC124" s="59">
        <f t="shared" si="65"/>
        <v>834.74418381108626</v>
      </c>
      <c r="CD124" s="59">
        <f ca="1">AVERAGE(OFFSET($CC$3,0,0,'Données projet'!$E$12+1,1))-AVERAGE(OFFSET($H$3,0,0,'Données projet'!$E$12+1,1))</f>
        <v>269.77739619445515</v>
      </c>
      <c r="CE124" s="59">
        <f t="shared" si="94"/>
        <v>347.56964743629885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22.879879706637826</v>
      </c>
      <c r="CL124" s="21">
        <f>EXP(-LN(2)/25)*CL123+(1-EXP(-LN(2)/25))/(LN(2)/25)*Calculateur!CG124*Calculateur!CI124*VLOOKUP('Données projet'!$B$12,Paramètres!$A$1:$I$89,3,0)*0.475*44/12</f>
        <v>7.3590190663979005</v>
      </c>
      <c r="CM124" s="21">
        <f>EXP(-LN(2)/2)*CM123+(1-EXP(-LN(2)/2))/(LN(2)/2)*CG124*CJ124*VLOOKUP('Données projet'!$B$12,Paramètres!$A$1:$I$89,3,0)*0.475*44/12</f>
        <v>4.9918079722432212E-16</v>
      </c>
      <c r="CN124" s="22">
        <f t="shared" si="66"/>
        <v>30.238898773035729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852.00000000000011</v>
      </c>
      <c r="O125" s="13">
        <f>N125*VLOOKUP('Données projet'!$B$9,Paramètres!$A$1:$I$89,3,0)*VLOOKUP('Données projet'!$B$9,Paramètres!$A$1:$I$89,5,0)</f>
        <v>420.88800000000009</v>
      </c>
      <c r="P125" s="13">
        <f t="shared" si="87"/>
        <v>95.998759891259041</v>
      </c>
      <c r="Q125" s="20">
        <f t="shared" si="107"/>
        <v>900.24444014394294</v>
      </c>
      <c r="R125" s="59">
        <f t="shared" si="55"/>
        <v>1193.5777734772762</v>
      </c>
      <c r="S125" s="59">
        <f ca="1">AVERAGE(OFFSET($R$3,0,0,'Données projet'!$E$9+1,1))-AVERAGE(OFFSET($H$3,0,0,'Données projet'!$E$9+1,1))</f>
        <v>434.08297999735811</v>
      </c>
      <c r="T125" s="59">
        <f t="shared" si="88"/>
        <v>371.04090283546122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69.21576797810971</v>
      </c>
      <c r="AA125" s="21">
        <f>EXP(-LN(2)/25)*AA124+(1-EXP(-LN(2)/25))/(LN(2)/25)*Calculateur!V125*Calculateur!X125*VLOOKUP('Données projet'!$B$9,Paramètres!$A$1:$I$89,3,0)*0.475*44/12</f>
        <v>4.0343579640762028</v>
      </c>
      <c r="AB125" s="21">
        <f>EXP(-LN(2)/2)*AB124+(1-EXP(-LN(2)/2))/(LN(2)/2)*V125*Y125*VLOOKUP('Données projet'!$B$9,Paramètres!$A$1:$I$89,3,0)*0.475*44/12</f>
        <v>1.0680735613303046E-14</v>
      </c>
      <c r="AC125" s="22">
        <f t="shared" si="57"/>
        <v>73.250125942185932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292.78079999999977</v>
      </c>
      <c r="AK125" s="13">
        <f t="shared" si="89"/>
        <v>69.660903052386217</v>
      </c>
      <c r="AL125" s="20">
        <f t="shared" si="58"/>
        <v>631.25263281623893</v>
      </c>
      <c r="AM125" s="59">
        <f t="shared" si="59"/>
        <v>924.58596614957219</v>
      </c>
      <c r="AN125" s="59">
        <f ca="1">AVERAGE(OFFSET($AM$3,0,0,'Données projet'!$E$10+1,1))-AVERAGE(OFFSET($H$3,0,0,'Données projet'!$E$10+1,1))</f>
        <v>331.52724290297675</v>
      </c>
      <c r="AO125" s="59">
        <f t="shared" si="90"/>
        <v>322.79102610158054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26.827186127996004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26.827186127996004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246.8543999999998</v>
      </c>
      <c r="BF125" s="13">
        <f t="shared" si="91"/>
        <v>59.911862368716115</v>
      </c>
      <c r="BG125" s="20">
        <f t="shared" si="61"/>
        <v>534.28457362551353</v>
      </c>
      <c r="BH125" s="59">
        <f t="shared" si="62"/>
        <v>827.61790695884679</v>
      </c>
      <c r="BI125" s="59">
        <f ca="1">AVERAGE(OFFSET($BH$3,0,0,'Données projet'!$E$11+1,1))-AVERAGE(OFFSET($H$3,0,0,'Données projet'!$E$11+1,1))</f>
        <v>273.84349636755343</v>
      </c>
      <c r="BJ125" s="59">
        <f t="shared" si="92"/>
        <v>268.10688874775451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22.619000068702515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22.619000068702515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401</v>
      </c>
      <c r="BZ125" s="13">
        <f>BY125*VLOOKUP('Données projet'!$B$12,Paramètres!$A$1:$I$89,3,0)*VLOOKUP('Données projet'!$B$12,Paramètres!$A$1:$I$89,5,0)</f>
        <v>250.22399999999999</v>
      </c>
      <c r="CA125" s="13">
        <f t="shared" si="93"/>
        <v>60.633904580527918</v>
      </c>
      <c r="CB125" s="20">
        <f t="shared" si="64"/>
        <v>541.41085047775289</v>
      </c>
      <c r="CC125" s="59">
        <f t="shared" si="65"/>
        <v>834.74418381108626</v>
      </c>
      <c r="CD125" s="59">
        <f ca="1">AVERAGE(OFFSET($CC$3,0,0,'Données projet'!$E$12+1,1))-AVERAGE(OFFSET($H$3,0,0,'Données projet'!$E$12+1,1))</f>
        <v>269.77739619445515</v>
      </c>
      <c r="CE125" s="59">
        <f t="shared" si="94"/>
        <v>347.56964743629885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22.431219220939305</v>
      </c>
      <c r="CL125" s="21">
        <f>EXP(-LN(2)/25)*CL124+(1-EXP(-LN(2)/25))/(LN(2)/25)*Calculateur!CG125*Calculateur!CI125*VLOOKUP('Données projet'!$B$12,Paramètres!$A$1:$I$89,3,0)*0.475*44/12</f>
        <v>7.157786303033256</v>
      </c>
      <c r="CM125" s="21">
        <f>EXP(-LN(2)/2)*CM124+(1-EXP(-LN(2)/2))/(LN(2)/2)*CG125*CJ125*VLOOKUP('Données projet'!$B$12,Paramètres!$A$1:$I$89,3,0)*0.475*44/12</f>
        <v>3.529741267554251E-16</v>
      </c>
      <c r="CN125" s="22">
        <f t="shared" si="66"/>
        <v>29.58900552397256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852.00000000000011</v>
      </c>
      <c r="O126" s="13">
        <f>N126*VLOOKUP('Données projet'!$B$9,Paramètres!$A$1:$I$89,3,0)*VLOOKUP('Données projet'!$B$9,Paramètres!$A$1:$I$89,5,0)</f>
        <v>420.88800000000009</v>
      </c>
      <c r="P126" s="13">
        <f t="shared" si="87"/>
        <v>95.998759891259041</v>
      </c>
      <c r="Q126" s="20">
        <f t="shared" si="107"/>
        <v>900.24444014394294</v>
      </c>
      <c r="R126" s="59">
        <f t="shared" si="55"/>
        <v>1193.5777734772762</v>
      </c>
      <c r="S126" s="59">
        <f ca="1">AVERAGE(OFFSET($R$3,0,0,'Données projet'!$E$9+1,1))-AVERAGE(OFFSET($H$3,0,0,'Données projet'!$E$9+1,1))</f>
        <v>434.08297999735811</v>
      </c>
      <c r="T126" s="59">
        <f t="shared" si="88"/>
        <v>371.04090283546122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67.858488985508814</v>
      </c>
      <c r="AA126" s="21">
        <f>EXP(-LN(2)/25)*AA125+(1-EXP(-LN(2)/25))/(LN(2)/25)*Calculateur!V126*Calculateur!X126*VLOOKUP('Données projet'!$B$9,Paramètres!$A$1:$I$89,3,0)*0.475*44/12</f>
        <v>3.9240382333908745</v>
      </c>
      <c r="AB126" s="21">
        <f>EXP(-LN(2)/2)*AB125+(1-EXP(-LN(2)/2))/(LN(2)/2)*V126*Y126*VLOOKUP('Données projet'!$B$9,Paramètres!$A$1:$I$89,3,0)*0.475*44/12</f>
        <v>7.5524205802272421E-15</v>
      </c>
      <c r="AC126" s="22">
        <f t="shared" si="57"/>
        <v>71.782527218899702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292.78079999999977</v>
      </c>
      <c r="AK126" s="13">
        <f t="shared" si="89"/>
        <v>69.660903052386217</v>
      </c>
      <c r="AL126" s="20">
        <f t="shared" si="58"/>
        <v>631.25263281623893</v>
      </c>
      <c r="AM126" s="59">
        <f t="shared" si="59"/>
        <v>924.58596614957219</v>
      </c>
      <c r="AN126" s="59">
        <f ca="1">AVERAGE(OFFSET($AM$3,0,0,'Données projet'!$E$10+1,1))-AVERAGE(OFFSET($H$3,0,0,'Données projet'!$E$10+1,1))</f>
        <v>331.52724290297675</v>
      </c>
      <c r="AO126" s="59">
        <f t="shared" si="90"/>
        <v>322.79102610158054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26.301121370993833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26.301121370993833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246.8543999999998</v>
      </c>
      <c r="BF126" s="13">
        <f t="shared" si="91"/>
        <v>59.911862368716115</v>
      </c>
      <c r="BG126" s="20">
        <f t="shared" si="61"/>
        <v>534.28457362551353</v>
      </c>
      <c r="BH126" s="59">
        <f t="shared" si="62"/>
        <v>827.61790695884679</v>
      </c>
      <c r="BI126" s="59">
        <f ca="1">AVERAGE(OFFSET($BH$3,0,0,'Données projet'!$E$11+1,1))-AVERAGE(OFFSET($H$3,0,0,'Données projet'!$E$11+1,1))</f>
        <v>273.84349636755343</v>
      </c>
      <c r="BJ126" s="59">
        <f t="shared" si="92"/>
        <v>268.10688874775451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22.175455273583037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22.175455273583037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401</v>
      </c>
      <c r="BZ126" s="13">
        <f>BY126*VLOOKUP('Données projet'!$B$12,Paramètres!$A$1:$I$89,3,0)*VLOOKUP('Données projet'!$B$12,Paramètres!$A$1:$I$89,5,0)</f>
        <v>250.22399999999999</v>
      </c>
      <c r="CA126" s="13">
        <f t="shared" si="93"/>
        <v>60.633904580527918</v>
      </c>
      <c r="CB126" s="20">
        <f t="shared" si="64"/>
        <v>541.41085047775289</v>
      </c>
      <c r="CC126" s="59">
        <f t="shared" si="65"/>
        <v>834.74418381108626</v>
      </c>
      <c r="CD126" s="59">
        <f ca="1">AVERAGE(OFFSET($CC$3,0,0,'Données projet'!$E$12+1,1))-AVERAGE(OFFSET($H$3,0,0,'Données projet'!$E$12+1,1))</f>
        <v>269.77739619445515</v>
      </c>
      <c r="CE126" s="59">
        <f t="shared" si="94"/>
        <v>347.56964743629885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21.991356693709456</v>
      </c>
      <c r="CL126" s="21">
        <f>EXP(-LN(2)/25)*CL125+(1-EXP(-LN(2)/25))/(LN(2)/25)*Calculateur!CG126*Calculateur!CI126*VLOOKUP('Données projet'!$B$12,Paramètres!$A$1:$I$89,3,0)*0.475*44/12</f>
        <v>6.9620562601651894</v>
      </c>
      <c r="CM126" s="21">
        <f>EXP(-LN(2)/2)*CM125+(1-EXP(-LN(2)/2))/(LN(2)/2)*CG126*CJ126*VLOOKUP('Données projet'!$B$12,Paramètres!$A$1:$I$89,3,0)*0.475*44/12</f>
        <v>2.4959039861216106E-16</v>
      </c>
      <c r="CN126" s="22">
        <f t="shared" si="66"/>
        <v>28.953412953874647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852.00000000000011</v>
      </c>
      <c r="O127" s="13">
        <f>N127*VLOOKUP('Données projet'!$B$9,Paramètres!$A$1:$I$89,3,0)*VLOOKUP('Données projet'!$B$9,Paramètres!$A$1:$I$89,5,0)</f>
        <v>420.88800000000009</v>
      </c>
      <c r="P127" s="13">
        <f t="shared" si="87"/>
        <v>95.998759891259041</v>
      </c>
      <c r="Q127" s="20">
        <f t="shared" si="107"/>
        <v>900.24444014394294</v>
      </c>
      <c r="R127" s="59">
        <f t="shared" si="55"/>
        <v>1193.5777734772762</v>
      </c>
      <c r="S127" s="59">
        <f ca="1">AVERAGE(OFFSET($R$3,0,0,'Données projet'!$E$9+1,1))-AVERAGE(OFFSET($H$3,0,0,'Données projet'!$E$9+1,1))</f>
        <v>434.08297999735811</v>
      </c>
      <c r="T127" s="59">
        <f t="shared" si="88"/>
        <v>371.04090283546122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66.527825406094379</v>
      </c>
      <c r="AA127" s="21">
        <f>EXP(-LN(2)/25)*AA126+(1-EXP(-LN(2)/25))/(LN(2)/25)*Calculateur!V127*Calculateur!X127*VLOOKUP('Données projet'!$B$9,Paramètres!$A$1:$I$89,3,0)*0.475*44/12</f>
        <v>3.816735201542599</v>
      </c>
      <c r="AB127" s="21">
        <f>EXP(-LN(2)/2)*AB126+(1-EXP(-LN(2)/2))/(LN(2)/2)*V127*Y127*VLOOKUP('Données projet'!$B$9,Paramètres!$A$1:$I$89,3,0)*0.475*44/12</f>
        <v>5.3403678066515229E-15</v>
      </c>
      <c r="AC127" s="22">
        <f t="shared" si="57"/>
        <v>70.344560607636978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292.78079999999977</v>
      </c>
      <c r="AK127" s="13">
        <f t="shared" si="89"/>
        <v>69.660903052386217</v>
      </c>
      <c r="AL127" s="20">
        <f t="shared" si="58"/>
        <v>631.25263281623893</v>
      </c>
      <c r="AM127" s="59">
        <f t="shared" si="59"/>
        <v>924.58596614957219</v>
      </c>
      <c r="AN127" s="59">
        <f ca="1">AVERAGE(OFFSET($AM$3,0,0,'Données projet'!$E$10+1,1))-AVERAGE(OFFSET($H$3,0,0,'Données projet'!$E$10+1,1))</f>
        <v>331.52724290297675</v>
      </c>
      <c r="AO127" s="59">
        <f t="shared" si="90"/>
        <v>322.79102610158054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25.785372423008656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25.785372423008656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246.8543999999998</v>
      </c>
      <c r="BF127" s="13">
        <f t="shared" si="91"/>
        <v>59.911862368716115</v>
      </c>
      <c r="BG127" s="20">
        <f t="shared" si="61"/>
        <v>534.28457362551353</v>
      </c>
      <c r="BH127" s="59">
        <f t="shared" si="62"/>
        <v>827.61790695884679</v>
      </c>
      <c r="BI127" s="59">
        <f ca="1">AVERAGE(OFFSET($BH$3,0,0,'Données projet'!$E$11+1,1))-AVERAGE(OFFSET($H$3,0,0,'Données projet'!$E$11+1,1))</f>
        <v>273.84349636755343</v>
      </c>
      <c r="BJ127" s="59">
        <f t="shared" si="92"/>
        <v>268.10688874775451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21.740608121360239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21.740608121360239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401</v>
      </c>
      <c r="BZ127" s="13">
        <f>BY127*VLOOKUP('Données projet'!$B$12,Paramètres!$A$1:$I$89,3,0)*VLOOKUP('Données projet'!$B$12,Paramètres!$A$1:$I$89,5,0)</f>
        <v>250.22399999999999</v>
      </c>
      <c r="CA127" s="13">
        <f t="shared" si="93"/>
        <v>60.633904580527918</v>
      </c>
      <c r="CB127" s="20">
        <f t="shared" si="64"/>
        <v>541.41085047775289</v>
      </c>
      <c r="CC127" s="59">
        <f t="shared" si="65"/>
        <v>834.74418381108626</v>
      </c>
      <c r="CD127" s="59">
        <f ca="1">AVERAGE(OFFSET($CC$3,0,0,'Données projet'!$E$12+1,1))-AVERAGE(OFFSET($H$3,0,0,'Données projet'!$E$12+1,1))</f>
        <v>269.77739619445515</v>
      </c>
      <c r="CE127" s="59">
        <f t="shared" si="94"/>
        <v>347.56964743629885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21.560119602348934</v>
      </c>
      <c r="CL127" s="21">
        <f>EXP(-LN(2)/25)*CL126+(1-EXP(-LN(2)/25))/(LN(2)/25)*Calculateur!CG127*Calculateur!CI127*VLOOKUP('Données projet'!$B$12,Paramètres!$A$1:$I$89,3,0)*0.475*44/12</f>
        <v>6.7716784656123457</v>
      </c>
      <c r="CM127" s="21">
        <f>EXP(-LN(2)/2)*CM126+(1-EXP(-LN(2)/2))/(LN(2)/2)*CG127*CJ127*VLOOKUP('Données projet'!$B$12,Paramètres!$A$1:$I$89,3,0)*0.475*44/12</f>
        <v>1.7648706337771255E-16</v>
      </c>
      <c r="CN127" s="22">
        <f t="shared" si="66"/>
        <v>28.33179806796128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852.00000000000011</v>
      </c>
      <c r="O128" s="13">
        <f>N128*VLOOKUP('Données projet'!$B$9,Paramètres!$A$1:$I$89,3,0)*VLOOKUP('Données projet'!$B$9,Paramètres!$A$1:$I$89,5,0)</f>
        <v>420.88800000000009</v>
      </c>
      <c r="P128" s="13">
        <f t="shared" si="87"/>
        <v>95.998759891259041</v>
      </c>
      <c r="Q128" s="20">
        <f t="shared" si="107"/>
        <v>900.24444014394294</v>
      </c>
      <c r="R128" s="59">
        <f t="shared" si="55"/>
        <v>1193.5777734772762</v>
      </c>
      <c r="S128" s="59">
        <f ca="1">AVERAGE(OFFSET($R$3,0,0,'Données projet'!$E$9+1,1))-AVERAGE(OFFSET($H$3,0,0,'Données projet'!$E$9+1,1))</f>
        <v>434.08297999735811</v>
      </c>
      <c r="T128" s="59">
        <f t="shared" si="88"/>
        <v>371.04090283546122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65.223255327847625</v>
      </c>
      <c r="AA128" s="21">
        <f>EXP(-LN(2)/25)*AA127+(1-EXP(-LN(2)/25))/(LN(2)/25)*Calculateur!V128*Calculateur!X128*VLOOKUP('Données projet'!$B$9,Paramètres!$A$1:$I$89,3,0)*0.475*44/12</f>
        <v>3.7123663767430357</v>
      </c>
      <c r="AB128" s="21">
        <f>EXP(-LN(2)/2)*AB127+(1-EXP(-LN(2)/2))/(LN(2)/2)*V128*Y128*VLOOKUP('Données projet'!$B$9,Paramètres!$A$1:$I$89,3,0)*0.475*44/12</f>
        <v>3.776210290113621E-15</v>
      </c>
      <c r="AC128" s="22">
        <f t="shared" si="57"/>
        <v>68.935621704590659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292.78079999999977</v>
      </c>
      <c r="AK128" s="13">
        <f t="shared" si="89"/>
        <v>69.660903052386217</v>
      </c>
      <c r="AL128" s="20">
        <f t="shared" si="58"/>
        <v>631.25263281623893</v>
      </c>
      <c r="AM128" s="59">
        <f t="shared" si="59"/>
        <v>924.58596614957219</v>
      </c>
      <c r="AN128" s="59">
        <f ca="1">AVERAGE(OFFSET($AM$3,0,0,'Données projet'!$E$10+1,1))-AVERAGE(OFFSET($H$3,0,0,'Données projet'!$E$10+1,1))</f>
        <v>331.52724290297675</v>
      </c>
      <c r="AO128" s="59">
        <f t="shared" si="90"/>
        <v>322.79102610158054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25.27973699731767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25.27973699731767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246.8543999999998</v>
      </c>
      <c r="BF128" s="13">
        <f t="shared" si="91"/>
        <v>59.911862368716115</v>
      </c>
      <c r="BG128" s="20">
        <f t="shared" si="61"/>
        <v>534.28457362551353</v>
      </c>
      <c r="BH128" s="59">
        <f t="shared" si="62"/>
        <v>827.61790695884679</v>
      </c>
      <c r="BI128" s="59">
        <f ca="1">AVERAGE(OFFSET($BH$3,0,0,'Données projet'!$E$11+1,1))-AVERAGE(OFFSET($H$3,0,0,'Données projet'!$E$11+1,1))</f>
        <v>273.84349636755343</v>
      </c>
      <c r="BJ128" s="59">
        <f t="shared" si="92"/>
        <v>268.10688874775451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21.314288056561956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21.314288056561956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401</v>
      </c>
      <c r="BZ128" s="13">
        <f>BY128*VLOOKUP('Données projet'!$B$12,Paramètres!$A$1:$I$89,3,0)*VLOOKUP('Données projet'!$B$12,Paramètres!$A$1:$I$89,5,0)</f>
        <v>250.22399999999999</v>
      </c>
      <c r="CA128" s="13">
        <f t="shared" si="93"/>
        <v>60.633904580527918</v>
      </c>
      <c r="CB128" s="20">
        <f t="shared" si="64"/>
        <v>541.41085047775289</v>
      </c>
      <c r="CC128" s="59">
        <f t="shared" si="65"/>
        <v>834.74418381108626</v>
      </c>
      <c r="CD128" s="59">
        <f ca="1">AVERAGE(OFFSET($CC$3,0,0,'Données projet'!$E$12+1,1))-AVERAGE(OFFSET($H$3,0,0,'Données projet'!$E$12+1,1))</f>
        <v>269.77739619445515</v>
      </c>
      <c r="CE128" s="59">
        <f t="shared" si="94"/>
        <v>347.56964743629885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21.137338807321338</v>
      </c>
      <c r="CL128" s="21">
        <f>EXP(-LN(2)/25)*CL127+(1-EXP(-LN(2)/25))/(LN(2)/25)*Calculateur!CG128*Calculateur!CI128*VLOOKUP('Données projet'!$B$12,Paramètres!$A$1:$I$89,3,0)*0.475*44/12</f>
        <v>6.5865065618630823</v>
      </c>
      <c r="CM128" s="21">
        <f>EXP(-LN(2)/2)*CM127+(1-EXP(-LN(2)/2))/(LN(2)/2)*CG128*CJ128*VLOOKUP('Données projet'!$B$12,Paramètres!$A$1:$I$89,3,0)*0.475*44/12</f>
        <v>1.2479519930608053E-16</v>
      </c>
      <c r="CN128" s="22">
        <f t="shared" si="66"/>
        <v>27.723845369184421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852.00000000000011</v>
      </c>
      <c r="O129" s="13">
        <f>N129*VLOOKUP('Données projet'!$B$9,Paramètres!$A$1:$I$89,3,0)*VLOOKUP('Données projet'!$B$9,Paramètres!$A$1:$I$89,5,0)</f>
        <v>420.88800000000009</v>
      </c>
      <c r="P129" s="13">
        <f t="shared" si="87"/>
        <v>95.998759891259041</v>
      </c>
      <c r="Q129" s="20">
        <f t="shared" si="107"/>
        <v>900.24444014394294</v>
      </c>
      <c r="R129" s="59">
        <f t="shared" si="55"/>
        <v>1193.5777734772762</v>
      </c>
      <c r="S129" s="59">
        <f ca="1">AVERAGE(OFFSET($R$3,0,0,'Données projet'!$E$9+1,1))-AVERAGE(OFFSET($H$3,0,0,'Données projet'!$E$9+1,1))</f>
        <v>434.08297999735811</v>
      </c>
      <c r="T129" s="59">
        <f t="shared" si="88"/>
        <v>371.04090283546122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63.944267073126113</v>
      </c>
      <c r="AA129" s="21">
        <f>EXP(-LN(2)/25)*AA128+(1-EXP(-LN(2)/25))/(LN(2)/25)*Calculateur!V129*Calculateur!X129*VLOOKUP('Données projet'!$B$9,Paramètres!$A$1:$I$89,3,0)*0.475*44/12</f>
        <v>3.6108515229461342</v>
      </c>
      <c r="AB129" s="21">
        <f>EXP(-LN(2)/2)*AB128+(1-EXP(-LN(2)/2))/(LN(2)/2)*V129*Y129*VLOOKUP('Données projet'!$B$9,Paramètres!$A$1:$I$89,3,0)*0.475*44/12</f>
        <v>2.6701839033257615E-15</v>
      </c>
      <c r="AC129" s="22">
        <f t="shared" si="57"/>
        <v>67.555118596072248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292.78079999999977</v>
      </c>
      <c r="AK129" s="13">
        <f t="shared" si="89"/>
        <v>69.660903052386217</v>
      </c>
      <c r="AL129" s="20">
        <f t="shared" si="58"/>
        <v>631.25263281623893</v>
      </c>
      <c r="AM129" s="59">
        <f t="shared" si="59"/>
        <v>924.58596614957219</v>
      </c>
      <c r="AN129" s="59">
        <f ca="1">AVERAGE(OFFSET($AM$3,0,0,'Données projet'!$E$10+1,1))-AVERAGE(OFFSET($H$3,0,0,'Données projet'!$E$10+1,1))</f>
        <v>331.52724290297675</v>
      </c>
      <c r="AO129" s="59">
        <f t="shared" si="90"/>
        <v>322.79102610158054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24.784016773917326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24.784016773917326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246.8543999999998</v>
      </c>
      <c r="BF129" s="13">
        <f t="shared" si="91"/>
        <v>59.911862368716115</v>
      </c>
      <c r="BG129" s="20">
        <f t="shared" si="61"/>
        <v>534.28457362551353</v>
      </c>
      <c r="BH129" s="59">
        <f t="shared" si="62"/>
        <v>827.61790695884679</v>
      </c>
      <c r="BI129" s="59">
        <f ca="1">AVERAGE(OFFSET($BH$3,0,0,'Données projet'!$E$11+1,1))-AVERAGE(OFFSET($H$3,0,0,'Données projet'!$E$11+1,1))</f>
        <v>273.84349636755343</v>
      </c>
      <c r="BJ129" s="59">
        <f t="shared" si="92"/>
        <v>268.10688874775451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20.896327868204803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20.896327868204803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401</v>
      </c>
      <c r="BZ129" s="13">
        <f>BY129*VLOOKUP('Données projet'!$B$12,Paramètres!$A$1:$I$89,3,0)*VLOOKUP('Données projet'!$B$12,Paramètres!$A$1:$I$89,5,0)</f>
        <v>250.22399999999999</v>
      </c>
      <c r="CA129" s="13">
        <f t="shared" si="93"/>
        <v>60.633904580527918</v>
      </c>
      <c r="CB129" s="20">
        <f t="shared" si="64"/>
        <v>541.41085047775289</v>
      </c>
      <c r="CC129" s="59">
        <f t="shared" si="65"/>
        <v>834.74418381108626</v>
      </c>
      <c r="CD129" s="59">
        <f ca="1">AVERAGE(OFFSET($CC$3,0,0,'Données projet'!$E$12+1,1))-AVERAGE(OFFSET($H$3,0,0,'Données projet'!$E$12+1,1))</f>
        <v>269.77739619445515</v>
      </c>
      <c r="CE129" s="59">
        <f t="shared" si="94"/>
        <v>347.56964743629885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20.722848485813412</v>
      </c>
      <c r="CL129" s="21">
        <f>EXP(-LN(2)/25)*CL128+(1-EXP(-LN(2)/25))/(LN(2)/25)*Calculateur!CG129*Calculateur!CI129*VLOOKUP('Données projet'!$B$12,Paramètres!$A$1:$I$89,3,0)*0.475*44/12</f>
        <v>6.4063981935596095</v>
      </c>
      <c r="CM129" s="21">
        <f>EXP(-LN(2)/2)*CM128+(1-EXP(-LN(2)/2))/(LN(2)/2)*CG129*CJ129*VLOOKUP('Données projet'!$B$12,Paramètres!$A$1:$I$89,3,0)*0.475*44/12</f>
        <v>8.8243531688856274E-17</v>
      </c>
      <c r="CN129" s="22">
        <f t="shared" si="66"/>
        <v>27.129246679373022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852.00000000000011</v>
      </c>
      <c r="O130" s="13">
        <f>N130*VLOOKUP('Données projet'!$B$9,Paramètres!$A$1:$I$89,3,0)*VLOOKUP('Données projet'!$B$9,Paramètres!$A$1:$I$89,5,0)</f>
        <v>420.88800000000009</v>
      </c>
      <c r="P130" s="13">
        <f t="shared" si="87"/>
        <v>95.998759891259041</v>
      </c>
      <c r="Q130" s="20">
        <f t="shared" si="107"/>
        <v>900.24444014394294</v>
      </c>
      <c r="R130" s="59">
        <f t="shared" si="55"/>
        <v>1193.5777734772762</v>
      </c>
      <c r="S130" s="59">
        <f ca="1">AVERAGE(OFFSET($R$3,0,0,'Données projet'!$E$9+1,1))-AVERAGE(OFFSET($H$3,0,0,'Données projet'!$E$9+1,1))</f>
        <v>434.08297999735811</v>
      </c>
      <c r="T130" s="59">
        <f t="shared" si="88"/>
        <v>371.04090283546122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62.690358997973881</v>
      </c>
      <c r="AA130" s="21">
        <f>EXP(-LN(2)/25)*AA129+(1-EXP(-LN(2)/25))/(LN(2)/25)*Calculateur!V130*Calculateur!X130*VLOOKUP('Données projet'!$B$9,Paramètres!$A$1:$I$89,3,0)*0.475*44/12</f>
        <v>3.5121125981647432</v>
      </c>
      <c r="AB130" s="21">
        <f>EXP(-LN(2)/2)*AB129+(1-EXP(-LN(2)/2))/(LN(2)/2)*V130*Y130*VLOOKUP('Données projet'!$B$9,Paramètres!$A$1:$I$89,3,0)*0.475*44/12</f>
        <v>1.8881051450568105E-15</v>
      </c>
      <c r="AC130" s="22">
        <f t="shared" si="57"/>
        <v>66.202471596138622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292.78079999999977</v>
      </c>
      <c r="AK130" s="13">
        <f t="shared" si="89"/>
        <v>69.660903052386217</v>
      </c>
      <c r="AL130" s="20">
        <f t="shared" si="58"/>
        <v>631.25263281623893</v>
      </c>
      <c r="AM130" s="59">
        <f t="shared" si="59"/>
        <v>924.58596614957219</v>
      </c>
      <c r="AN130" s="59">
        <f ca="1">AVERAGE(OFFSET($AM$3,0,0,'Données projet'!$E$10+1,1))-AVERAGE(OFFSET($H$3,0,0,'Données projet'!$E$10+1,1))</f>
        <v>331.52724290297675</v>
      </c>
      <c r="AO130" s="59">
        <f t="shared" si="90"/>
        <v>322.79102610158054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24.298017321738385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24.298017321738385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246.8543999999998</v>
      </c>
      <c r="BF130" s="13">
        <f t="shared" si="91"/>
        <v>59.911862368716115</v>
      </c>
      <c r="BG130" s="20">
        <f t="shared" si="61"/>
        <v>534.28457362551353</v>
      </c>
      <c r="BH130" s="59">
        <f t="shared" si="62"/>
        <v>827.61790695884679</v>
      </c>
      <c r="BI130" s="59">
        <f ca="1">AVERAGE(OFFSET($BH$3,0,0,'Données projet'!$E$11+1,1))-AVERAGE(OFFSET($H$3,0,0,'Données projet'!$E$11+1,1))</f>
        <v>273.84349636755343</v>
      </c>
      <c r="BJ130" s="59">
        <f t="shared" si="92"/>
        <v>268.10688874775451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20.486563624210792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20.486563624210792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401</v>
      </c>
      <c r="BZ130" s="13">
        <f>BY130*VLOOKUP('Données projet'!$B$12,Paramètres!$A$1:$I$89,3,0)*VLOOKUP('Données projet'!$B$12,Paramètres!$A$1:$I$89,5,0)</f>
        <v>250.22399999999999</v>
      </c>
      <c r="CA130" s="13">
        <f t="shared" si="93"/>
        <v>60.633904580527918</v>
      </c>
      <c r="CB130" s="20">
        <f t="shared" si="64"/>
        <v>541.41085047775289</v>
      </c>
      <c r="CC130" s="59">
        <f t="shared" si="65"/>
        <v>834.74418381108626</v>
      </c>
      <c r="CD130" s="59">
        <f ca="1">AVERAGE(OFFSET($CC$3,0,0,'Données projet'!$E$12+1,1))-AVERAGE(OFFSET($H$3,0,0,'Données projet'!$E$12+1,1))</f>
        <v>269.77739619445515</v>
      </c>
      <c r="CE130" s="59">
        <f t="shared" si="94"/>
        <v>347.56964743629885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20.316486066696122</v>
      </c>
      <c r="CL130" s="21">
        <f>EXP(-LN(2)/25)*CL129+(1-EXP(-LN(2)/25))/(LN(2)/25)*Calculateur!CG130*Calculateur!CI130*VLOOKUP('Données projet'!$B$12,Paramètres!$A$1:$I$89,3,0)*0.475*44/12</f>
        <v>6.2312148980588828</v>
      </c>
      <c r="CM130" s="21">
        <f>EXP(-LN(2)/2)*CM129+(1-EXP(-LN(2)/2))/(LN(2)/2)*CG130*CJ130*VLOOKUP('Données projet'!$B$12,Paramètres!$A$1:$I$89,3,0)*0.475*44/12</f>
        <v>6.2397599653040265E-17</v>
      </c>
      <c r="CN130" s="22">
        <f t="shared" si="66"/>
        <v>26.547700964755006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852.00000000000011</v>
      </c>
      <c r="O131" s="13">
        <f>N131*VLOOKUP('Données projet'!$B$9,Paramètres!$A$1:$I$89,3,0)*VLOOKUP('Données projet'!$B$9,Paramètres!$A$1:$I$89,5,0)</f>
        <v>420.88800000000009</v>
      </c>
      <c r="P131" s="13">
        <f t="shared" si="87"/>
        <v>95.998759891259041</v>
      </c>
      <c r="Q131" s="20">
        <f t="shared" ref="Q131:Q153" si="108">(O131+P131)*0.475*44/12</f>
        <v>900.24444014394294</v>
      </c>
      <c r="R131" s="59">
        <f t="shared" ref="R131:R194" si="109">Q131+(I131+J131)*44/12</f>
        <v>1193.5777734772762</v>
      </c>
      <c r="S131" s="59">
        <f ca="1">AVERAGE(OFFSET($R$3,0,0,'Données projet'!$E$9+1,1))-AVERAGE(OFFSET($H$3,0,0,'Données projet'!$E$9+1,1))</f>
        <v>434.08297999735811</v>
      </c>
      <c r="T131" s="59">
        <f t="shared" si="88"/>
        <v>371.04090283546122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61.46103929536698</v>
      </c>
      <c r="AA131" s="21">
        <f>EXP(-LN(2)/25)*AA130+(1-EXP(-LN(2)/25))/(LN(2)/25)*Calculateur!V131*Calculateur!X131*VLOOKUP('Données projet'!$B$9,Paramètres!$A$1:$I$89,3,0)*0.475*44/12</f>
        <v>3.4160736944739538</v>
      </c>
      <c r="AB131" s="21">
        <f>EXP(-LN(2)/2)*AB130+(1-EXP(-LN(2)/2))/(LN(2)/2)*V131*Y131*VLOOKUP('Données projet'!$B$9,Paramètres!$A$1:$I$89,3,0)*0.475*44/12</f>
        <v>1.3350919516628807E-15</v>
      </c>
      <c r="AC131" s="22">
        <f t="shared" si="57"/>
        <v>64.877112989840938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292.78079999999977</v>
      </c>
      <c r="AK131" s="13">
        <f t="shared" si="89"/>
        <v>69.660903052386217</v>
      </c>
      <c r="AL131" s="20">
        <f t="shared" si="58"/>
        <v>631.25263281623893</v>
      </c>
      <c r="AM131" s="59">
        <f t="shared" si="59"/>
        <v>924.58596614957219</v>
      </c>
      <c r="AN131" s="59">
        <f ca="1">AVERAGE(OFFSET($AM$3,0,0,'Données projet'!$E$10+1,1))-AVERAGE(OFFSET($H$3,0,0,'Données projet'!$E$10+1,1))</f>
        <v>331.52724290297675</v>
      </c>
      <c r="AO131" s="59">
        <f t="shared" si="90"/>
        <v>322.79102610158054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23.821548022386274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23.821548022386274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246.8543999999998</v>
      </c>
      <c r="BF131" s="13">
        <f t="shared" si="91"/>
        <v>59.911862368716115</v>
      </c>
      <c r="BG131" s="20">
        <f t="shared" si="61"/>
        <v>534.28457362551353</v>
      </c>
      <c r="BH131" s="59">
        <f t="shared" si="62"/>
        <v>827.61790695884679</v>
      </c>
      <c r="BI131" s="59">
        <f ca="1">AVERAGE(OFFSET($BH$3,0,0,'Données projet'!$E$11+1,1))-AVERAGE(OFFSET($H$3,0,0,'Données projet'!$E$11+1,1))</f>
        <v>273.84349636755343</v>
      </c>
      <c r="BJ131" s="59">
        <f t="shared" si="92"/>
        <v>268.10688874775451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20.084834607109993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20.084834607109993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401</v>
      </c>
      <c r="BZ131" s="13">
        <f>BY131*VLOOKUP('Données projet'!$B$12,Paramètres!$A$1:$I$89,3,0)*VLOOKUP('Données projet'!$B$12,Paramètres!$A$1:$I$89,5,0)</f>
        <v>250.22399999999999</v>
      </c>
      <c r="CA131" s="13">
        <f t="shared" si="93"/>
        <v>60.633904580527918</v>
      </c>
      <c r="CB131" s="20">
        <f t="shared" si="64"/>
        <v>541.41085047775289</v>
      </c>
      <c r="CC131" s="59">
        <f t="shared" si="65"/>
        <v>834.74418381108626</v>
      </c>
      <c r="CD131" s="59">
        <f ca="1">AVERAGE(OFFSET($CC$3,0,0,'Données projet'!$E$12+1,1))-AVERAGE(OFFSET($H$3,0,0,'Données projet'!$E$12+1,1))</f>
        <v>269.77739619445515</v>
      </c>
      <c r="CE131" s="59">
        <f t="shared" si="94"/>
        <v>347.56964743629885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19.91809216676112</v>
      </c>
      <c r="CL131" s="21">
        <f>EXP(-LN(2)/25)*CL130+(1-EXP(-LN(2)/25))/(LN(2)/25)*Calculateur!CG131*Calculateur!CI131*VLOOKUP('Données projet'!$B$12,Paramètres!$A$1:$I$89,3,0)*0.475*44/12</f>
        <v>6.0608219989861132</v>
      </c>
      <c r="CM131" s="21">
        <f>EXP(-LN(2)/2)*CM130+(1-EXP(-LN(2)/2))/(LN(2)/2)*CG131*CJ131*VLOOKUP('Données projet'!$B$12,Paramètres!$A$1:$I$89,3,0)*0.475*44/12</f>
        <v>4.4121765844428137E-17</v>
      </c>
      <c r="CN131" s="22">
        <f t="shared" si="66"/>
        <v>25.978914165747234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852.00000000000011</v>
      </c>
      <c r="O132" s="13">
        <f>N132*VLOOKUP('Données projet'!$B$9,Paramètres!$A$1:$I$89,3,0)*VLOOKUP('Données projet'!$B$9,Paramètres!$A$1:$I$89,5,0)</f>
        <v>420.88800000000009</v>
      </c>
      <c r="P132" s="13">
        <f t="shared" si="87"/>
        <v>95.998759891259041</v>
      </c>
      <c r="Q132" s="20">
        <f t="shared" si="108"/>
        <v>900.24444014394294</v>
      </c>
      <c r="R132" s="59">
        <f t="shared" si="109"/>
        <v>1193.5777734772762</v>
      </c>
      <c r="S132" s="59">
        <f ca="1">AVERAGE(OFFSET($R$3,0,0,'Données projet'!$E$9+1,1))-AVERAGE(OFFSET($H$3,0,0,'Données projet'!$E$9+1,1))</f>
        <v>434.08297999735811</v>
      </c>
      <c r="T132" s="59">
        <f t="shared" si="88"/>
        <v>371.04090283546122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60.255825802317219</v>
      </c>
      <c r="AA132" s="21">
        <f>EXP(-LN(2)/25)*AA131+(1-EXP(-LN(2)/25))/(LN(2)/25)*Calculateur!V132*Calculateur!X132*VLOOKUP('Données projet'!$B$9,Paramètres!$A$1:$I$89,3,0)*0.475*44/12</f>
        <v>3.3226609796550557</v>
      </c>
      <c r="AB132" s="21">
        <f>EXP(-LN(2)/2)*AB131+(1-EXP(-LN(2)/2))/(LN(2)/2)*V132*Y132*VLOOKUP('Données projet'!$B$9,Paramètres!$A$1:$I$89,3,0)*0.475*44/12</f>
        <v>9.4405257252840526E-16</v>
      </c>
      <c r="AC132" s="22">
        <f t="shared" ref="AC132:AC153" si="111">SUM(Z132:AB132)</f>
        <v>63.578486781972273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292.78079999999977</v>
      </c>
      <c r="AK132" s="13">
        <f t="shared" si="89"/>
        <v>69.660903052386217</v>
      </c>
      <c r="AL132" s="20">
        <f t="shared" ref="AL132:AL153" si="112">(AJ132+AK132)*0.475*44/12</f>
        <v>631.25263281623893</v>
      </c>
      <c r="AM132" s="59">
        <f t="shared" ref="AM132:AM195" si="113">AL132+(AD132+AE132)*44/12</f>
        <v>924.58596614957219</v>
      </c>
      <c r="AN132" s="59">
        <f ca="1">AVERAGE(OFFSET($AM$3,0,0,'Données projet'!$E$10+1,1))-AVERAGE(OFFSET($H$3,0,0,'Données projet'!$E$10+1,1))</f>
        <v>331.52724290297675</v>
      </c>
      <c r="AO132" s="59">
        <f t="shared" si="90"/>
        <v>322.79102610158054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23.354421995376882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23.354421995376882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246.8543999999998</v>
      </c>
      <c r="BF132" s="13">
        <f t="shared" si="91"/>
        <v>59.911862368716115</v>
      </c>
      <c r="BG132" s="20">
        <f t="shared" ref="BG132:BG153" si="115">(BE132+BF132)*0.475*44/12</f>
        <v>534.28457362551353</v>
      </c>
      <c r="BH132" s="59">
        <f t="shared" ref="BH132:BH195" si="116">BG132+(AY132+AZ132)*44/12</f>
        <v>827.61790695884679</v>
      </c>
      <c r="BI132" s="59">
        <f ca="1">AVERAGE(OFFSET($BH$3,0,0,'Données projet'!$E$11+1,1))-AVERAGE(OFFSET($H$3,0,0,'Données projet'!$E$11+1,1))</f>
        <v>273.84349636755343</v>
      </c>
      <c r="BJ132" s="59">
        <f t="shared" si="92"/>
        <v>268.10688874775451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19.690983251004035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19.690983251004035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401</v>
      </c>
      <c r="BZ132" s="13">
        <f>BY132*VLOOKUP('Données projet'!$B$12,Paramètres!$A$1:$I$89,3,0)*VLOOKUP('Données projet'!$B$12,Paramètres!$A$1:$I$89,5,0)</f>
        <v>250.22399999999999</v>
      </c>
      <c r="CA132" s="13">
        <f t="shared" si="93"/>
        <v>60.633904580527918</v>
      </c>
      <c r="CB132" s="20">
        <f t="shared" ref="CB132:CB153" si="118">(BZ132+CA132)*0.475*44/12</f>
        <v>541.41085047775289</v>
      </c>
      <c r="CC132" s="59">
        <f t="shared" ref="CC132:CC195" si="119">CB132+(BT132+BU132)*44/12</f>
        <v>834.74418381108626</v>
      </c>
      <c r="CD132" s="59">
        <f ca="1">AVERAGE(OFFSET($CC$3,0,0,'Données projet'!$E$12+1,1))-AVERAGE(OFFSET($H$3,0,0,'Données projet'!$E$12+1,1))</f>
        <v>269.77739619445515</v>
      </c>
      <c r="CE132" s="59">
        <f t="shared" si="94"/>
        <v>347.56964743629885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19.527510528207557</v>
      </c>
      <c r="CL132" s="21">
        <f>EXP(-LN(2)/25)*CL131+(1-EXP(-LN(2)/25))/(LN(2)/25)*Calculateur!CG132*Calculateur!CI132*VLOOKUP('Données projet'!$B$12,Paramètres!$A$1:$I$89,3,0)*0.475*44/12</f>
        <v>5.8950885026990614</v>
      </c>
      <c r="CM132" s="21">
        <f>EXP(-LN(2)/2)*CM131+(1-EXP(-LN(2)/2))/(LN(2)/2)*CG132*CJ132*VLOOKUP('Données projet'!$B$12,Paramètres!$A$1:$I$89,3,0)*0.475*44/12</f>
        <v>3.1198799826520132E-17</v>
      </c>
      <c r="CN132" s="22">
        <f t="shared" ref="CN132:CN153" si="120">SUM(CK132:CM132)</f>
        <v>25.422599030906618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852.00000000000011</v>
      </c>
      <c r="O133" s="13">
        <f>N133*VLOOKUP('Données projet'!$B$9,Paramètres!$A$1:$I$89,3,0)*VLOOKUP('Données projet'!$B$9,Paramètres!$A$1:$I$89,5,0)</f>
        <v>420.88800000000009</v>
      </c>
      <c r="P133" s="13">
        <f t="shared" ref="P133:P196" si="141">EXP(-1.0587+0.8836*LN(O133)+0.284)</f>
        <v>95.998759891259041</v>
      </c>
      <c r="Q133" s="20">
        <f t="shared" si="108"/>
        <v>900.24444014394294</v>
      </c>
      <c r="R133" s="59">
        <f t="shared" si="109"/>
        <v>1193.5777734772762</v>
      </c>
      <c r="S133" s="59">
        <f ca="1">AVERAGE(OFFSET($R$3,0,0,'Données projet'!$E$9+1,1))-AVERAGE(OFFSET($H$3,0,0,'Données projet'!$E$9+1,1))</f>
        <v>434.08297999735811</v>
      </c>
      <c r="T133" s="59">
        <f t="shared" ref="T133:T196" si="142">$T$3</f>
        <v>371.04090283546122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59.074245810758519</v>
      </c>
      <c r="AA133" s="21">
        <f>EXP(-LN(2)/25)*AA132+(1-EXP(-LN(2)/25))/(LN(2)/25)*Calculateur!V133*Calculateur!X133*VLOOKUP('Données projet'!$B$9,Paramètres!$A$1:$I$89,3,0)*0.475*44/12</f>
        <v>3.2318026404352413</v>
      </c>
      <c r="AB133" s="21">
        <f>EXP(-LN(2)/2)*AB132+(1-EXP(-LN(2)/2))/(LN(2)/2)*V133*Y133*VLOOKUP('Données projet'!$B$9,Paramètres!$A$1:$I$89,3,0)*0.475*44/12</f>
        <v>6.6754597583144037E-16</v>
      </c>
      <c r="AC133" s="22">
        <f t="shared" si="111"/>
        <v>62.30604845119376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292.78079999999977</v>
      </c>
      <c r="AK133" s="13">
        <f t="shared" ref="AK133:AK153" si="143">EXP(-1.0587+0.8836*LN(AJ133)+0.284)</f>
        <v>69.660903052386217</v>
      </c>
      <c r="AL133" s="20">
        <f t="shared" si="112"/>
        <v>631.25263281623893</v>
      </c>
      <c r="AM133" s="59">
        <f t="shared" si="113"/>
        <v>924.58596614957219</v>
      </c>
      <c r="AN133" s="59">
        <f ca="1">AVERAGE(OFFSET($AM$3,0,0,'Données projet'!$E$10+1,1))-AVERAGE(OFFSET($H$3,0,0,'Données projet'!$E$10+1,1))</f>
        <v>331.52724290297675</v>
      </c>
      <c r="AO133" s="59">
        <f t="shared" ref="AO133:AO196" si="144">$AO$3</f>
        <v>322.79102610158054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22.8964560248384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22.8964560248384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246.8543999999998</v>
      </c>
      <c r="BF133" s="13">
        <f t="shared" ref="BF133:BF153" si="145">EXP(-1.0587+0.8836*LN(BE133)+0.284)</f>
        <v>59.911862368716115</v>
      </c>
      <c r="BG133" s="20">
        <f t="shared" si="115"/>
        <v>534.28457362551353</v>
      </c>
      <c r="BH133" s="59">
        <f t="shared" si="116"/>
        <v>827.61790695884679</v>
      </c>
      <c r="BI133" s="59">
        <f ca="1">AVERAGE(OFFSET($BH$3,0,0,'Données projet'!$E$11+1,1))-AVERAGE(OFFSET($H$3,0,0,'Données projet'!$E$11+1,1))</f>
        <v>273.84349636755343</v>
      </c>
      <c r="BJ133" s="59">
        <f t="shared" ref="BJ133:BJ196" si="146">$BJ$3</f>
        <v>268.10688874775451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19.304855079765709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19.304855079765709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401</v>
      </c>
      <c r="BZ133" s="13">
        <f>BY133*VLOOKUP('Données projet'!$B$12,Paramètres!$A$1:$I$89,3,0)*VLOOKUP('Données projet'!$B$12,Paramètres!$A$1:$I$89,5,0)</f>
        <v>250.22399999999999</v>
      </c>
      <c r="CA133" s="13">
        <f t="shared" ref="CA133:CA153" si="147">EXP(-1.0587+0.8836*LN(BZ133)+0.284)</f>
        <v>60.633904580527918</v>
      </c>
      <c r="CB133" s="20">
        <f t="shared" si="118"/>
        <v>541.41085047775289</v>
      </c>
      <c r="CC133" s="59">
        <f t="shared" si="119"/>
        <v>834.74418381108626</v>
      </c>
      <c r="CD133" s="59">
        <f ca="1">AVERAGE(OFFSET($CC$3,0,0,'Données projet'!$E$12+1,1))-AVERAGE(OFFSET($H$3,0,0,'Données projet'!$E$12+1,1))</f>
        <v>269.77739619445515</v>
      </c>
      <c r="CE133" s="59">
        <f t="shared" ref="CE133:CE196" si="148">$CE$3</f>
        <v>347.56964743629885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19.144587957354755</v>
      </c>
      <c r="CL133" s="21">
        <f>EXP(-LN(2)/25)*CL132+(1-EXP(-LN(2)/25))/(LN(2)/25)*Calculateur!CG133*Calculateur!CI133*VLOOKUP('Données projet'!$B$12,Paramètres!$A$1:$I$89,3,0)*0.475*44/12</f>
        <v>5.7338869975835243</v>
      </c>
      <c r="CM133" s="21">
        <f>EXP(-LN(2)/2)*CM132+(1-EXP(-LN(2)/2))/(LN(2)/2)*CG133*CJ133*VLOOKUP('Données projet'!$B$12,Paramètres!$A$1:$I$89,3,0)*0.475*44/12</f>
        <v>2.2060882922214069E-17</v>
      </c>
      <c r="CN133" s="22">
        <f t="shared" si="120"/>
        <v>24.87847495493828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852.00000000000011</v>
      </c>
      <c r="O134" s="13">
        <f>N134*VLOOKUP('Données projet'!$B$9,Paramètres!$A$1:$I$89,3,0)*VLOOKUP('Données projet'!$B$9,Paramètres!$A$1:$I$89,5,0)</f>
        <v>420.88800000000009</v>
      </c>
      <c r="P134" s="13">
        <f t="shared" si="141"/>
        <v>95.998759891259041</v>
      </c>
      <c r="Q134" s="20">
        <f t="shared" si="108"/>
        <v>900.24444014394294</v>
      </c>
      <c r="R134" s="59">
        <f t="shared" si="109"/>
        <v>1193.5777734772762</v>
      </c>
      <c r="S134" s="59">
        <f ca="1">AVERAGE(OFFSET($R$3,0,0,'Données projet'!$E$9+1,1))-AVERAGE(OFFSET($H$3,0,0,'Données projet'!$E$9+1,1))</f>
        <v>434.08297999735811</v>
      </c>
      <c r="T134" s="59">
        <f t="shared" si="142"/>
        <v>371.04090283546122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57.91583588214165</v>
      </c>
      <c r="AA134" s="21">
        <f>EXP(-LN(2)/25)*AA133+(1-EXP(-LN(2)/25))/(LN(2)/25)*Calculateur!V134*Calculateur!X134*VLOOKUP('Données projet'!$B$9,Paramètres!$A$1:$I$89,3,0)*0.475*44/12</f>
        <v>3.1434288272794251</v>
      </c>
      <c r="AB134" s="21">
        <f>EXP(-LN(2)/2)*AB133+(1-EXP(-LN(2)/2))/(LN(2)/2)*V134*Y134*VLOOKUP('Données projet'!$B$9,Paramètres!$A$1:$I$89,3,0)*0.475*44/12</f>
        <v>4.7202628626420263E-16</v>
      </c>
      <c r="AC134" s="22">
        <f t="shared" si="111"/>
        <v>61.059264709421072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292.78079999999977</v>
      </c>
      <c r="AK134" s="13">
        <f t="shared" si="143"/>
        <v>69.660903052386217</v>
      </c>
      <c r="AL134" s="20">
        <f t="shared" si="112"/>
        <v>631.25263281623893</v>
      </c>
      <c r="AM134" s="59">
        <f t="shared" si="113"/>
        <v>924.58596614957219</v>
      </c>
      <c r="AN134" s="59">
        <f ca="1">AVERAGE(OFFSET($AM$3,0,0,'Données projet'!$E$10+1,1))-AVERAGE(OFFSET($H$3,0,0,'Données projet'!$E$10+1,1))</f>
        <v>331.52724290297675</v>
      </c>
      <c r="AO134" s="59">
        <f t="shared" si="144"/>
        <v>322.79102610158054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22.44747048765052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22.44747048765052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246.8543999999998</v>
      </c>
      <c r="BF134" s="13">
        <f t="shared" si="145"/>
        <v>59.911862368716115</v>
      </c>
      <c r="BG134" s="20">
        <f t="shared" si="115"/>
        <v>534.28457362551353</v>
      </c>
      <c r="BH134" s="59">
        <f t="shared" si="116"/>
        <v>827.61790695884679</v>
      </c>
      <c r="BI134" s="59">
        <f ca="1">AVERAGE(OFFSET($BH$3,0,0,'Données projet'!$E$11+1,1))-AVERAGE(OFFSET($H$3,0,0,'Données projet'!$E$11+1,1))</f>
        <v>273.84349636755343</v>
      </c>
      <c r="BJ134" s="59">
        <f t="shared" si="146"/>
        <v>268.10688874775451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18.926298646450437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18.926298646450437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401</v>
      </c>
      <c r="BZ134" s="13">
        <f>BY134*VLOOKUP('Données projet'!$B$12,Paramètres!$A$1:$I$89,3,0)*VLOOKUP('Données projet'!$B$12,Paramètres!$A$1:$I$89,5,0)</f>
        <v>250.22399999999999</v>
      </c>
      <c r="CA134" s="13">
        <f t="shared" si="147"/>
        <v>60.633904580527918</v>
      </c>
      <c r="CB134" s="20">
        <f t="shared" si="118"/>
        <v>541.41085047775289</v>
      </c>
      <c r="CC134" s="59">
        <f t="shared" si="119"/>
        <v>834.74418381108626</v>
      </c>
      <c r="CD134" s="59">
        <f ca="1">AVERAGE(OFFSET($CC$3,0,0,'Données projet'!$E$12+1,1))-AVERAGE(OFFSET($H$3,0,0,'Données projet'!$E$12+1,1))</f>
        <v>269.77739619445515</v>
      </c>
      <c r="CE134" s="59">
        <f t="shared" si="148"/>
        <v>347.56964743629885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18.769174264556671</v>
      </c>
      <c r="CL134" s="21">
        <f>EXP(-LN(2)/25)*CL133+(1-EXP(-LN(2)/25))/(LN(2)/25)*Calculateur!CG134*Calculateur!CI134*VLOOKUP('Données projet'!$B$12,Paramètres!$A$1:$I$89,3,0)*0.475*44/12</f>
        <v>5.5770935561025903</v>
      </c>
      <c r="CM134" s="21">
        <f>EXP(-LN(2)/2)*CM133+(1-EXP(-LN(2)/2))/(LN(2)/2)*CG134*CJ134*VLOOKUP('Données projet'!$B$12,Paramètres!$A$1:$I$89,3,0)*0.475*44/12</f>
        <v>1.5599399913260066E-17</v>
      </c>
      <c r="CN134" s="22">
        <f t="shared" si="120"/>
        <v>24.346267820659261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852.00000000000011</v>
      </c>
      <c r="O135" s="13">
        <f>N135*VLOOKUP('Données projet'!$B$9,Paramètres!$A$1:$I$89,3,0)*VLOOKUP('Données projet'!$B$9,Paramètres!$A$1:$I$89,5,0)</f>
        <v>420.88800000000009</v>
      </c>
      <c r="P135" s="13">
        <f t="shared" si="141"/>
        <v>95.998759891259041</v>
      </c>
      <c r="Q135" s="20">
        <f t="shared" si="108"/>
        <v>900.24444014394294</v>
      </c>
      <c r="R135" s="59">
        <f t="shared" si="109"/>
        <v>1193.5777734772762</v>
      </c>
      <c r="S135" s="59">
        <f ca="1">AVERAGE(OFFSET($R$3,0,0,'Données projet'!$E$9+1,1))-AVERAGE(OFFSET($H$3,0,0,'Données projet'!$E$9+1,1))</f>
        <v>434.08297999735811</v>
      </c>
      <c r="T135" s="59">
        <f t="shared" si="142"/>
        <v>371.04090283546122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56.780141665664672</v>
      </c>
      <c r="AA135" s="21">
        <f>EXP(-LN(2)/25)*AA134+(1-EXP(-LN(2)/25))/(LN(2)/25)*Calculateur!V135*Calculateur!X135*VLOOKUP('Données projet'!$B$9,Paramètres!$A$1:$I$89,3,0)*0.475*44/12</f>
        <v>3.0574716006917315</v>
      </c>
      <c r="AB135" s="21">
        <f>EXP(-LN(2)/2)*AB134+(1-EXP(-LN(2)/2))/(LN(2)/2)*V135*Y135*VLOOKUP('Données projet'!$B$9,Paramètres!$A$1:$I$89,3,0)*0.475*44/12</f>
        <v>3.3377298791572018E-16</v>
      </c>
      <c r="AC135" s="22">
        <f t="shared" si="111"/>
        <v>59.837613266356406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292.78079999999977</v>
      </c>
      <c r="AK135" s="13">
        <f t="shared" si="143"/>
        <v>69.660903052386217</v>
      </c>
      <c r="AL135" s="20">
        <f t="shared" si="112"/>
        <v>631.25263281623893</v>
      </c>
      <c r="AM135" s="59">
        <f t="shared" si="113"/>
        <v>924.58596614957219</v>
      </c>
      <c r="AN135" s="59">
        <f ca="1">AVERAGE(OFFSET($AM$3,0,0,'Données projet'!$E$10+1,1))-AVERAGE(OFFSET($H$3,0,0,'Données projet'!$E$10+1,1))</f>
        <v>331.52724290297675</v>
      </c>
      <c r="AO135" s="59">
        <f t="shared" si="144"/>
        <v>322.79102610158054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22.007289282992758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22.007289282992758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246.8543999999998</v>
      </c>
      <c r="BF135" s="13">
        <f t="shared" si="145"/>
        <v>59.911862368716115</v>
      </c>
      <c r="BG135" s="20">
        <f t="shared" si="115"/>
        <v>534.28457362551353</v>
      </c>
      <c r="BH135" s="59">
        <f t="shared" si="116"/>
        <v>827.61790695884679</v>
      </c>
      <c r="BI135" s="59">
        <f ca="1">AVERAGE(OFFSET($BH$3,0,0,'Données projet'!$E$11+1,1))-AVERAGE(OFFSET($H$3,0,0,'Données projet'!$E$11+1,1))</f>
        <v>273.84349636755343</v>
      </c>
      <c r="BJ135" s="59">
        <f t="shared" si="146"/>
        <v>268.10688874775451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18.555165473895851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18.555165473895851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401</v>
      </c>
      <c r="BZ135" s="13">
        <f>BY135*VLOOKUP('Données projet'!$B$12,Paramètres!$A$1:$I$89,3,0)*VLOOKUP('Données projet'!$B$12,Paramètres!$A$1:$I$89,5,0)</f>
        <v>250.22399999999999</v>
      </c>
      <c r="CA135" s="13">
        <f t="shared" si="147"/>
        <v>60.633904580527918</v>
      </c>
      <c r="CB135" s="20">
        <f t="shared" si="118"/>
        <v>541.41085047775289</v>
      </c>
      <c r="CC135" s="59">
        <f t="shared" si="119"/>
        <v>834.74418381108626</v>
      </c>
      <c r="CD135" s="59">
        <f ca="1">AVERAGE(OFFSET($CC$3,0,0,'Données projet'!$E$12+1,1))-AVERAGE(OFFSET($H$3,0,0,'Données projet'!$E$12+1,1))</f>
        <v>269.77739619445515</v>
      </c>
      <c r="CE135" s="59">
        <f t="shared" si="148"/>
        <v>347.56964743629885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18.401122205294612</v>
      </c>
      <c r="CL135" s="21">
        <f>EXP(-LN(2)/25)*CL134+(1-EXP(-LN(2)/25))/(LN(2)/25)*Calculateur!CG135*Calculateur!CI135*VLOOKUP('Données projet'!$B$12,Paramètres!$A$1:$I$89,3,0)*0.475*44/12</f>
        <v>5.4245876395243613</v>
      </c>
      <c r="CM135" s="21">
        <f>EXP(-LN(2)/2)*CM134+(1-EXP(-LN(2)/2))/(LN(2)/2)*CG135*CJ135*VLOOKUP('Données projet'!$B$12,Paramètres!$A$1:$I$89,3,0)*0.475*44/12</f>
        <v>1.1030441461107034E-17</v>
      </c>
      <c r="CN135" s="22">
        <f t="shared" si="120"/>
        <v>23.825709844818974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852.00000000000011</v>
      </c>
      <c r="O136" s="13">
        <f>N136*VLOOKUP('Données projet'!$B$9,Paramètres!$A$1:$I$89,3,0)*VLOOKUP('Données projet'!$B$9,Paramètres!$A$1:$I$89,5,0)</f>
        <v>420.88800000000009</v>
      </c>
      <c r="P136" s="13">
        <f t="shared" si="141"/>
        <v>95.998759891259041</v>
      </c>
      <c r="Q136" s="20">
        <f t="shared" si="108"/>
        <v>900.24444014394294</v>
      </c>
      <c r="R136" s="59">
        <f t="shared" si="109"/>
        <v>1193.5777734772762</v>
      </c>
      <c r="S136" s="59">
        <f ca="1">AVERAGE(OFFSET($R$3,0,0,'Données projet'!$E$9+1,1))-AVERAGE(OFFSET($H$3,0,0,'Données projet'!$E$9+1,1))</f>
        <v>434.08297999735811</v>
      </c>
      <c r="T136" s="59">
        <f t="shared" si="142"/>
        <v>371.04090283546122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55.66671772006773</v>
      </c>
      <c r="AA136" s="21">
        <f>EXP(-LN(2)/25)*AA135+(1-EXP(-LN(2)/25))/(LN(2)/25)*Calculateur!V136*Calculateur!X136*VLOOKUP('Données projet'!$B$9,Paramètres!$A$1:$I$89,3,0)*0.475*44/12</f>
        <v>2.9738648789853728</v>
      </c>
      <c r="AB136" s="21">
        <f>EXP(-LN(2)/2)*AB135+(1-EXP(-LN(2)/2))/(LN(2)/2)*V136*Y136*VLOOKUP('Données projet'!$B$9,Paramètres!$A$1:$I$89,3,0)*0.475*44/12</f>
        <v>2.3601314313210132E-16</v>
      </c>
      <c r="AC136" s="22">
        <f t="shared" si="111"/>
        <v>58.640582599053104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292.78079999999977</v>
      </c>
      <c r="AK136" s="13">
        <f t="shared" si="143"/>
        <v>69.660903052386217</v>
      </c>
      <c r="AL136" s="20">
        <f t="shared" si="112"/>
        <v>631.25263281623893</v>
      </c>
      <c r="AM136" s="59">
        <f t="shared" si="113"/>
        <v>924.58596614957219</v>
      </c>
      <c r="AN136" s="59">
        <f ca="1">AVERAGE(OFFSET($AM$3,0,0,'Données projet'!$E$10+1,1))-AVERAGE(OFFSET($H$3,0,0,'Données projet'!$E$10+1,1))</f>
        <v>331.52724290297675</v>
      </c>
      <c r="AO136" s="59">
        <f t="shared" si="144"/>
        <v>322.79102610158054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21.57573976327431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21.57573976327431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246.8543999999998</v>
      </c>
      <c r="BF136" s="13">
        <f t="shared" si="145"/>
        <v>59.911862368716115</v>
      </c>
      <c r="BG136" s="20">
        <f t="shared" si="115"/>
        <v>534.28457362551353</v>
      </c>
      <c r="BH136" s="59">
        <f t="shared" si="116"/>
        <v>827.61790695884679</v>
      </c>
      <c r="BI136" s="59">
        <f ca="1">AVERAGE(OFFSET($BH$3,0,0,'Données projet'!$E$11+1,1))-AVERAGE(OFFSET($H$3,0,0,'Données projet'!$E$11+1,1))</f>
        <v>273.84349636755343</v>
      </c>
      <c r="BJ136" s="59">
        <f t="shared" si="146"/>
        <v>268.10688874775451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18.191309996486179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18.191309996486179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401</v>
      </c>
      <c r="BZ136" s="13">
        <f>BY136*VLOOKUP('Données projet'!$B$12,Paramètres!$A$1:$I$89,3,0)*VLOOKUP('Données projet'!$B$12,Paramètres!$A$1:$I$89,5,0)</f>
        <v>250.22399999999999</v>
      </c>
      <c r="CA136" s="13">
        <f t="shared" si="147"/>
        <v>60.633904580527918</v>
      </c>
      <c r="CB136" s="20">
        <f t="shared" si="118"/>
        <v>541.41085047775289</v>
      </c>
      <c r="CC136" s="59">
        <f t="shared" si="119"/>
        <v>834.74418381108626</v>
      </c>
      <c r="CD136" s="59">
        <f ca="1">AVERAGE(OFFSET($CC$3,0,0,'Données projet'!$E$12+1,1))-AVERAGE(OFFSET($H$3,0,0,'Données projet'!$E$12+1,1))</f>
        <v>269.77739619445515</v>
      </c>
      <c r="CE136" s="59">
        <f t="shared" si="148"/>
        <v>347.56964743629885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18.040287422425095</v>
      </c>
      <c r="CL136" s="21">
        <f>EXP(-LN(2)/25)*CL135+(1-EXP(-LN(2)/25))/(LN(2)/25)*Calculateur!CG136*Calculateur!CI136*VLOOKUP('Données projet'!$B$12,Paramètres!$A$1:$I$89,3,0)*0.475*44/12</f>
        <v>5.2762520052549018</v>
      </c>
      <c r="CM136" s="21">
        <f>EXP(-LN(2)/2)*CM135+(1-EXP(-LN(2)/2))/(LN(2)/2)*CG136*CJ136*VLOOKUP('Données projet'!$B$12,Paramètres!$A$1:$I$89,3,0)*0.475*44/12</f>
        <v>7.7996999566300331E-18</v>
      </c>
      <c r="CN136" s="22">
        <f t="shared" si="120"/>
        <v>23.316539427679999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852.00000000000011</v>
      </c>
      <c r="O137" s="13">
        <f>N137*VLOOKUP('Données projet'!$B$9,Paramètres!$A$1:$I$89,3,0)*VLOOKUP('Données projet'!$B$9,Paramètres!$A$1:$I$89,5,0)</f>
        <v>420.88800000000009</v>
      </c>
      <c r="P137" s="13">
        <f t="shared" si="141"/>
        <v>95.998759891259041</v>
      </c>
      <c r="Q137" s="20">
        <f t="shared" si="108"/>
        <v>900.24444014394294</v>
      </c>
      <c r="R137" s="59">
        <f t="shared" si="109"/>
        <v>1193.5777734772762</v>
      </c>
      <c r="S137" s="59">
        <f ca="1">AVERAGE(OFFSET($R$3,0,0,'Données projet'!$E$9+1,1))-AVERAGE(OFFSET($H$3,0,0,'Données projet'!$E$9+1,1))</f>
        <v>434.08297999735811</v>
      </c>
      <c r="T137" s="59">
        <f t="shared" si="142"/>
        <v>371.04090283546122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54.5751273389224</v>
      </c>
      <c r="AA137" s="21">
        <f>EXP(-LN(2)/25)*AA136+(1-EXP(-LN(2)/25))/(LN(2)/25)*Calculateur!V137*Calculateur!X137*VLOOKUP('Données projet'!$B$9,Paramètres!$A$1:$I$89,3,0)*0.475*44/12</f>
        <v>2.8925443874807608</v>
      </c>
      <c r="AB137" s="21">
        <f>EXP(-LN(2)/2)*AB136+(1-EXP(-LN(2)/2))/(LN(2)/2)*V137*Y137*VLOOKUP('Données projet'!$B$9,Paramètres!$A$1:$I$89,3,0)*0.475*44/12</f>
        <v>1.6688649395786009E-16</v>
      </c>
      <c r="AC137" s="22">
        <f t="shared" si="111"/>
        <v>57.467671726403161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292.78079999999977</v>
      </c>
      <c r="AK137" s="13">
        <f t="shared" si="143"/>
        <v>69.660903052386217</v>
      </c>
      <c r="AL137" s="20">
        <f t="shared" si="112"/>
        <v>631.25263281623893</v>
      </c>
      <c r="AM137" s="59">
        <f t="shared" si="113"/>
        <v>924.58596614957219</v>
      </c>
      <c r="AN137" s="59">
        <f ca="1">AVERAGE(OFFSET($AM$3,0,0,'Données projet'!$E$10+1,1))-AVERAGE(OFFSET($H$3,0,0,'Données projet'!$E$10+1,1))</f>
        <v>331.52724290297675</v>
      </c>
      <c r="AO137" s="59">
        <f t="shared" si="144"/>
        <v>322.79102610158054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21.152652666418323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21.152652666418323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246.8543999999998</v>
      </c>
      <c r="BF137" s="13">
        <f t="shared" si="145"/>
        <v>59.911862368716115</v>
      </c>
      <c r="BG137" s="20">
        <f t="shared" si="115"/>
        <v>534.28457362551353</v>
      </c>
      <c r="BH137" s="59">
        <f t="shared" si="116"/>
        <v>827.61790695884679</v>
      </c>
      <c r="BI137" s="59">
        <f ca="1">AVERAGE(OFFSET($BH$3,0,0,'Données projet'!$E$11+1,1))-AVERAGE(OFFSET($H$3,0,0,'Données projet'!$E$11+1,1))</f>
        <v>273.84349636755343</v>
      </c>
      <c r="BJ137" s="59">
        <f t="shared" si="146"/>
        <v>268.10688874775451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17.834589503058584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17.834589503058584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401</v>
      </c>
      <c r="BZ137" s="13">
        <f>BY137*VLOOKUP('Données projet'!$B$12,Paramètres!$A$1:$I$89,3,0)*VLOOKUP('Données projet'!$B$12,Paramètres!$A$1:$I$89,5,0)</f>
        <v>250.22399999999999</v>
      </c>
      <c r="CA137" s="13">
        <f t="shared" si="147"/>
        <v>60.633904580527918</v>
      </c>
      <c r="CB137" s="20">
        <f t="shared" si="118"/>
        <v>541.41085047775289</v>
      </c>
      <c r="CC137" s="59">
        <f t="shared" si="119"/>
        <v>834.74418381108626</v>
      </c>
      <c r="CD137" s="59">
        <f ca="1">AVERAGE(OFFSET($CC$3,0,0,'Données projet'!$E$12+1,1))-AVERAGE(OFFSET($H$3,0,0,'Données projet'!$E$12+1,1))</f>
        <v>269.77739619445515</v>
      </c>
      <c r="CE137" s="59">
        <f t="shared" si="148"/>
        <v>347.56964743629885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17.686528389560163</v>
      </c>
      <c r="CL137" s="21">
        <f>EXP(-LN(2)/25)*CL136+(1-EXP(-LN(2)/25))/(LN(2)/25)*Calculateur!CG137*Calculateur!CI137*VLOOKUP('Données projet'!$B$12,Paramètres!$A$1:$I$89,3,0)*0.475*44/12</f>
        <v>5.1319726167051725</v>
      </c>
      <c r="CM137" s="21">
        <f>EXP(-LN(2)/2)*CM136+(1-EXP(-LN(2)/2))/(LN(2)/2)*CG137*CJ137*VLOOKUP('Données projet'!$B$12,Paramètres!$A$1:$I$89,3,0)*0.475*44/12</f>
        <v>5.5152207305535171E-18</v>
      </c>
      <c r="CN137" s="22">
        <f t="shared" si="120"/>
        <v>22.818501006265336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852.00000000000011</v>
      </c>
      <c r="O138" s="13">
        <f>N138*VLOOKUP('Données projet'!$B$9,Paramètres!$A$1:$I$89,3,0)*VLOOKUP('Données projet'!$B$9,Paramètres!$A$1:$I$89,5,0)</f>
        <v>420.88800000000009</v>
      </c>
      <c r="P138" s="13">
        <f t="shared" si="141"/>
        <v>95.998759891259041</v>
      </c>
      <c r="Q138" s="20">
        <f t="shared" si="108"/>
        <v>900.24444014394294</v>
      </c>
      <c r="R138" s="59">
        <f t="shared" si="109"/>
        <v>1193.5777734772762</v>
      </c>
      <c r="S138" s="59">
        <f ca="1">AVERAGE(OFFSET($R$3,0,0,'Données projet'!$E$9+1,1))-AVERAGE(OFFSET($H$3,0,0,'Données projet'!$E$9+1,1))</f>
        <v>434.08297999735811</v>
      </c>
      <c r="T138" s="59">
        <f t="shared" si="142"/>
        <v>371.04090283546122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53.504942379346936</v>
      </c>
      <c r="AA138" s="21">
        <f>EXP(-LN(2)/25)*AA137+(1-EXP(-LN(2)/25))/(LN(2)/25)*Calculateur!V138*Calculateur!X138*VLOOKUP('Données projet'!$B$9,Paramètres!$A$1:$I$89,3,0)*0.475*44/12</f>
        <v>2.8134476090928011</v>
      </c>
      <c r="AB138" s="21">
        <f>EXP(-LN(2)/2)*AB137+(1-EXP(-LN(2)/2))/(LN(2)/2)*V138*Y138*VLOOKUP('Données projet'!$B$9,Paramètres!$A$1:$I$89,3,0)*0.475*44/12</f>
        <v>1.1800657156605066E-16</v>
      </c>
      <c r="AC138" s="22">
        <f t="shared" si="111"/>
        <v>56.318389988439733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292.78079999999977</v>
      </c>
      <c r="AK138" s="13">
        <f t="shared" si="143"/>
        <v>69.660903052386217</v>
      </c>
      <c r="AL138" s="20">
        <f t="shared" si="112"/>
        <v>631.25263281623893</v>
      </c>
      <c r="AM138" s="59">
        <f t="shared" si="113"/>
        <v>924.58596614957219</v>
      </c>
      <c r="AN138" s="59">
        <f ca="1">AVERAGE(OFFSET($AM$3,0,0,'Données projet'!$E$10+1,1))-AVERAGE(OFFSET($H$3,0,0,'Données projet'!$E$10+1,1))</f>
        <v>331.52724290297675</v>
      </c>
      <c r="AO138" s="59">
        <f t="shared" si="144"/>
        <v>322.79102610158054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20.737862049474035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20.737862049474035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246.8543999999998</v>
      </c>
      <c r="BF138" s="13">
        <f t="shared" si="145"/>
        <v>59.911862368716115</v>
      </c>
      <c r="BG138" s="20">
        <f t="shared" si="115"/>
        <v>534.28457362551353</v>
      </c>
      <c r="BH138" s="59">
        <f t="shared" si="116"/>
        <v>827.61790695884679</v>
      </c>
      <c r="BI138" s="59">
        <f ca="1">AVERAGE(OFFSET($BH$3,0,0,'Données projet'!$E$11+1,1))-AVERAGE(OFFSET($H$3,0,0,'Données projet'!$E$11+1,1))</f>
        <v>273.84349636755343</v>
      </c>
      <c r="BJ138" s="59">
        <f t="shared" si="146"/>
        <v>268.10688874775451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17.484864080929086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17.484864080929086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401</v>
      </c>
      <c r="BZ138" s="13">
        <f>BY138*VLOOKUP('Données projet'!$B$12,Paramètres!$A$1:$I$89,3,0)*VLOOKUP('Données projet'!$B$12,Paramètres!$A$1:$I$89,5,0)</f>
        <v>250.22399999999999</v>
      </c>
      <c r="CA138" s="13">
        <f t="shared" si="147"/>
        <v>60.633904580527918</v>
      </c>
      <c r="CB138" s="20">
        <f t="shared" si="118"/>
        <v>541.41085047775289</v>
      </c>
      <c r="CC138" s="59">
        <f t="shared" si="119"/>
        <v>834.74418381108626</v>
      </c>
      <c r="CD138" s="59">
        <f ca="1">AVERAGE(OFFSET($CC$3,0,0,'Données projet'!$E$12+1,1))-AVERAGE(OFFSET($H$3,0,0,'Données projet'!$E$12+1,1))</f>
        <v>269.77739619445515</v>
      </c>
      <c r="CE138" s="59">
        <f t="shared" si="148"/>
        <v>347.56964743629885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17.339706355558008</v>
      </c>
      <c r="CL138" s="21">
        <f>EXP(-LN(2)/25)*CL137+(1-EXP(-LN(2)/25))/(LN(2)/25)*Calculateur!CG138*Calculateur!CI138*VLOOKUP('Données projet'!$B$12,Paramètres!$A$1:$I$89,3,0)*0.475*44/12</f>
        <v>4.991638555622659</v>
      </c>
      <c r="CM138" s="21">
        <f>EXP(-LN(2)/2)*CM137+(1-EXP(-LN(2)/2))/(LN(2)/2)*CG138*CJ138*VLOOKUP('Données projet'!$B$12,Paramètres!$A$1:$I$89,3,0)*0.475*44/12</f>
        <v>3.8998499783150165E-18</v>
      </c>
      <c r="CN138" s="22">
        <f t="shared" si="120"/>
        <v>22.331344911180665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852.00000000000011</v>
      </c>
      <c r="O139" s="13">
        <f>N139*VLOOKUP('Données projet'!$B$9,Paramètres!$A$1:$I$89,3,0)*VLOOKUP('Données projet'!$B$9,Paramètres!$A$1:$I$89,5,0)</f>
        <v>420.88800000000009</v>
      </c>
      <c r="P139" s="13">
        <f t="shared" si="141"/>
        <v>95.998759891259041</v>
      </c>
      <c r="Q139" s="20">
        <f t="shared" si="108"/>
        <v>900.24444014394294</v>
      </c>
      <c r="R139" s="59">
        <f t="shared" si="109"/>
        <v>1193.5777734772762</v>
      </c>
      <c r="S139" s="59">
        <f ca="1">AVERAGE(OFFSET($R$3,0,0,'Données projet'!$E$9+1,1))-AVERAGE(OFFSET($H$3,0,0,'Données projet'!$E$9+1,1))</f>
        <v>434.08297999735811</v>
      </c>
      <c r="T139" s="59">
        <f t="shared" si="142"/>
        <v>371.04090283546122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52.455743094080375</v>
      </c>
      <c r="AA139" s="21">
        <f>EXP(-LN(2)/25)*AA138+(1-EXP(-LN(2)/25))/(LN(2)/25)*Calculateur!V139*Calculateur!X139*VLOOKUP('Données projet'!$B$9,Paramètres!$A$1:$I$89,3,0)*0.475*44/12</f>
        <v>2.7365137362693788</v>
      </c>
      <c r="AB139" s="21">
        <f>EXP(-LN(2)/2)*AB138+(1-EXP(-LN(2)/2))/(LN(2)/2)*V139*Y139*VLOOKUP('Données projet'!$B$9,Paramètres!$A$1:$I$89,3,0)*0.475*44/12</f>
        <v>8.3443246978930046E-17</v>
      </c>
      <c r="AC139" s="22">
        <f t="shared" si="111"/>
        <v>55.192256830349756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292.78079999999977</v>
      </c>
      <c r="AK139" s="13">
        <f t="shared" si="143"/>
        <v>69.660903052386217</v>
      </c>
      <c r="AL139" s="20">
        <f t="shared" si="112"/>
        <v>631.25263281623893</v>
      </c>
      <c r="AM139" s="59">
        <f t="shared" si="113"/>
        <v>924.58596614957219</v>
      </c>
      <c r="AN139" s="59">
        <f ca="1">AVERAGE(OFFSET($AM$3,0,0,'Données projet'!$E$10+1,1))-AVERAGE(OFFSET($H$3,0,0,'Données projet'!$E$10+1,1))</f>
        <v>331.52724290297675</v>
      </c>
      <c r="AO139" s="59">
        <f t="shared" si="144"/>
        <v>322.79102610158054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20.331205223530731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20.331205223530731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246.8543999999998</v>
      </c>
      <c r="BF139" s="13">
        <f t="shared" si="145"/>
        <v>59.911862368716115</v>
      </c>
      <c r="BG139" s="20">
        <f t="shared" si="115"/>
        <v>534.28457362551353</v>
      </c>
      <c r="BH139" s="59">
        <f t="shared" si="116"/>
        <v>827.61790695884679</v>
      </c>
      <c r="BI139" s="59">
        <f ca="1">AVERAGE(OFFSET($BH$3,0,0,'Données projet'!$E$11+1,1))-AVERAGE(OFFSET($H$3,0,0,'Données projet'!$E$11+1,1))</f>
        <v>273.84349636755343</v>
      </c>
      <c r="BJ139" s="59">
        <f t="shared" si="146"/>
        <v>268.10688874775451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17.141996561016104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17.141996561016104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401</v>
      </c>
      <c r="BZ139" s="13">
        <f>BY139*VLOOKUP('Données projet'!$B$12,Paramètres!$A$1:$I$89,3,0)*VLOOKUP('Données projet'!$B$12,Paramètres!$A$1:$I$89,5,0)</f>
        <v>250.22399999999999</v>
      </c>
      <c r="CA139" s="13">
        <f t="shared" si="147"/>
        <v>60.633904580527918</v>
      </c>
      <c r="CB139" s="20">
        <f t="shared" si="118"/>
        <v>541.41085047775289</v>
      </c>
      <c r="CC139" s="59">
        <f t="shared" si="119"/>
        <v>834.74418381108626</v>
      </c>
      <c r="CD139" s="59">
        <f ca="1">AVERAGE(OFFSET($CC$3,0,0,'Données projet'!$E$12+1,1))-AVERAGE(OFFSET($H$3,0,0,'Données projet'!$E$12+1,1))</f>
        <v>269.77739619445515</v>
      </c>
      <c r="CE139" s="59">
        <f t="shared" si="148"/>
        <v>347.56964743629885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16.999685290102082</v>
      </c>
      <c r="CL139" s="21">
        <f>EXP(-LN(2)/25)*CL138+(1-EXP(-LN(2)/25))/(LN(2)/25)*Calculateur!CG139*Calculateur!CI139*VLOOKUP('Données projet'!$B$12,Paramètres!$A$1:$I$89,3,0)*0.475*44/12</f>
        <v>4.8551419368202939</v>
      </c>
      <c r="CM139" s="21">
        <f>EXP(-LN(2)/2)*CM138+(1-EXP(-LN(2)/2))/(LN(2)/2)*CG139*CJ139*VLOOKUP('Données projet'!$B$12,Paramètres!$A$1:$I$89,3,0)*0.475*44/12</f>
        <v>2.7576103652767586E-18</v>
      </c>
      <c r="CN139" s="22">
        <f t="shared" si="120"/>
        <v>21.854827226922374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852.00000000000011</v>
      </c>
      <c r="O140" s="13">
        <f>N140*VLOOKUP('Données projet'!$B$9,Paramètres!$A$1:$I$89,3,0)*VLOOKUP('Données projet'!$B$9,Paramètres!$A$1:$I$89,5,0)</f>
        <v>420.88800000000009</v>
      </c>
      <c r="P140" s="13">
        <f t="shared" si="141"/>
        <v>95.998759891259041</v>
      </c>
      <c r="Q140" s="20">
        <f t="shared" si="108"/>
        <v>900.24444014394294</v>
      </c>
      <c r="R140" s="59">
        <f t="shared" si="109"/>
        <v>1193.5777734772762</v>
      </c>
      <c r="S140" s="59">
        <f ca="1">AVERAGE(OFFSET($R$3,0,0,'Données projet'!$E$9+1,1))-AVERAGE(OFFSET($H$3,0,0,'Données projet'!$E$9+1,1))</f>
        <v>434.08297999735811</v>
      </c>
      <c r="T140" s="59">
        <f t="shared" si="142"/>
        <v>371.04090283546122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51.427117966849515</v>
      </c>
      <c r="AA140" s="21">
        <f>EXP(-LN(2)/25)*AA139+(1-EXP(-LN(2)/25))/(LN(2)/25)*Calculateur!V140*Calculateur!X140*VLOOKUP('Données projet'!$B$9,Paramètres!$A$1:$I$89,3,0)*0.475*44/12</f>
        <v>2.6616836242440898</v>
      </c>
      <c r="AB140" s="21">
        <f>EXP(-LN(2)/2)*AB139+(1-EXP(-LN(2)/2))/(LN(2)/2)*V140*Y140*VLOOKUP('Données projet'!$B$9,Paramètres!$A$1:$I$89,3,0)*0.475*44/12</f>
        <v>5.9003285783025329E-17</v>
      </c>
      <c r="AC140" s="22">
        <f t="shared" si="111"/>
        <v>54.088801591093606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292.78079999999977</v>
      </c>
      <c r="AK140" s="13">
        <f t="shared" si="143"/>
        <v>69.660903052386217</v>
      </c>
      <c r="AL140" s="20">
        <f t="shared" si="112"/>
        <v>631.25263281623893</v>
      </c>
      <c r="AM140" s="59">
        <f t="shared" si="113"/>
        <v>924.58596614957219</v>
      </c>
      <c r="AN140" s="59">
        <f ca="1">AVERAGE(OFFSET($AM$3,0,0,'Données projet'!$E$10+1,1))-AVERAGE(OFFSET($H$3,0,0,'Données projet'!$E$10+1,1))</f>
        <v>331.52724290297675</v>
      </c>
      <c r="AO140" s="59">
        <f t="shared" si="144"/>
        <v>322.79102610158054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19.932522689908001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19.932522689908001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246.8543999999998</v>
      </c>
      <c r="BF140" s="13">
        <f t="shared" si="145"/>
        <v>59.911862368716115</v>
      </c>
      <c r="BG140" s="20">
        <f t="shared" si="115"/>
        <v>534.28457362551353</v>
      </c>
      <c r="BH140" s="59">
        <f t="shared" si="116"/>
        <v>827.61790695884679</v>
      </c>
      <c r="BI140" s="59">
        <f ca="1">AVERAGE(OFFSET($BH$3,0,0,'Données projet'!$E$11+1,1))-AVERAGE(OFFSET($H$3,0,0,'Données projet'!$E$11+1,1))</f>
        <v>273.84349636755343</v>
      </c>
      <c r="BJ140" s="59">
        <f t="shared" si="146"/>
        <v>268.10688874775451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16.805852464040075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16.805852464040075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401</v>
      </c>
      <c r="BZ140" s="13">
        <f>BY140*VLOOKUP('Données projet'!$B$12,Paramètres!$A$1:$I$89,3,0)*VLOOKUP('Données projet'!$B$12,Paramètres!$A$1:$I$89,5,0)</f>
        <v>250.22399999999999</v>
      </c>
      <c r="CA140" s="13">
        <f t="shared" si="147"/>
        <v>60.633904580527918</v>
      </c>
      <c r="CB140" s="20">
        <f t="shared" si="118"/>
        <v>541.41085047775289</v>
      </c>
      <c r="CC140" s="59">
        <f t="shared" si="119"/>
        <v>834.74418381108626</v>
      </c>
      <c r="CD140" s="59">
        <f ca="1">AVERAGE(OFFSET($CC$3,0,0,'Données projet'!$E$12+1,1))-AVERAGE(OFFSET($H$3,0,0,'Données projet'!$E$12+1,1))</f>
        <v>269.77739619445515</v>
      </c>
      <c r="CE140" s="59">
        <f t="shared" si="148"/>
        <v>347.56964743629885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16.666331830347374</v>
      </c>
      <c r="CL140" s="21">
        <f>EXP(-LN(2)/25)*CL139+(1-EXP(-LN(2)/25))/(LN(2)/25)*Calculateur!CG140*Calculateur!CI140*VLOOKUP('Données projet'!$B$12,Paramètres!$A$1:$I$89,3,0)*0.475*44/12</f>
        <v>4.7223778252371247</v>
      </c>
      <c r="CM140" s="21">
        <f>EXP(-LN(2)/2)*CM139+(1-EXP(-LN(2)/2))/(LN(2)/2)*CG140*CJ140*VLOOKUP('Données projet'!$B$12,Paramètres!$A$1:$I$89,3,0)*0.475*44/12</f>
        <v>1.9499249891575083E-18</v>
      </c>
      <c r="CN140" s="22">
        <f t="shared" si="120"/>
        <v>21.388709655584499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852.00000000000011</v>
      </c>
      <c r="O141" s="13">
        <f>N141*VLOOKUP('Données projet'!$B$9,Paramètres!$A$1:$I$89,3,0)*VLOOKUP('Données projet'!$B$9,Paramètres!$A$1:$I$89,5,0)</f>
        <v>420.88800000000009</v>
      </c>
      <c r="P141" s="13">
        <f t="shared" si="141"/>
        <v>95.998759891259041</v>
      </c>
      <c r="Q141" s="20">
        <f t="shared" si="108"/>
        <v>900.24444014394294</v>
      </c>
      <c r="R141" s="59">
        <f t="shared" si="109"/>
        <v>1193.5777734772762</v>
      </c>
      <c r="S141" s="59">
        <f ca="1">AVERAGE(OFFSET($R$3,0,0,'Données projet'!$E$9+1,1))-AVERAGE(OFFSET($H$3,0,0,'Données projet'!$E$9+1,1))</f>
        <v>434.08297999735811</v>
      </c>
      <c r="T141" s="59">
        <f t="shared" si="142"/>
        <v>371.04090283546122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50.418663550964276</v>
      </c>
      <c r="AA141" s="21">
        <f>EXP(-LN(2)/25)*AA140+(1-EXP(-LN(2)/25))/(LN(2)/25)*Calculateur!V141*Calculateur!X141*VLOOKUP('Données projet'!$B$9,Paramètres!$A$1:$I$89,3,0)*0.475*44/12</f>
        <v>2.5888997455672769</v>
      </c>
      <c r="AB141" s="21">
        <f>EXP(-LN(2)/2)*AB140+(1-EXP(-LN(2)/2))/(LN(2)/2)*V141*Y141*VLOOKUP('Données projet'!$B$9,Paramètres!$A$1:$I$89,3,0)*0.475*44/12</f>
        <v>4.1721623489465023E-17</v>
      </c>
      <c r="AC141" s="22">
        <f t="shared" si="111"/>
        <v>53.007563296531551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292.78079999999977</v>
      </c>
      <c r="AK141" s="13">
        <f t="shared" si="143"/>
        <v>69.660903052386217</v>
      </c>
      <c r="AL141" s="20">
        <f t="shared" si="112"/>
        <v>631.25263281623893</v>
      </c>
      <c r="AM141" s="59">
        <f t="shared" si="113"/>
        <v>924.58596614957219</v>
      </c>
      <c r="AN141" s="59">
        <f ca="1">AVERAGE(OFFSET($AM$3,0,0,'Données projet'!$E$10+1,1))-AVERAGE(OFFSET($H$3,0,0,'Données projet'!$E$10+1,1))</f>
        <v>331.52724290297675</v>
      </c>
      <c r="AO141" s="59">
        <f t="shared" si="144"/>
        <v>322.79102610158054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19.54165807759728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19.54165807759728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246.8543999999998</v>
      </c>
      <c r="BF141" s="13">
        <f t="shared" si="145"/>
        <v>59.911862368716115</v>
      </c>
      <c r="BG141" s="20">
        <f t="shared" si="115"/>
        <v>534.28457362551353</v>
      </c>
      <c r="BH141" s="59">
        <f t="shared" si="116"/>
        <v>827.61790695884679</v>
      </c>
      <c r="BI141" s="59">
        <f ca="1">AVERAGE(OFFSET($BH$3,0,0,'Données projet'!$E$11+1,1))-AVERAGE(OFFSET($H$3,0,0,'Données projet'!$E$11+1,1))</f>
        <v>273.84349636755343</v>
      </c>
      <c r="BJ141" s="59">
        <f t="shared" si="146"/>
        <v>268.10688874775451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16.476299947778095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16.476299947778095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401</v>
      </c>
      <c r="BZ141" s="13">
        <f>BY141*VLOOKUP('Données projet'!$B$12,Paramètres!$A$1:$I$89,3,0)*VLOOKUP('Données projet'!$B$12,Paramètres!$A$1:$I$89,5,0)</f>
        <v>250.22399999999999</v>
      </c>
      <c r="CA141" s="13">
        <f t="shared" si="147"/>
        <v>60.633904580527918</v>
      </c>
      <c r="CB141" s="20">
        <f t="shared" si="118"/>
        <v>541.41085047775289</v>
      </c>
      <c r="CC141" s="59">
        <f t="shared" si="119"/>
        <v>834.74418381108626</v>
      </c>
      <c r="CD141" s="59">
        <f ca="1">AVERAGE(OFFSET($CC$3,0,0,'Données projet'!$E$12+1,1))-AVERAGE(OFFSET($H$3,0,0,'Données projet'!$E$12+1,1))</f>
        <v>269.77739619445515</v>
      </c>
      <c r="CE141" s="59">
        <f t="shared" si="148"/>
        <v>347.56964743629885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16.339515228612925</v>
      </c>
      <c r="CL141" s="21">
        <f>EXP(-LN(2)/25)*CL140+(1-EXP(-LN(2)/25))/(LN(2)/25)*Calculateur!CG141*Calculateur!CI141*VLOOKUP('Données projet'!$B$12,Paramètres!$A$1:$I$89,3,0)*0.475*44/12</f>
        <v>4.5932441552669587</v>
      </c>
      <c r="CM141" s="21">
        <f>EXP(-LN(2)/2)*CM140+(1-EXP(-LN(2)/2))/(LN(2)/2)*CG141*CJ141*VLOOKUP('Données projet'!$B$12,Paramètres!$A$1:$I$89,3,0)*0.475*44/12</f>
        <v>1.3788051826383793E-18</v>
      </c>
      <c r="CN141" s="22">
        <f t="shared" si="120"/>
        <v>20.932759383879883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852.00000000000011</v>
      </c>
      <c r="O142" s="13">
        <f>N142*VLOOKUP('Données projet'!$B$9,Paramètres!$A$1:$I$89,3,0)*VLOOKUP('Données projet'!$B$9,Paramètres!$A$1:$I$89,5,0)</f>
        <v>420.88800000000009</v>
      </c>
      <c r="P142" s="13">
        <f t="shared" si="141"/>
        <v>95.998759891259041</v>
      </c>
      <c r="Q142" s="20">
        <f t="shared" si="108"/>
        <v>900.24444014394294</v>
      </c>
      <c r="R142" s="59">
        <f t="shared" si="109"/>
        <v>1193.5777734772762</v>
      </c>
      <c r="S142" s="59">
        <f ca="1">AVERAGE(OFFSET($R$3,0,0,'Données projet'!$E$9+1,1))-AVERAGE(OFFSET($H$3,0,0,'Données projet'!$E$9+1,1))</f>
        <v>434.08297999735811</v>
      </c>
      <c r="T142" s="59">
        <f t="shared" si="142"/>
        <v>371.04090283546122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49.429984311078087</v>
      </c>
      <c r="AA142" s="21">
        <f>EXP(-LN(2)/25)*AA141+(1-EXP(-LN(2)/25))/(LN(2)/25)*Calculateur!V142*Calculateur!X142*VLOOKUP('Données projet'!$B$9,Paramètres!$A$1:$I$89,3,0)*0.475*44/12</f>
        <v>2.5181061458804193</v>
      </c>
      <c r="AB142" s="21">
        <f>EXP(-LN(2)/2)*AB141+(1-EXP(-LN(2)/2))/(LN(2)/2)*V142*Y142*VLOOKUP('Données projet'!$B$9,Paramètres!$A$1:$I$89,3,0)*0.475*44/12</f>
        <v>2.9501642891512664E-17</v>
      </c>
      <c r="AC142" s="22">
        <f t="shared" si="111"/>
        <v>51.948090456958504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292.78079999999977</v>
      </c>
      <c r="AK142" s="13">
        <f t="shared" si="143"/>
        <v>69.660903052386217</v>
      </c>
      <c r="AL142" s="20">
        <f t="shared" si="112"/>
        <v>631.25263281623893</v>
      </c>
      <c r="AM142" s="59">
        <f t="shared" si="113"/>
        <v>924.58596614957219</v>
      </c>
      <c r="AN142" s="59">
        <f ca="1">AVERAGE(OFFSET($AM$3,0,0,'Données projet'!$E$10+1,1))-AVERAGE(OFFSET($H$3,0,0,'Données projet'!$E$10+1,1))</f>
        <v>331.52724290297675</v>
      </c>
      <c r="AO142" s="59">
        <f t="shared" si="144"/>
        <v>322.79102610158054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19.158458081930096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19.158458081930096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246.8543999999998</v>
      </c>
      <c r="BF142" s="13">
        <f t="shared" si="145"/>
        <v>59.911862368716115</v>
      </c>
      <c r="BG142" s="20">
        <f t="shared" si="115"/>
        <v>534.28457362551353</v>
      </c>
      <c r="BH142" s="59">
        <f t="shared" si="116"/>
        <v>827.61790695884679</v>
      </c>
      <c r="BI142" s="59">
        <f ca="1">AVERAGE(OFFSET($BH$3,0,0,'Données projet'!$E$11+1,1))-AVERAGE(OFFSET($H$3,0,0,'Données projet'!$E$11+1,1))</f>
        <v>273.84349636755343</v>
      </c>
      <c r="BJ142" s="59">
        <f t="shared" si="146"/>
        <v>268.10688874775451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16.153209755352822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16.153209755352822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401</v>
      </c>
      <c r="BZ142" s="13">
        <f>BY142*VLOOKUP('Données projet'!$B$12,Paramètres!$A$1:$I$89,3,0)*VLOOKUP('Données projet'!$B$12,Paramètres!$A$1:$I$89,5,0)</f>
        <v>250.22399999999999</v>
      </c>
      <c r="CA142" s="13">
        <f t="shared" si="147"/>
        <v>60.633904580527918</v>
      </c>
      <c r="CB142" s="20">
        <f t="shared" si="118"/>
        <v>541.41085047775289</v>
      </c>
      <c r="CC142" s="59">
        <f t="shared" si="119"/>
        <v>834.74418381108626</v>
      </c>
      <c r="CD142" s="59">
        <f ca="1">AVERAGE(OFFSET($CC$3,0,0,'Données projet'!$E$12+1,1))-AVERAGE(OFFSET($H$3,0,0,'Données projet'!$E$12+1,1))</f>
        <v>269.77739619445515</v>
      </c>
      <c r="CE142" s="59">
        <f t="shared" si="148"/>
        <v>347.56964743629885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16.019107301100043</v>
      </c>
      <c r="CL142" s="21">
        <f>EXP(-LN(2)/25)*CL141+(1-EXP(-LN(2)/25))/(LN(2)/25)*Calculateur!CG142*Calculateur!CI142*VLOOKUP('Données projet'!$B$12,Paramètres!$A$1:$I$89,3,0)*0.475*44/12</f>
        <v>4.4676416522929721</v>
      </c>
      <c r="CM142" s="21">
        <f>EXP(-LN(2)/2)*CM141+(1-EXP(-LN(2)/2))/(LN(2)/2)*CG142*CJ142*VLOOKUP('Données projet'!$B$12,Paramètres!$A$1:$I$89,3,0)*0.475*44/12</f>
        <v>9.7496249457875413E-19</v>
      </c>
      <c r="CN142" s="22">
        <f t="shared" si="120"/>
        <v>20.486748953393015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852.00000000000011</v>
      </c>
      <c r="O143" s="13">
        <f>N143*VLOOKUP('Données projet'!$B$9,Paramètres!$A$1:$I$89,3,0)*VLOOKUP('Données projet'!$B$9,Paramètres!$A$1:$I$89,5,0)</f>
        <v>420.88800000000009</v>
      </c>
      <c r="P143" s="13">
        <f t="shared" si="141"/>
        <v>95.998759891259041</v>
      </c>
      <c r="Q143" s="20">
        <f t="shared" si="108"/>
        <v>900.24444014394294</v>
      </c>
      <c r="R143" s="59">
        <f t="shared" si="109"/>
        <v>1193.5777734772762</v>
      </c>
      <c r="S143" s="59">
        <f ca="1">AVERAGE(OFFSET($R$3,0,0,'Données projet'!$E$9+1,1))-AVERAGE(OFFSET($H$3,0,0,'Données projet'!$E$9+1,1))</f>
        <v>434.08297999735811</v>
      </c>
      <c r="T143" s="59">
        <f t="shared" si="142"/>
        <v>371.04090283546122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48.460692468051278</v>
      </c>
      <c r="AA143" s="21">
        <f>EXP(-LN(2)/25)*AA142+(1-EXP(-LN(2)/25))/(LN(2)/25)*Calculateur!V143*Calculateur!X143*VLOOKUP('Données projet'!$B$9,Paramètres!$A$1:$I$89,3,0)*0.475*44/12</f>
        <v>2.4492484008998723</v>
      </c>
      <c r="AB143" s="21">
        <f>EXP(-LN(2)/2)*AB142+(1-EXP(-LN(2)/2))/(LN(2)/2)*V143*Y143*VLOOKUP('Données projet'!$B$9,Paramètres!$A$1:$I$89,3,0)*0.475*44/12</f>
        <v>2.0860811744732512E-17</v>
      </c>
      <c r="AC143" s="22">
        <f t="shared" si="111"/>
        <v>50.909940868951153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292.78079999999977</v>
      </c>
      <c r="AK143" s="13">
        <f t="shared" si="143"/>
        <v>69.660903052386217</v>
      </c>
      <c r="AL143" s="20">
        <f t="shared" si="112"/>
        <v>631.25263281623893</v>
      </c>
      <c r="AM143" s="59">
        <f t="shared" si="113"/>
        <v>924.58596614957219</v>
      </c>
      <c r="AN143" s="59">
        <f ca="1">AVERAGE(OFFSET($AM$3,0,0,'Données projet'!$E$10+1,1))-AVERAGE(OFFSET($H$3,0,0,'Données projet'!$E$10+1,1))</f>
        <v>331.52724290297675</v>
      </c>
      <c r="AO143" s="59">
        <f t="shared" si="144"/>
        <v>322.79102610158054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18.78277240444903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18.78277240444903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246.8543999999998</v>
      </c>
      <c r="BF143" s="13">
        <f t="shared" si="145"/>
        <v>59.911862368716115</v>
      </c>
      <c r="BG143" s="20">
        <f t="shared" si="115"/>
        <v>534.28457362551353</v>
      </c>
      <c r="BH143" s="59">
        <f t="shared" si="116"/>
        <v>827.61790695884679</v>
      </c>
      <c r="BI143" s="59">
        <f ca="1">AVERAGE(OFFSET($BH$3,0,0,'Données projet'!$E$11+1,1))-AVERAGE(OFFSET($H$3,0,0,'Données projet'!$E$11+1,1))</f>
        <v>273.84349636755343</v>
      </c>
      <c r="BJ143" s="59">
        <f t="shared" si="146"/>
        <v>268.10688874775451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15.836455164535453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15.836455164535453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401</v>
      </c>
      <c r="BZ143" s="13">
        <f>BY143*VLOOKUP('Données projet'!$B$12,Paramètres!$A$1:$I$89,3,0)*VLOOKUP('Données projet'!$B$12,Paramètres!$A$1:$I$89,5,0)</f>
        <v>250.22399999999999</v>
      </c>
      <c r="CA143" s="13">
        <f t="shared" si="147"/>
        <v>60.633904580527918</v>
      </c>
      <c r="CB143" s="20">
        <f t="shared" si="118"/>
        <v>541.41085047775289</v>
      </c>
      <c r="CC143" s="59">
        <f t="shared" si="119"/>
        <v>834.74418381108626</v>
      </c>
      <c r="CD143" s="59">
        <f ca="1">AVERAGE(OFFSET($CC$3,0,0,'Données projet'!$E$12+1,1))-AVERAGE(OFFSET($H$3,0,0,'Données projet'!$E$12+1,1))</f>
        <v>269.77739619445515</v>
      </c>
      <c r="CE143" s="59">
        <f t="shared" si="148"/>
        <v>347.56964743629885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15.704982377616149</v>
      </c>
      <c r="CL143" s="21">
        <f>EXP(-LN(2)/25)*CL142+(1-EXP(-LN(2)/25))/(LN(2)/25)*Calculateur!CG143*Calculateur!CI143*VLOOKUP('Données projet'!$B$12,Paramètres!$A$1:$I$89,3,0)*0.475*44/12</f>
        <v>4.3454737563679569</v>
      </c>
      <c r="CM143" s="21">
        <f>EXP(-LN(2)/2)*CM142+(1-EXP(-LN(2)/2))/(LN(2)/2)*CG143*CJ143*VLOOKUP('Données projet'!$B$12,Paramètres!$A$1:$I$89,3,0)*0.475*44/12</f>
        <v>6.8940259131918964E-19</v>
      </c>
      <c r="CN143" s="22">
        <f t="shared" si="120"/>
        <v>20.050456133984106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852.00000000000011</v>
      </c>
      <c r="O144" s="13">
        <f>N144*VLOOKUP('Données projet'!$B$9,Paramètres!$A$1:$I$89,3,0)*VLOOKUP('Données projet'!$B$9,Paramètres!$A$1:$I$89,5,0)</f>
        <v>420.88800000000009</v>
      </c>
      <c r="P144" s="13">
        <f t="shared" si="141"/>
        <v>95.998759891259041</v>
      </c>
      <c r="Q144" s="20">
        <f t="shared" si="108"/>
        <v>900.24444014394294</v>
      </c>
      <c r="R144" s="59">
        <f t="shared" si="109"/>
        <v>1193.5777734772762</v>
      </c>
      <c r="S144" s="59">
        <f ca="1">AVERAGE(OFFSET($R$3,0,0,'Données projet'!$E$9+1,1))-AVERAGE(OFFSET($H$3,0,0,'Données projet'!$E$9+1,1))</f>
        <v>434.08297999735811</v>
      </c>
      <c r="T144" s="59">
        <f t="shared" si="142"/>
        <v>371.04090283546122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47.51040784685658</v>
      </c>
      <c r="AA144" s="21">
        <f>EXP(-LN(2)/25)*AA143+(1-EXP(-LN(2)/25))/(LN(2)/25)*Calculateur!V144*Calculateur!X144*VLOOKUP('Données projet'!$B$9,Paramètres!$A$1:$I$89,3,0)*0.475*44/12</f>
        <v>2.3822735745768897</v>
      </c>
      <c r="AB144" s="21">
        <f>EXP(-LN(2)/2)*AB143+(1-EXP(-LN(2)/2))/(LN(2)/2)*V144*Y144*VLOOKUP('Données projet'!$B$9,Paramètres!$A$1:$I$89,3,0)*0.475*44/12</f>
        <v>1.4750821445756332E-17</v>
      </c>
      <c r="AC144" s="22">
        <f t="shared" si="111"/>
        <v>49.892681421433473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292.78079999999977</v>
      </c>
      <c r="AK144" s="13">
        <f t="shared" si="143"/>
        <v>69.660903052386217</v>
      </c>
      <c r="AL144" s="20">
        <f t="shared" si="112"/>
        <v>631.25263281623893</v>
      </c>
      <c r="AM144" s="59">
        <f t="shared" si="113"/>
        <v>924.58596614957219</v>
      </c>
      <c r="AN144" s="59">
        <f ca="1">AVERAGE(OFFSET($AM$3,0,0,'Données projet'!$E$10+1,1))-AVERAGE(OFFSET($H$3,0,0,'Données projet'!$E$10+1,1))</f>
        <v>331.52724290297675</v>
      </c>
      <c r="AO144" s="59">
        <f t="shared" si="144"/>
        <v>322.79102610158054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18.414453693957729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18.414453693957729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246.8543999999998</v>
      </c>
      <c r="BF144" s="13">
        <f t="shared" si="145"/>
        <v>59.911862368716115</v>
      </c>
      <c r="BG144" s="20">
        <f t="shared" si="115"/>
        <v>534.28457362551353</v>
      </c>
      <c r="BH144" s="59">
        <f t="shared" si="116"/>
        <v>827.61790695884679</v>
      </c>
      <c r="BI144" s="59">
        <f ca="1">AVERAGE(OFFSET($BH$3,0,0,'Données projet'!$E$11+1,1))-AVERAGE(OFFSET($H$3,0,0,'Données projet'!$E$11+1,1))</f>
        <v>273.84349636755343</v>
      </c>
      <c r="BJ144" s="59">
        <f t="shared" si="146"/>
        <v>268.10688874775451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15.525911938042787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15.525911938042787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401</v>
      </c>
      <c r="BZ144" s="13">
        <f>BY144*VLOOKUP('Données projet'!$B$12,Paramètres!$A$1:$I$89,3,0)*VLOOKUP('Données projet'!$B$12,Paramètres!$A$1:$I$89,5,0)</f>
        <v>250.22399999999999</v>
      </c>
      <c r="CA144" s="13">
        <f t="shared" si="147"/>
        <v>60.633904580527918</v>
      </c>
      <c r="CB144" s="20">
        <f t="shared" si="118"/>
        <v>541.41085047775289</v>
      </c>
      <c r="CC144" s="59">
        <f t="shared" si="119"/>
        <v>834.74418381108626</v>
      </c>
      <c r="CD144" s="59">
        <f ca="1">AVERAGE(OFFSET($CC$3,0,0,'Données projet'!$E$12+1,1))-AVERAGE(OFFSET($H$3,0,0,'Données projet'!$E$12+1,1))</f>
        <v>269.77739619445515</v>
      </c>
      <c r="CE144" s="59">
        <f t="shared" si="148"/>
        <v>347.56964743629885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15.39701725228449</v>
      </c>
      <c r="CL144" s="21">
        <f>EXP(-LN(2)/25)*CL143+(1-EXP(-LN(2)/25))/(LN(2)/25)*Calculateur!CG144*Calculateur!CI144*VLOOKUP('Données projet'!$B$12,Paramètres!$A$1:$I$89,3,0)*0.475*44/12</f>
        <v>4.2266465479815416</v>
      </c>
      <c r="CM144" s="21">
        <f>EXP(-LN(2)/2)*CM143+(1-EXP(-LN(2)/2))/(LN(2)/2)*CG144*CJ144*VLOOKUP('Données projet'!$B$12,Paramètres!$A$1:$I$89,3,0)*0.475*44/12</f>
        <v>4.8748124728937707E-19</v>
      </c>
      <c r="CN144" s="22">
        <f t="shared" si="120"/>
        <v>19.62366380026603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852.00000000000011</v>
      </c>
      <c r="O145" s="13">
        <f>N145*VLOOKUP('Données projet'!$B$9,Paramètres!$A$1:$I$89,3,0)*VLOOKUP('Données projet'!$B$9,Paramètres!$A$1:$I$89,5,0)</f>
        <v>420.88800000000009</v>
      </c>
      <c r="P145" s="13">
        <f t="shared" si="141"/>
        <v>95.998759891259041</v>
      </c>
      <c r="Q145" s="20">
        <f t="shared" si="108"/>
        <v>900.24444014394294</v>
      </c>
      <c r="R145" s="59">
        <f t="shared" si="109"/>
        <v>1193.5777734772762</v>
      </c>
      <c r="S145" s="59">
        <f ca="1">AVERAGE(OFFSET($R$3,0,0,'Données projet'!$E$9+1,1))-AVERAGE(OFFSET($H$3,0,0,'Données projet'!$E$9+1,1))</f>
        <v>434.08297999735811</v>
      </c>
      <c r="T145" s="59">
        <f t="shared" si="142"/>
        <v>371.04090283546122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46.578757727467121</v>
      </c>
      <c r="AA145" s="21">
        <f>EXP(-LN(2)/25)*AA144+(1-EXP(-LN(2)/25))/(LN(2)/25)*Calculateur!V145*Calculateur!X145*VLOOKUP('Données projet'!$B$9,Paramètres!$A$1:$I$89,3,0)*0.475*44/12</f>
        <v>2.3171301784017619</v>
      </c>
      <c r="AB145" s="21">
        <f>EXP(-LN(2)/2)*AB144+(1-EXP(-LN(2)/2))/(LN(2)/2)*V145*Y145*VLOOKUP('Données projet'!$B$9,Paramètres!$A$1:$I$89,3,0)*0.475*44/12</f>
        <v>1.0430405872366256E-17</v>
      </c>
      <c r="AC145" s="22">
        <f t="shared" si="111"/>
        <v>48.895887905868882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292.78079999999977</v>
      </c>
      <c r="AK145" s="13">
        <f t="shared" si="143"/>
        <v>69.660903052386217</v>
      </c>
      <c r="AL145" s="20">
        <f t="shared" si="112"/>
        <v>631.25263281623893</v>
      </c>
      <c r="AM145" s="59">
        <f t="shared" si="113"/>
        <v>924.58596614957219</v>
      </c>
      <c r="AN145" s="59">
        <f ca="1">AVERAGE(OFFSET($AM$3,0,0,'Données projet'!$E$10+1,1))-AVERAGE(OFFSET($H$3,0,0,'Données projet'!$E$10+1,1))</f>
        <v>331.52724290297675</v>
      </c>
      <c r="AO145" s="59">
        <f t="shared" si="144"/>
        <v>322.79102610158054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18.053357488726931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18.053357488726931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246.8543999999998</v>
      </c>
      <c r="BF145" s="13">
        <f t="shared" si="145"/>
        <v>59.911862368716115</v>
      </c>
      <c r="BG145" s="20">
        <f t="shared" si="115"/>
        <v>534.28457362551353</v>
      </c>
      <c r="BH145" s="59">
        <f t="shared" si="116"/>
        <v>827.61790695884679</v>
      </c>
      <c r="BI145" s="59">
        <f ca="1">AVERAGE(OFFSET($BH$3,0,0,'Données projet'!$E$11+1,1))-AVERAGE(OFFSET($H$3,0,0,'Données projet'!$E$11+1,1))</f>
        <v>273.84349636755343</v>
      </c>
      <c r="BJ145" s="59">
        <f t="shared" si="146"/>
        <v>268.10688874775451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15.221458274808978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15.221458274808978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401</v>
      </c>
      <c r="BZ145" s="13">
        <f>BY145*VLOOKUP('Données projet'!$B$12,Paramètres!$A$1:$I$89,3,0)*VLOOKUP('Données projet'!$B$12,Paramètres!$A$1:$I$89,5,0)</f>
        <v>250.22399999999999</v>
      </c>
      <c r="CA145" s="13">
        <f t="shared" si="147"/>
        <v>60.633904580527918</v>
      </c>
      <c r="CB145" s="20">
        <f t="shared" si="118"/>
        <v>541.41085047775289</v>
      </c>
      <c r="CC145" s="59">
        <f t="shared" si="119"/>
        <v>834.74418381108626</v>
      </c>
      <c r="CD145" s="59">
        <f ca="1">AVERAGE(OFFSET($CC$3,0,0,'Données projet'!$E$12+1,1))-AVERAGE(OFFSET($H$3,0,0,'Données projet'!$E$12+1,1))</f>
        <v>269.77739619445515</v>
      </c>
      <c r="CE145" s="59">
        <f t="shared" si="148"/>
        <v>347.56964743629885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15.095091135220406</v>
      </c>
      <c r="CL145" s="21">
        <f>EXP(-LN(2)/25)*CL144+(1-EXP(-LN(2)/25))/(LN(2)/25)*Calculateur!CG145*Calculateur!CI145*VLOOKUP('Données projet'!$B$12,Paramètres!$A$1:$I$89,3,0)*0.475*44/12</f>
        <v>4.1110686758573047</v>
      </c>
      <c r="CM145" s="21">
        <f>EXP(-LN(2)/2)*CM144+(1-EXP(-LN(2)/2))/(LN(2)/2)*CG145*CJ145*VLOOKUP('Données projet'!$B$12,Paramètres!$A$1:$I$89,3,0)*0.475*44/12</f>
        <v>3.4470129565959482E-19</v>
      </c>
      <c r="CN145" s="22">
        <f t="shared" si="120"/>
        <v>19.206159811077711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852.00000000000011</v>
      </c>
      <c r="O146" s="13">
        <f>N146*VLOOKUP('Données projet'!$B$9,Paramètres!$A$1:$I$89,3,0)*VLOOKUP('Données projet'!$B$9,Paramètres!$A$1:$I$89,5,0)</f>
        <v>420.88800000000009</v>
      </c>
      <c r="P146" s="13">
        <f t="shared" si="141"/>
        <v>95.998759891259041</v>
      </c>
      <c r="Q146" s="20">
        <f t="shared" si="108"/>
        <v>900.24444014394294</v>
      </c>
      <c r="R146" s="59">
        <f t="shared" si="109"/>
        <v>1193.5777734772762</v>
      </c>
      <c r="S146" s="59">
        <f ca="1">AVERAGE(OFFSET($R$3,0,0,'Données projet'!$E$9+1,1))-AVERAGE(OFFSET($H$3,0,0,'Données projet'!$E$9+1,1))</f>
        <v>434.08297999735811</v>
      </c>
      <c r="T146" s="59">
        <f t="shared" si="142"/>
        <v>371.04090283546122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45.665376698668425</v>
      </c>
      <c r="AA146" s="21">
        <f>EXP(-LN(2)/25)*AA145+(1-EXP(-LN(2)/25))/(LN(2)/25)*Calculateur!V146*Calculateur!X146*VLOOKUP('Données projet'!$B$9,Paramètres!$A$1:$I$89,3,0)*0.475*44/12</f>
        <v>2.2537681318207854</v>
      </c>
      <c r="AB146" s="21">
        <f>EXP(-LN(2)/2)*AB145+(1-EXP(-LN(2)/2))/(LN(2)/2)*V146*Y146*VLOOKUP('Données projet'!$B$9,Paramètres!$A$1:$I$89,3,0)*0.475*44/12</f>
        <v>7.3754107228781661E-18</v>
      </c>
      <c r="AC146" s="22">
        <f t="shared" si="111"/>
        <v>47.919144830489209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292.78079999999977</v>
      </c>
      <c r="AK146" s="13">
        <f t="shared" si="143"/>
        <v>69.660903052386217</v>
      </c>
      <c r="AL146" s="20">
        <f t="shared" si="112"/>
        <v>631.25263281623893</v>
      </c>
      <c r="AM146" s="59">
        <f t="shared" si="113"/>
        <v>924.58596614957219</v>
      </c>
      <c r="AN146" s="59">
        <f ca="1">AVERAGE(OFFSET($AM$3,0,0,'Données projet'!$E$10+1,1))-AVERAGE(OFFSET($H$3,0,0,'Données projet'!$E$10+1,1))</f>
        <v>331.52724290297675</v>
      </c>
      <c r="AO146" s="59">
        <f t="shared" si="144"/>
        <v>322.79102610158054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17.699342159833773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17.699342159833773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246.8543999999998</v>
      </c>
      <c r="BF146" s="13">
        <f t="shared" si="145"/>
        <v>59.911862368716115</v>
      </c>
      <c r="BG146" s="20">
        <f t="shared" si="115"/>
        <v>534.28457362551353</v>
      </c>
      <c r="BH146" s="59">
        <f t="shared" si="116"/>
        <v>827.61790695884679</v>
      </c>
      <c r="BI146" s="59">
        <f ca="1">AVERAGE(OFFSET($BH$3,0,0,'Données projet'!$E$11+1,1))-AVERAGE(OFFSET($H$3,0,0,'Données projet'!$E$11+1,1))</f>
        <v>273.84349636755343</v>
      </c>
      <c r="BJ146" s="59">
        <f t="shared" si="146"/>
        <v>268.10688874775451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14.922974762212785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14.922974762212785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401</v>
      </c>
      <c r="BZ146" s="13">
        <f>BY146*VLOOKUP('Données projet'!$B$12,Paramètres!$A$1:$I$89,3,0)*VLOOKUP('Données projet'!$B$12,Paramètres!$A$1:$I$89,5,0)</f>
        <v>250.22399999999999</v>
      </c>
      <c r="CA146" s="13">
        <f t="shared" si="147"/>
        <v>60.633904580527918</v>
      </c>
      <c r="CB146" s="20">
        <f t="shared" si="118"/>
        <v>541.41085047775289</v>
      </c>
      <c r="CC146" s="59">
        <f t="shared" si="119"/>
        <v>834.74418381108626</v>
      </c>
      <c r="CD146" s="59">
        <f ca="1">AVERAGE(OFFSET($CC$3,0,0,'Données projet'!$E$12+1,1))-AVERAGE(OFFSET($H$3,0,0,'Données projet'!$E$12+1,1))</f>
        <v>269.77739619445515</v>
      </c>
      <c r="CE146" s="59">
        <f t="shared" si="148"/>
        <v>347.56964743629885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14.7990856051552</v>
      </c>
      <c r="CL146" s="21">
        <f>EXP(-LN(2)/25)*CL145+(1-EXP(-LN(2)/25))/(LN(2)/25)*Calculateur!CG146*Calculateur!CI146*VLOOKUP('Données projet'!$B$12,Paramètres!$A$1:$I$89,3,0)*0.475*44/12</f>
        <v>3.9986512867242809</v>
      </c>
      <c r="CM146" s="21">
        <f>EXP(-LN(2)/2)*CM145+(1-EXP(-LN(2)/2))/(LN(2)/2)*CG146*CJ146*VLOOKUP('Données projet'!$B$12,Paramètres!$A$1:$I$89,3,0)*0.475*44/12</f>
        <v>2.4374062364468853E-19</v>
      </c>
      <c r="CN146" s="22">
        <f t="shared" si="120"/>
        <v>18.797736891879481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852.00000000000011</v>
      </c>
      <c r="O147" s="13">
        <f>N147*VLOOKUP('Données projet'!$B$9,Paramètres!$A$1:$I$89,3,0)*VLOOKUP('Données projet'!$B$9,Paramètres!$A$1:$I$89,5,0)</f>
        <v>420.88800000000009</v>
      </c>
      <c r="P147" s="13">
        <f t="shared" si="141"/>
        <v>95.998759891259041</v>
      </c>
      <c r="Q147" s="20">
        <f t="shared" si="108"/>
        <v>900.24444014394294</v>
      </c>
      <c r="R147" s="59">
        <f t="shared" si="109"/>
        <v>1193.5777734772762</v>
      </c>
      <c r="S147" s="59">
        <f ca="1">AVERAGE(OFFSET($R$3,0,0,'Données projet'!$E$9+1,1))-AVERAGE(OFFSET($H$3,0,0,'Données projet'!$E$9+1,1))</f>
        <v>434.08297999735811</v>
      </c>
      <c r="T147" s="59">
        <f t="shared" si="142"/>
        <v>371.04090283546122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44.769906514737052</v>
      </c>
      <c r="AA147" s="21">
        <f>EXP(-LN(2)/25)*AA146+(1-EXP(-LN(2)/25))/(LN(2)/25)*Calculateur!V147*Calculateur!X147*VLOOKUP('Données projet'!$B$9,Paramètres!$A$1:$I$89,3,0)*0.475*44/12</f>
        <v>2.1921387237356309</v>
      </c>
      <c r="AB147" s="21">
        <f>EXP(-LN(2)/2)*AB146+(1-EXP(-LN(2)/2))/(LN(2)/2)*V147*Y147*VLOOKUP('Données projet'!$B$9,Paramètres!$A$1:$I$89,3,0)*0.475*44/12</f>
        <v>5.2152029361831279E-18</v>
      </c>
      <c r="AC147" s="22">
        <f t="shared" si="111"/>
        <v>46.962045238472683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292.78079999999977</v>
      </c>
      <c r="AK147" s="13">
        <f t="shared" si="143"/>
        <v>69.660903052386217</v>
      </c>
      <c r="AL147" s="20">
        <f t="shared" si="112"/>
        <v>631.25263281623893</v>
      </c>
      <c r="AM147" s="59">
        <f t="shared" si="113"/>
        <v>924.58596614957219</v>
      </c>
      <c r="AN147" s="59">
        <f ca="1">AVERAGE(OFFSET($AM$3,0,0,'Données projet'!$E$10+1,1))-AVERAGE(OFFSET($H$3,0,0,'Données projet'!$E$10+1,1))</f>
        <v>331.52724290297675</v>
      </c>
      <c r="AO147" s="59">
        <f t="shared" si="144"/>
        <v>322.79102610158054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17.352268855612181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17.352268855612181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246.8543999999998</v>
      </c>
      <c r="BF147" s="13">
        <f t="shared" si="145"/>
        <v>59.911862368716115</v>
      </c>
      <c r="BG147" s="20">
        <f t="shared" si="115"/>
        <v>534.28457362551353</v>
      </c>
      <c r="BH147" s="59">
        <f t="shared" si="116"/>
        <v>827.61790695884679</v>
      </c>
      <c r="BI147" s="59">
        <f ca="1">AVERAGE(OFFSET($BH$3,0,0,'Données projet'!$E$11+1,1))-AVERAGE(OFFSET($H$3,0,0,'Données projet'!$E$11+1,1))</f>
        <v>273.84349636755343</v>
      </c>
      <c r="BJ147" s="59">
        <f t="shared" si="146"/>
        <v>268.10688874775451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14.630344329241638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14.630344329241638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401</v>
      </c>
      <c r="BZ147" s="13">
        <f>BY147*VLOOKUP('Données projet'!$B$12,Paramètres!$A$1:$I$89,3,0)*VLOOKUP('Données projet'!$B$12,Paramètres!$A$1:$I$89,5,0)</f>
        <v>250.22399999999999</v>
      </c>
      <c r="CA147" s="13">
        <f t="shared" si="147"/>
        <v>60.633904580527918</v>
      </c>
      <c r="CB147" s="20">
        <f t="shared" si="118"/>
        <v>541.41085047775289</v>
      </c>
      <c r="CC147" s="59">
        <f t="shared" si="119"/>
        <v>834.74418381108626</v>
      </c>
      <c r="CD147" s="59">
        <f ca="1">AVERAGE(OFFSET($CC$3,0,0,'Données projet'!$E$12+1,1))-AVERAGE(OFFSET($H$3,0,0,'Données projet'!$E$12+1,1))</f>
        <v>269.77739619445515</v>
      </c>
      <c r="CE147" s="59">
        <f t="shared" si="148"/>
        <v>347.56964743629885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14.508884562989028</v>
      </c>
      <c r="CL147" s="21">
        <f>EXP(-LN(2)/25)*CL146+(1-EXP(-LN(2)/25))/(LN(2)/25)*Calculateur!CG147*Calculateur!CI147*VLOOKUP('Données projet'!$B$12,Paramètres!$A$1:$I$89,3,0)*0.475*44/12</f>
        <v>3.8893079570088736</v>
      </c>
      <c r="CM147" s="21">
        <f>EXP(-LN(2)/2)*CM146+(1-EXP(-LN(2)/2))/(LN(2)/2)*CG147*CJ147*VLOOKUP('Données projet'!$B$12,Paramètres!$A$1:$I$89,3,0)*0.475*44/12</f>
        <v>1.7235064782979741E-19</v>
      </c>
      <c r="CN147" s="22">
        <f t="shared" si="120"/>
        <v>18.398192519997902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852.00000000000011</v>
      </c>
      <c r="O148" s="13">
        <f>N148*VLOOKUP('Données projet'!$B$9,Paramètres!$A$1:$I$89,3,0)*VLOOKUP('Données projet'!$B$9,Paramètres!$A$1:$I$89,5,0)</f>
        <v>420.88800000000009</v>
      </c>
      <c r="P148" s="13">
        <f t="shared" si="141"/>
        <v>95.998759891259041</v>
      </c>
      <c r="Q148" s="20">
        <f t="shared" si="108"/>
        <v>900.24444014394294</v>
      </c>
      <c r="R148" s="59">
        <f t="shared" si="109"/>
        <v>1193.5777734772762</v>
      </c>
      <c r="S148" s="59">
        <f ca="1">AVERAGE(OFFSET($R$3,0,0,'Données projet'!$E$9+1,1))-AVERAGE(OFFSET($H$3,0,0,'Données projet'!$E$9+1,1))</f>
        <v>434.08297999735811</v>
      </c>
      <c r="T148" s="59">
        <f t="shared" si="142"/>
        <v>371.04090283546122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43.891995954929698</v>
      </c>
      <c r="AA148" s="21">
        <f>EXP(-LN(2)/25)*AA147+(1-EXP(-LN(2)/25))/(LN(2)/25)*Calculateur!V148*Calculateur!X148*VLOOKUP('Données projet'!$B$9,Paramètres!$A$1:$I$89,3,0)*0.475*44/12</f>
        <v>2.1321945750555149</v>
      </c>
      <c r="AB148" s="21">
        <f>EXP(-LN(2)/2)*AB147+(1-EXP(-LN(2)/2))/(LN(2)/2)*V148*Y148*VLOOKUP('Données projet'!$B$9,Paramètres!$A$1:$I$89,3,0)*0.475*44/12</f>
        <v>3.6877053614390831E-18</v>
      </c>
      <c r="AC148" s="22">
        <f t="shared" si="111"/>
        <v>46.024190529985212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292.78079999999977</v>
      </c>
      <c r="AK148" s="13">
        <f t="shared" si="143"/>
        <v>69.660903052386217</v>
      </c>
      <c r="AL148" s="20">
        <f t="shared" si="112"/>
        <v>631.25263281623893</v>
      </c>
      <c r="AM148" s="59">
        <f t="shared" si="113"/>
        <v>924.58596614957219</v>
      </c>
      <c r="AN148" s="59">
        <f ca="1">AVERAGE(OFFSET($AM$3,0,0,'Données projet'!$E$10+1,1))-AVERAGE(OFFSET($H$3,0,0,'Données projet'!$E$10+1,1))</f>
        <v>331.52724290297675</v>
      </c>
      <c r="AO148" s="59">
        <f t="shared" si="144"/>
        <v>322.79102610158054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17.01200144719256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17.01200144719256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246.8543999999998</v>
      </c>
      <c r="BF148" s="13">
        <f t="shared" si="145"/>
        <v>59.911862368716115</v>
      </c>
      <c r="BG148" s="20">
        <f t="shared" si="115"/>
        <v>534.28457362551353</v>
      </c>
      <c r="BH148" s="59">
        <f t="shared" si="116"/>
        <v>827.61790695884679</v>
      </c>
      <c r="BI148" s="59">
        <f ca="1">AVERAGE(OFFSET($BH$3,0,0,'Données projet'!$E$11+1,1))-AVERAGE(OFFSET($H$3,0,0,'Données projet'!$E$11+1,1))</f>
        <v>273.84349636755343</v>
      </c>
      <c r="BJ148" s="59">
        <f t="shared" si="146"/>
        <v>268.10688874775451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14.343452200574115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14.343452200574115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401</v>
      </c>
      <c r="BZ148" s="13">
        <f>BY148*VLOOKUP('Données projet'!$B$12,Paramètres!$A$1:$I$89,3,0)*VLOOKUP('Données projet'!$B$12,Paramètres!$A$1:$I$89,5,0)</f>
        <v>250.22399999999999</v>
      </c>
      <c r="CA148" s="13">
        <f t="shared" si="147"/>
        <v>60.633904580527918</v>
      </c>
      <c r="CB148" s="20">
        <f t="shared" si="118"/>
        <v>541.41085047775289</v>
      </c>
      <c r="CC148" s="59">
        <f t="shared" si="119"/>
        <v>834.74418381108626</v>
      </c>
      <c r="CD148" s="59">
        <f ca="1">AVERAGE(OFFSET($CC$3,0,0,'Données projet'!$E$12+1,1))-AVERAGE(OFFSET($H$3,0,0,'Données projet'!$E$12+1,1))</f>
        <v>269.77739619445515</v>
      </c>
      <c r="CE148" s="59">
        <f t="shared" si="148"/>
        <v>347.56964743629885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14.224374186254577</v>
      </c>
      <c r="CL148" s="21">
        <f>EXP(-LN(2)/25)*CL147+(1-EXP(-LN(2)/25))/(LN(2)/25)*Calculateur!CG148*Calculateur!CI148*VLOOKUP('Données projet'!$B$12,Paramètres!$A$1:$I$89,3,0)*0.475*44/12</f>
        <v>3.7829546263946496</v>
      </c>
      <c r="CM148" s="21">
        <f>EXP(-LN(2)/2)*CM147+(1-EXP(-LN(2)/2))/(LN(2)/2)*CG148*CJ148*VLOOKUP('Données projet'!$B$12,Paramètres!$A$1:$I$89,3,0)*0.475*44/12</f>
        <v>1.2187031182234427E-19</v>
      </c>
      <c r="CN148" s="22">
        <f t="shared" si="120"/>
        <v>18.007328812649227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852.00000000000011</v>
      </c>
      <c r="O149" s="13">
        <f>N149*VLOOKUP('Données projet'!$B$9,Paramètres!$A$1:$I$89,3,0)*VLOOKUP('Données projet'!$B$9,Paramètres!$A$1:$I$89,5,0)</f>
        <v>420.88800000000009</v>
      </c>
      <c r="P149" s="13">
        <f t="shared" si="141"/>
        <v>95.998759891259041</v>
      </c>
      <c r="Q149" s="20">
        <f t="shared" si="108"/>
        <v>900.24444014394294</v>
      </c>
      <c r="R149" s="59">
        <f t="shared" si="109"/>
        <v>1193.5777734772762</v>
      </c>
      <c r="S149" s="59">
        <f ca="1">AVERAGE(OFFSET($R$3,0,0,'Données projet'!$E$9+1,1))-AVERAGE(OFFSET($H$3,0,0,'Données projet'!$E$9+1,1))</f>
        <v>434.08297999735811</v>
      </c>
      <c r="T149" s="59">
        <f t="shared" si="142"/>
        <v>371.04090283546122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43.031300685727594</v>
      </c>
      <c r="AA149" s="21">
        <f>EXP(-LN(2)/25)*AA148+(1-EXP(-LN(2)/25))/(LN(2)/25)*Calculateur!V149*Calculateur!X149*VLOOKUP('Données projet'!$B$9,Paramètres!$A$1:$I$89,3,0)*0.475*44/12</f>
        <v>2.0738896022733821</v>
      </c>
      <c r="AB149" s="21">
        <f>EXP(-LN(2)/2)*AB148+(1-EXP(-LN(2)/2))/(LN(2)/2)*V149*Y149*VLOOKUP('Données projet'!$B$9,Paramètres!$A$1:$I$89,3,0)*0.475*44/12</f>
        <v>2.6076014680915639E-18</v>
      </c>
      <c r="AC149" s="22">
        <f t="shared" si="111"/>
        <v>45.105190288000976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292.78079999999977</v>
      </c>
      <c r="AK149" s="13">
        <f t="shared" si="143"/>
        <v>69.660903052386217</v>
      </c>
      <c r="AL149" s="20">
        <f t="shared" si="112"/>
        <v>631.25263281623893</v>
      </c>
      <c r="AM149" s="59">
        <f t="shared" si="113"/>
        <v>924.58596614957219</v>
      </c>
      <c r="AN149" s="59">
        <f ca="1">AVERAGE(OFFSET($AM$3,0,0,'Données projet'!$E$10+1,1))-AVERAGE(OFFSET($H$3,0,0,'Données projet'!$E$10+1,1))</f>
        <v>331.52724290297675</v>
      </c>
      <c r="AO149" s="59">
        <f t="shared" si="144"/>
        <v>322.79102610158054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16.678406475109423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16.678406475109423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246.8543999999998</v>
      </c>
      <c r="BF149" s="13">
        <f t="shared" si="145"/>
        <v>59.911862368716115</v>
      </c>
      <c r="BG149" s="20">
        <f t="shared" si="115"/>
        <v>534.28457362551353</v>
      </c>
      <c r="BH149" s="59">
        <f t="shared" si="116"/>
        <v>827.61790695884679</v>
      </c>
      <c r="BI149" s="59">
        <f ca="1">AVERAGE(OFFSET($BH$3,0,0,'Données projet'!$E$11+1,1))-AVERAGE(OFFSET($H$3,0,0,'Données projet'!$E$11+1,1))</f>
        <v>273.84349636755343</v>
      </c>
      <c r="BJ149" s="59">
        <f t="shared" si="146"/>
        <v>268.10688874775451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14.062185851562843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14.062185851562843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401</v>
      </c>
      <c r="BZ149" s="13">
        <f>BY149*VLOOKUP('Données projet'!$B$12,Paramètres!$A$1:$I$89,3,0)*VLOOKUP('Données projet'!$B$12,Paramètres!$A$1:$I$89,5,0)</f>
        <v>250.22399999999999</v>
      </c>
      <c r="CA149" s="13">
        <f t="shared" si="147"/>
        <v>60.633904580527918</v>
      </c>
      <c r="CB149" s="20">
        <f t="shared" si="118"/>
        <v>541.41085047775289</v>
      </c>
      <c r="CC149" s="59">
        <f t="shared" si="119"/>
        <v>834.74418381108626</v>
      </c>
      <c r="CD149" s="59">
        <f ca="1">AVERAGE(OFFSET($CC$3,0,0,'Données projet'!$E$12+1,1))-AVERAGE(OFFSET($H$3,0,0,'Données projet'!$E$12+1,1))</f>
        <v>269.77739619445515</v>
      </c>
      <c r="CE149" s="59">
        <f t="shared" si="148"/>
        <v>347.56964743629885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13.945442884473694</v>
      </c>
      <c r="CL149" s="21">
        <f>EXP(-LN(2)/25)*CL148+(1-EXP(-LN(2)/25))/(LN(2)/25)*Calculateur!CG149*Calculateur!CI149*VLOOKUP('Données projet'!$B$12,Paramètres!$A$1:$I$89,3,0)*0.475*44/12</f>
        <v>3.6795095331989502</v>
      </c>
      <c r="CM149" s="21">
        <f>EXP(-LN(2)/2)*CM148+(1-EXP(-LN(2)/2))/(LN(2)/2)*CG149*CJ149*VLOOKUP('Données projet'!$B$12,Paramètres!$A$1:$I$89,3,0)*0.475*44/12</f>
        <v>8.6175323914898705E-20</v>
      </c>
      <c r="CN149" s="22">
        <f t="shared" si="120"/>
        <v>17.624952417672645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852.00000000000011</v>
      </c>
      <c r="O150" s="13">
        <f>N150*VLOOKUP('Données projet'!$B$9,Paramètres!$A$1:$I$89,3,0)*VLOOKUP('Données projet'!$B$9,Paramètres!$A$1:$I$89,5,0)</f>
        <v>420.88800000000009</v>
      </c>
      <c r="P150" s="13">
        <f t="shared" si="141"/>
        <v>95.998759891259041</v>
      </c>
      <c r="Q150" s="20">
        <f t="shared" si="108"/>
        <v>900.24444014394294</v>
      </c>
      <c r="R150" s="59">
        <f t="shared" si="109"/>
        <v>1193.5777734772762</v>
      </c>
      <c r="S150" s="59">
        <f ca="1">AVERAGE(OFFSET($R$3,0,0,'Données projet'!$E$9+1,1))-AVERAGE(OFFSET($H$3,0,0,'Données projet'!$E$9+1,1))</f>
        <v>434.08297999735811</v>
      </c>
      <c r="T150" s="59">
        <f t="shared" si="142"/>
        <v>371.04090283546122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42.187483125782265</v>
      </c>
      <c r="AA150" s="21">
        <f>EXP(-LN(2)/25)*AA149+(1-EXP(-LN(2)/25))/(LN(2)/25)*Calculateur!V150*Calculateur!X150*VLOOKUP('Données projet'!$B$9,Paramètres!$A$1:$I$89,3,0)*0.475*44/12</f>
        <v>2.0171789820381023</v>
      </c>
      <c r="AB150" s="21">
        <f>EXP(-LN(2)/2)*AB149+(1-EXP(-LN(2)/2))/(LN(2)/2)*V150*Y150*VLOOKUP('Données projet'!$B$9,Paramètres!$A$1:$I$89,3,0)*0.475*44/12</f>
        <v>1.8438526807195415E-18</v>
      </c>
      <c r="AC150" s="22">
        <f t="shared" si="111"/>
        <v>44.204662107820369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292.78079999999977</v>
      </c>
      <c r="AK150" s="13">
        <f t="shared" si="143"/>
        <v>69.660903052386217</v>
      </c>
      <c r="AL150" s="20">
        <f t="shared" si="112"/>
        <v>631.25263281623893</v>
      </c>
      <c r="AM150" s="59">
        <f t="shared" si="113"/>
        <v>924.58596614957219</v>
      </c>
      <c r="AN150" s="59">
        <f ca="1">AVERAGE(OFFSET($AM$3,0,0,'Données projet'!$E$10+1,1))-AVERAGE(OFFSET($H$3,0,0,'Données projet'!$E$10+1,1))</f>
        <v>331.52724290297675</v>
      </c>
      <c r="AO150" s="59">
        <f t="shared" si="144"/>
        <v>322.79102610158054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16.351353096955993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16.351353096955993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246.8543999999998</v>
      </c>
      <c r="BF150" s="13">
        <f t="shared" si="145"/>
        <v>59.911862368716115</v>
      </c>
      <c r="BG150" s="20">
        <f t="shared" si="115"/>
        <v>534.28457362551353</v>
      </c>
      <c r="BH150" s="59">
        <f t="shared" si="116"/>
        <v>827.61790695884679</v>
      </c>
      <c r="BI150" s="59">
        <f ca="1">AVERAGE(OFFSET($BH$3,0,0,'Données projet'!$E$11+1,1))-AVERAGE(OFFSET($H$3,0,0,'Données projet'!$E$11+1,1))</f>
        <v>273.84349636755343</v>
      </c>
      <c r="BJ150" s="59">
        <f t="shared" si="146"/>
        <v>268.10688874775451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13.786434964100147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13.786434964100147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401</v>
      </c>
      <c r="BZ150" s="13">
        <f>BY150*VLOOKUP('Données projet'!$B$12,Paramètres!$A$1:$I$89,3,0)*VLOOKUP('Données projet'!$B$12,Paramètres!$A$1:$I$89,5,0)</f>
        <v>250.22399999999999</v>
      </c>
      <c r="CA150" s="13">
        <f t="shared" si="147"/>
        <v>60.633904580527918</v>
      </c>
      <c r="CB150" s="20">
        <f t="shared" si="118"/>
        <v>541.41085047775289</v>
      </c>
      <c r="CC150" s="59">
        <f t="shared" si="119"/>
        <v>834.74418381108626</v>
      </c>
      <c r="CD150" s="59">
        <f ca="1">AVERAGE(OFFSET($CC$3,0,0,'Données projet'!$E$12+1,1))-AVERAGE(OFFSET($H$3,0,0,'Données projet'!$E$12+1,1))</f>
        <v>269.77739619445515</v>
      </c>
      <c r="CE150" s="59">
        <f t="shared" si="148"/>
        <v>347.56964743629885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13.671981255389438</v>
      </c>
      <c r="CL150" s="21">
        <f>EXP(-LN(2)/25)*CL149+(1-EXP(-LN(2)/25))/(LN(2)/25)*Calculateur!CG150*Calculateur!CI150*VLOOKUP('Données projet'!$B$12,Paramètres!$A$1:$I$89,3,0)*0.475*44/12</f>
        <v>3.578893151516628</v>
      </c>
      <c r="CM150" s="21">
        <f>EXP(-LN(2)/2)*CM149+(1-EXP(-LN(2)/2))/(LN(2)/2)*CG150*CJ150*VLOOKUP('Données projet'!$B$12,Paramètres!$A$1:$I$89,3,0)*0.475*44/12</f>
        <v>6.0935155911172133E-20</v>
      </c>
      <c r="CN150" s="22">
        <f t="shared" si="120"/>
        <v>17.250874406906068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852.00000000000011</v>
      </c>
      <c r="O151" s="13">
        <f>N151*VLOOKUP('Données projet'!$B$9,Paramètres!$A$1:$I$89,3,0)*VLOOKUP('Données projet'!$B$9,Paramètres!$A$1:$I$89,5,0)</f>
        <v>420.88800000000009</v>
      </c>
      <c r="P151" s="13">
        <f t="shared" si="141"/>
        <v>95.998759891259041</v>
      </c>
      <c r="Q151" s="20">
        <f t="shared" si="108"/>
        <v>900.24444014394294</v>
      </c>
      <c r="R151" s="59">
        <f t="shared" si="109"/>
        <v>1193.5777734772762</v>
      </c>
      <c r="S151" s="59">
        <f ca="1">AVERAGE(OFFSET($R$3,0,0,'Données projet'!$E$9+1,1))-AVERAGE(OFFSET($H$3,0,0,'Données projet'!$E$9+1,1))</f>
        <v>434.08297999735811</v>
      </c>
      <c r="T151" s="59">
        <f t="shared" si="142"/>
        <v>371.04090283546122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41.360212313509578</v>
      </c>
      <c r="AA151" s="21">
        <f>EXP(-LN(2)/25)*AA150+(1-EXP(-LN(2)/25))/(LN(2)/25)*Calculateur!V151*Calculateur!X151*VLOOKUP('Données projet'!$B$9,Paramètres!$A$1:$I$89,3,0)*0.475*44/12</f>
        <v>1.9620191166954382</v>
      </c>
      <c r="AB151" s="21">
        <f>EXP(-LN(2)/2)*AB150+(1-EXP(-LN(2)/2))/(LN(2)/2)*V151*Y151*VLOOKUP('Données projet'!$B$9,Paramètres!$A$1:$I$89,3,0)*0.475*44/12</f>
        <v>1.303800734045782E-18</v>
      </c>
      <c r="AC151" s="22">
        <f t="shared" si="111"/>
        <v>43.322231430205015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292.78079999999977</v>
      </c>
      <c r="AK151" s="13">
        <f t="shared" si="143"/>
        <v>69.660903052386217</v>
      </c>
      <c r="AL151" s="20">
        <f t="shared" si="112"/>
        <v>631.25263281623893</v>
      </c>
      <c r="AM151" s="59">
        <f t="shared" si="113"/>
        <v>924.58596614957219</v>
      </c>
      <c r="AN151" s="59">
        <f ca="1">AVERAGE(OFFSET($AM$3,0,0,'Données projet'!$E$10+1,1))-AVERAGE(OFFSET($H$3,0,0,'Données projet'!$E$10+1,1))</f>
        <v>331.52724290297675</v>
      </c>
      <c r="AO151" s="59">
        <f t="shared" si="144"/>
        <v>322.79102610158054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16.03071303606529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16.03071303606529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246.8543999999998</v>
      </c>
      <c r="BF151" s="13">
        <f t="shared" si="145"/>
        <v>59.911862368716115</v>
      </c>
      <c r="BG151" s="20">
        <f t="shared" si="115"/>
        <v>534.28457362551353</v>
      </c>
      <c r="BH151" s="59">
        <f t="shared" si="116"/>
        <v>827.61790695884679</v>
      </c>
      <c r="BI151" s="59">
        <f ca="1">AVERAGE(OFFSET($BH$3,0,0,'Données projet'!$E$11+1,1))-AVERAGE(OFFSET($H$3,0,0,'Données projet'!$E$11+1,1))</f>
        <v>273.84349636755343</v>
      </c>
      <c r="BJ151" s="59">
        <f t="shared" si="146"/>
        <v>268.10688874775451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13.516091383349162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13.516091383349162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401</v>
      </c>
      <c r="BZ151" s="13">
        <f>BY151*VLOOKUP('Données projet'!$B$12,Paramètres!$A$1:$I$89,3,0)*VLOOKUP('Données projet'!$B$12,Paramètres!$A$1:$I$89,5,0)</f>
        <v>250.22399999999999</v>
      </c>
      <c r="CA151" s="13">
        <f t="shared" si="147"/>
        <v>60.633904580527918</v>
      </c>
      <c r="CB151" s="20">
        <f t="shared" si="118"/>
        <v>541.41085047775289</v>
      </c>
      <c r="CC151" s="59">
        <f t="shared" si="119"/>
        <v>834.74418381108626</v>
      </c>
      <c r="CD151" s="59">
        <f ca="1">AVERAGE(OFFSET($CC$3,0,0,'Données projet'!$E$12+1,1))-AVERAGE(OFFSET($H$3,0,0,'Données projet'!$E$12+1,1))</f>
        <v>269.77739619445515</v>
      </c>
      <c r="CE151" s="59">
        <f t="shared" si="148"/>
        <v>347.56964743629885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13.4038820420564</v>
      </c>
      <c r="CL151" s="21">
        <f>EXP(-LN(2)/25)*CL150+(1-EXP(-LN(2)/25))/(LN(2)/25)*Calculateur!CG151*Calculateur!CI151*VLOOKUP('Données projet'!$B$12,Paramètres!$A$1:$I$89,3,0)*0.475*44/12</f>
        <v>3.4810281300825947</v>
      </c>
      <c r="CM151" s="21">
        <f>EXP(-LN(2)/2)*CM150+(1-EXP(-LN(2)/2))/(LN(2)/2)*CG151*CJ151*VLOOKUP('Données projet'!$B$12,Paramètres!$A$1:$I$89,3,0)*0.475*44/12</f>
        <v>4.3087661957449353E-20</v>
      </c>
      <c r="CN151" s="22">
        <f t="shared" si="120"/>
        <v>16.884910172138994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852.00000000000011</v>
      </c>
      <c r="O152" s="13">
        <f>N152*VLOOKUP('Données projet'!$B$9,Paramètres!$A$1:$I$89,3,0)*VLOOKUP('Données projet'!$B$9,Paramètres!$A$1:$I$89,5,0)</f>
        <v>420.88800000000009</v>
      </c>
      <c r="P152" s="13">
        <f t="shared" si="141"/>
        <v>95.998759891259041</v>
      </c>
      <c r="Q152" s="20">
        <f t="shared" si="108"/>
        <v>900.24444014394294</v>
      </c>
      <c r="R152" s="59">
        <f t="shared" si="109"/>
        <v>1193.5777734772762</v>
      </c>
      <c r="S152" s="59">
        <f ca="1">AVERAGE(OFFSET($R$3,0,0,'Données projet'!$E$9+1,1))-AVERAGE(OFFSET($H$3,0,0,'Données projet'!$E$9+1,1))</f>
        <v>434.08297999735811</v>
      </c>
      <c r="T152" s="59">
        <f t="shared" si="142"/>
        <v>371.04090283546122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40.549163777280185</v>
      </c>
      <c r="AA152" s="21">
        <f>EXP(-LN(2)/25)*AA151+(1-EXP(-LN(2)/25))/(LN(2)/25)*Calculateur!V152*Calculateur!X152*VLOOKUP('Données projet'!$B$9,Paramètres!$A$1:$I$89,3,0)*0.475*44/12</f>
        <v>1.9083676007713004</v>
      </c>
      <c r="AB152" s="21">
        <f>EXP(-LN(2)/2)*AB151+(1-EXP(-LN(2)/2))/(LN(2)/2)*V152*Y152*VLOOKUP('Données projet'!$B$9,Paramètres!$A$1:$I$89,3,0)*0.475*44/12</f>
        <v>9.2192634035977076E-19</v>
      </c>
      <c r="AC152" s="22">
        <f t="shared" si="111"/>
        <v>42.457531378051485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292.78079999999977</v>
      </c>
      <c r="AK152" s="13">
        <f t="shared" si="143"/>
        <v>69.660903052386217</v>
      </c>
      <c r="AL152" s="20">
        <f t="shared" si="112"/>
        <v>631.25263281623893</v>
      </c>
      <c r="AM152" s="59">
        <f t="shared" si="113"/>
        <v>924.58596614957219</v>
      </c>
      <c r="AN152" s="59">
        <f ca="1">AVERAGE(OFFSET($AM$3,0,0,'Données projet'!$E$10+1,1))-AVERAGE(OFFSET($H$3,0,0,'Données projet'!$E$10+1,1))</f>
        <v>331.52724290297675</v>
      </c>
      <c r="AO152" s="59">
        <f t="shared" si="144"/>
        <v>322.79102610158054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15.716360531197527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15.716360531197527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246.8543999999998</v>
      </c>
      <c r="BF152" s="13">
        <f t="shared" si="145"/>
        <v>59.911862368716115</v>
      </c>
      <c r="BG152" s="20">
        <f t="shared" si="115"/>
        <v>534.28457362551353</v>
      </c>
      <c r="BH152" s="59">
        <f t="shared" si="116"/>
        <v>827.61790695884679</v>
      </c>
      <c r="BI152" s="59">
        <f ca="1">AVERAGE(OFFSET($BH$3,0,0,'Données projet'!$E$11+1,1))-AVERAGE(OFFSET($H$3,0,0,'Données projet'!$E$11+1,1))</f>
        <v>273.84349636755343</v>
      </c>
      <c r="BJ152" s="59">
        <f t="shared" si="146"/>
        <v>268.10688874775451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13.251049075323401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13.251049075323401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401</v>
      </c>
      <c r="BZ152" s="13">
        <f>BY152*VLOOKUP('Données projet'!$B$12,Paramètres!$A$1:$I$89,3,0)*VLOOKUP('Données projet'!$B$12,Paramètres!$A$1:$I$89,5,0)</f>
        <v>250.22399999999999</v>
      </c>
      <c r="CA152" s="13">
        <f t="shared" si="147"/>
        <v>60.633904580527918</v>
      </c>
      <c r="CB152" s="20">
        <f t="shared" si="118"/>
        <v>541.41085047775289</v>
      </c>
      <c r="CC152" s="59">
        <f t="shared" si="119"/>
        <v>834.74418381108626</v>
      </c>
      <c r="CD152" s="59">
        <f ca="1">AVERAGE(OFFSET($CC$3,0,0,'Données projet'!$E$12+1,1))-AVERAGE(OFFSET($H$3,0,0,'Données projet'!$E$12+1,1))</f>
        <v>269.77739619445515</v>
      </c>
      <c r="CE152" s="59">
        <f t="shared" si="148"/>
        <v>347.56964743629885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13.141040090772451</v>
      </c>
      <c r="CL152" s="21">
        <f>EXP(-LN(2)/25)*CL151+(1-EXP(-LN(2)/25))/(LN(2)/25)*Calculateur!CG152*Calculateur!CI152*VLOOKUP('Données projet'!$B$12,Paramètres!$A$1:$I$89,3,0)*0.475*44/12</f>
        <v>3.3858392328061728</v>
      </c>
      <c r="CM152" s="21">
        <f>EXP(-LN(2)/2)*CM151+(1-EXP(-LN(2)/2))/(LN(2)/2)*CG152*CJ152*VLOOKUP('Données projet'!$B$12,Paramètres!$A$1:$I$89,3,0)*0.475*44/12</f>
        <v>3.0467577955586067E-20</v>
      </c>
      <c r="CN152" s="22">
        <f t="shared" si="120"/>
        <v>16.526879323578623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852.00000000000011</v>
      </c>
      <c r="O153" s="13">
        <f>N153*VLOOKUP('Données projet'!$B$9,Paramètres!$A$1:$I$89,3,0)*VLOOKUP('Données projet'!$B$9,Paramètres!$A$1:$I$89,5,0)</f>
        <v>420.88800000000009</v>
      </c>
      <c r="P153" s="13">
        <f t="shared" si="141"/>
        <v>95.998759891259041</v>
      </c>
      <c r="Q153" s="20">
        <f t="shared" si="108"/>
        <v>900.24444014394294</v>
      </c>
      <c r="R153" s="59">
        <f t="shared" si="109"/>
        <v>1193.5777734772762</v>
      </c>
      <c r="S153" s="59">
        <f ca="1">AVERAGE(OFFSET($R$3,0,0,'Données projet'!$E$9+1,1))-AVERAGE(OFFSET($H$3,0,0,'Données projet'!$E$9+1,1))</f>
        <v>434.08297999735811</v>
      </c>
      <c r="T153" s="59">
        <f t="shared" si="142"/>
        <v>371.04090283546122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39.754019408155486</v>
      </c>
      <c r="AA153" s="21">
        <f>EXP(-LN(2)/25)*AA152+(1-EXP(-LN(2)/25))/(LN(2)/25)*Calculateur!V153*Calculateur!X153*VLOOKUP('Données projet'!$B$9,Paramètres!$A$1:$I$89,3,0)*0.475*44/12</f>
        <v>1.8561831883715187</v>
      </c>
      <c r="AB153" s="21">
        <f>EXP(-LN(2)/2)*AB152+(1-EXP(-LN(2)/2))/(LN(2)/2)*V153*Y153*VLOOKUP('Données projet'!$B$9,Paramètres!$A$1:$I$89,3,0)*0.475*44/12</f>
        <v>6.5190036702289098E-19</v>
      </c>
      <c r="AC153" s="22">
        <f t="shared" si="111"/>
        <v>41.610202596527003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292.78079999999977</v>
      </c>
      <c r="AK153" s="13">
        <f t="shared" si="143"/>
        <v>69.660903052386217</v>
      </c>
      <c r="AL153" s="20">
        <f t="shared" si="112"/>
        <v>631.25263281623893</v>
      </c>
      <c r="AM153" s="59">
        <f t="shared" si="113"/>
        <v>924.58596614957219</v>
      </c>
      <c r="AN153" s="59">
        <f ca="1">AVERAGE(OFFSET($AM$3,0,0,'Données projet'!$E$10+1,1))-AVERAGE(OFFSET($H$3,0,0,'Données projet'!$E$10+1,1))</f>
        <v>331.52724290297675</v>
      </c>
      <c r="AO153" s="59">
        <f t="shared" si="144"/>
        <v>322.79102610158054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15.408172287214125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15.408172287214125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246.8543999999998</v>
      </c>
      <c r="BF153" s="13">
        <f t="shared" si="145"/>
        <v>59.911862368716115</v>
      </c>
      <c r="BG153" s="20">
        <f t="shared" si="115"/>
        <v>534.28457362551353</v>
      </c>
      <c r="BH153" s="59">
        <f t="shared" si="116"/>
        <v>827.61790695884679</v>
      </c>
      <c r="BI153" s="59">
        <f ca="1">AVERAGE(OFFSET($BH$3,0,0,'Données projet'!$E$11+1,1))-AVERAGE(OFFSET($H$3,0,0,'Données projet'!$E$11+1,1))</f>
        <v>273.84349636755343</v>
      </c>
      <c r="BJ153" s="59">
        <f t="shared" si="146"/>
        <v>268.10688874775451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12.991204085298181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12.991204085298181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401</v>
      </c>
      <c r="BZ153" s="13">
        <f>BY153*VLOOKUP('Données projet'!$B$12,Paramètres!$A$1:$I$89,3,0)*VLOOKUP('Données projet'!$B$12,Paramètres!$A$1:$I$89,5,0)</f>
        <v>250.22399999999999</v>
      </c>
      <c r="CA153" s="13">
        <f t="shared" si="147"/>
        <v>60.633904580527918</v>
      </c>
      <c r="CB153" s="20">
        <f t="shared" si="118"/>
        <v>541.41085047775289</v>
      </c>
      <c r="CC153" s="59">
        <f t="shared" si="119"/>
        <v>834.74418381108626</v>
      </c>
      <c r="CD153" s="59">
        <f ca="1">AVERAGE(OFFSET($CC$3,0,0,'Données projet'!$E$12+1,1))-AVERAGE(OFFSET($H$3,0,0,'Données projet'!$E$12+1,1))</f>
        <v>269.77739619445515</v>
      </c>
      <c r="CE153" s="59">
        <f t="shared" si="148"/>
        <v>347.56964743629885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12.88335230983542</v>
      </c>
      <c r="CL153" s="21">
        <f>EXP(-LN(2)/25)*CL152+(1-EXP(-LN(2)/25))/(LN(2)/25)*Calculateur!CG153*Calculateur!CI153*VLOOKUP('Données projet'!$B$12,Paramètres!$A$1:$I$89,3,0)*0.475*44/12</f>
        <v>3.2932532809315411</v>
      </c>
      <c r="CM153" s="21">
        <f>EXP(-LN(2)/2)*CM152+(1-EXP(-LN(2)/2))/(LN(2)/2)*CG153*CJ153*VLOOKUP('Données projet'!$B$12,Paramètres!$A$1:$I$89,3,0)*0.475*44/12</f>
        <v>2.1543830978724676E-20</v>
      </c>
      <c r="CN153" s="22">
        <f t="shared" si="120"/>
        <v>16.176605590766961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852.00000000000011</v>
      </c>
      <c r="O154" s="13">
        <f>N154*VLOOKUP('Données projet'!$B$9,Paramètres!$A$1:$I$89,3,0)*VLOOKUP('Données projet'!$B$9,Paramètres!$A$1:$I$89,5,0)</f>
        <v>420.88800000000009</v>
      </c>
      <c r="P154" s="13">
        <f t="shared" si="141"/>
        <v>95.998759891259041</v>
      </c>
      <c r="Q154" s="20">
        <f t="shared" ref="Q154:Q203" si="162">(O154+P154)*0.475*44/12</f>
        <v>900.24444014394294</v>
      </c>
      <c r="R154" s="59">
        <f t="shared" si="109"/>
        <v>1193.5777734772762</v>
      </c>
      <c r="S154" s="59">
        <f ca="1">AVERAGE(OFFSET($R$3,0,0,'Données projet'!$E$9+1,1))-AVERAGE(OFFSET($H$3,0,0,'Données projet'!$E$9+1,1))</f>
        <v>434.08297999735811</v>
      </c>
      <c r="T154" s="59">
        <f t="shared" si="142"/>
        <v>371.04090283546122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38.974467335119151</v>
      </c>
      <c r="AA154" s="21">
        <f>EXP(-LN(2)/25)*AA153+(1-EXP(-LN(2)/25))/(LN(2)/25)*Calculateur!V154*Calculateur!X154*VLOOKUP('Données projet'!$B$9,Paramètres!$A$1:$I$89,3,0)*0.475*44/12</f>
        <v>1.805425761473068</v>
      </c>
      <c r="AB154" s="21">
        <f>EXP(-LN(2)/2)*AB153+(1-EXP(-LN(2)/2))/(LN(2)/2)*V154*Y154*VLOOKUP('Données projet'!$B$9,Paramètres!$A$1:$I$89,3,0)*0.475*44/12</f>
        <v>4.6096317017988538E-19</v>
      </c>
      <c r="AC154" s="22">
        <f t="shared" ref="AC154:AC203" si="163">SUM(Z154:AB154)</f>
        <v>40.779893096592218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292.78079999999977</v>
      </c>
      <c r="AK154" s="13">
        <f t="shared" ref="AK154:AK203" si="164">EXP(-1.0587+0.8836*LN(AJ154)+0.284)</f>
        <v>69.660903052386217</v>
      </c>
      <c r="AL154" s="20">
        <f t="shared" ref="AL154:AL203" si="165">(AJ154+AK154)*0.475*44/12</f>
        <v>631.25263281623893</v>
      </c>
      <c r="AM154" s="59">
        <f t="shared" si="113"/>
        <v>924.58596614957219</v>
      </c>
      <c r="AN154" s="59">
        <f ca="1">AVERAGE(OFFSET($AM$3,0,0,'Données projet'!$E$10+1,1))-AVERAGE(OFFSET($H$3,0,0,'Données projet'!$E$10+1,1))</f>
        <v>331.52724290297675</v>
      </c>
      <c r="AO154" s="59">
        <f t="shared" si="144"/>
        <v>322.79102610158054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15.10602742671897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15.10602742671897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246.8543999999998</v>
      </c>
      <c r="BF154" s="13">
        <f t="shared" ref="BF154:BF203" si="167">EXP(-1.0587+0.8836*LN(BE154)+0.284)</f>
        <v>59.911862368716115</v>
      </c>
      <c r="BG154" s="20">
        <f t="shared" ref="BG154:BG203" si="168">(BE154+BF154)*0.475*44/12</f>
        <v>534.28457362551353</v>
      </c>
      <c r="BH154" s="59">
        <f t="shared" si="116"/>
        <v>827.61790695884679</v>
      </c>
      <c r="BI154" s="59">
        <f ca="1">AVERAGE(OFFSET($BH$3,0,0,'Données projet'!$E$11+1,1))-AVERAGE(OFFSET($H$3,0,0,'Données projet'!$E$11+1,1))</f>
        <v>273.84349636755343</v>
      </c>
      <c r="BJ154" s="59">
        <f t="shared" si="146"/>
        <v>268.10688874775451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12.73645449703756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12.73645449703756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401</v>
      </c>
      <c r="BZ154" s="13">
        <f>BY154*VLOOKUP('Données projet'!$B$12,Paramètres!$A$1:$I$89,3,0)*VLOOKUP('Données projet'!$B$12,Paramètres!$A$1:$I$89,5,0)</f>
        <v>250.22399999999999</v>
      </c>
      <c r="CA154" s="13">
        <f t="shared" ref="CA154:CA203" si="170">EXP(-1.0587+0.8836*LN(BZ154)+0.284)</f>
        <v>60.633904580527918</v>
      </c>
      <c r="CB154" s="20">
        <f t="shared" ref="CB154:CB203" si="171">(BZ154+CA154)*0.475*44/12</f>
        <v>541.41085047775289</v>
      </c>
      <c r="CC154" s="59">
        <f t="shared" si="119"/>
        <v>834.74418381108626</v>
      </c>
      <c r="CD154" s="59">
        <f ca="1">AVERAGE(OFFSET($CC$3,0,0,'Données projet'!$E$12+1,1))-AVERAGE(OFFSET($H$3,0,0,'Données projet'!$E$12+1,1))</f>
        <v>269.77739619445515</v>
      </c>
      <c r="CE154" s="59">
        <f t="shared" si="148"/>
        <v>347.56964743629885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12.630717629108537</v>
      </c>
      <c r="CL154" s="21">
        <f>EXP(-LN(2)/25)*CL153+(1-EXP(-LN(2)/25))/(LN(2)/25)*Calculateur!CG154*Calculateur!CI154*VLOOKUP('Données projet'!$B$12,Paramètres!$A$1:$I$89,3,0)*0.475*44/12</f>
        <v>3.2031990967798047</v>
      </c>
      <c r="CM154" s="21">
        <f>EXP(-LN(2)/2)*CM153+(1-EXP(-LN(2)/2))/(LN(2)/2)*CG154*CJ154*VLOOKUP('Données projet'!$B$12,Paramètres!$A$1:$I$89,3,0)*0.475*44/12</f>
        <v>1.5233788977793033E-20</v>
      </c>
      <c r="CN154" s="22">
        <f t="shared" ref="CN154:CN203" si="172">SUM(CK154:CM154)</f>
        <v>15.833916725888342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852.00000000000011</v>
      </c>
      <c r="O155" s="13">
        <f>N155*VLOOKUP('Données projet'!$B$9,Paramètres!$A$1:$I$89,3,0)*VLOOKUP('Données projet'!$B$9,Paramètres!$A$1:$I$89,5,0)</f>
        <v>420.88800000000009</v>
      </c>
      <c r="P155" s="13">
        <f t="shared" si="141"/>
        <v>95.998759891259041</v>
      </c>
      <c r="Q155" s="20">
        <f t="shared" si="162"/>
        <v>900.24444014394294</v>
      </c>
      <c r="R155" s="59">
        <f t="shared" si="109"/>
        <v>1193.5777734772762</v>
      </c>
      <c r="S155" s="59">
        <f ca="1">AVERAGE(OFFSET($R$3,0,0,'Données projet'!$E$9+1,1))-AVERAGE(OFFSET($H$3,0,0,'Données projet'!$E$9+1,1))</f>
        <v>434.08297999735811</v>
      </c>
      <c r="T155" s="59">
        <f t="shared" si="142"/>
        <v>371.04090283546122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38.210201802755243</v>
      </c>
      <c r="AA155" s="21">
        <f>EXP(-LN(2)/25)*AA154+(1-EXP(-LN(2)/25))/(LN(2)/25)*Calculateur!V155*Calculateur!X155*VLOOKUP('Données projet'!$B$9,Paramètres!$A$1:$I$89,3,0)*0.475*44/12</f>
        <v>1.7560562990823725</v>
      </c>
      <c r="AB155" s="21">
        <f>EXP(-LN(2)/2)*AB154+(1-EXP(-LN(2)/2))/(LN(2)/2)*V155*Y155*VLOOKUP('Données projet'!$B$9,Paramètres!$A$1:$I$89,3,0)*0.475*44/12</f>
        <v>3.2595018351144549E-19</v>
      </c>
      <c r="AC155" s="22">
        <f t="shared" si="163"/>
        <v>39.966258101837617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292.78079999999977</v>
      </c>
      <c r="AK155" s="13">
        <f t="shared" si="164"/>
        <v>69.660903052386217</v>
      </c>
      <c r="AL155" s="20">
        <f t="shared" si="165"/>
        <v>631.25263281623893</v>
      </c>
      <c r="AM155" s="59">
        <f t="shared" si="113"/>
        <v>924.58596614957219</v>
      </c>
      <c r="AN155" s="59">
        <f ca="1">AVERAGE(OFFSET($AM$3,0,0,'Données projet'!$E$10+1,1))-AVERAGE(OFFSET($H$3,0,0,'Données projet'!$E$10+1,1))</f>
        <v>331.52724290297675</v>
      </c>
      <c r="AO155" s="59">
        <f t="shared" si="144"/>
        <v>322.79102610158054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14.809807442647958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14.809807442647958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246.8543999999998</v>
      </c>
      <c r="BF155" s="13">
        <f t="shared" si="167"/>
        <v>59.911862368716115</v>
      </c>
      <c r="BG155" s="20">
        <f t="shared" si="168"/>
        <v>534.28457362551353</v>
      </c>
      <c r="BH155" s="59">
        <f t="shared" si="116"/>
        <v>827.61790695884679</v>
      </c>
      <c r="BI155" s="59">
        <f ca="1">AVERAGE(OFFSET($BH$3,0,0,'Données projet'!$E$11+1,1))-AVERAGE(OFFSET($H$3,0,0,'Données projet'!$E$11+1,1))</f>
        <v>273.84349636755343</v>
      </c>
      <c r="BJ155" s="59">
        <f t="shared" si="146"/>
        <v>268.10688874775451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12.486700392820824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12.486700392820824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401</v>
      </c>
      <c r="BZ155" s="13">
        <f>BY155*VLOOKUP('Données projet'!$B$12,Paramètres!$A$1:$I$89,3,0)*VLOOKUP('Données projet'!$B$12,Paramètres!$A$1:$I$89,5,0)</f>
        <v>250.22399999999999</v>
      </c>
      <c r="CA155" s="13">
        <f t="shared" si="170"/>
        <v>60.633904580527918</v>
      </c>
      <c r="CB155" s="20">
        <f t="shared" si="171"/>
        <v>541.41085047775289</v>
      </c>
      <c r="CC155" s="59">
        <f t="shared" si="119"/>
        <v>834.74418381108626</v>
      </c>
      <c r="CD155" s="59">
        <f ca="1">AVERAGE(OFFSET($CC$3,0,0,'Données projet'!$E$12+1,1))-AVERAGE(OFFSET($H$3,0,0,'Données projet'!$E$12+1,1))</f>
        <v>269.77739619445515</v>
      </c>
      <c r="CE155" s="59">
        <f t="shared" si="148"/>
        <v>347.56964743629885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12.383036960378767</v>
      </c>
      <c r="CL155" s="21">
        <f>EXP(-LN(2)/25)*CL154+(1-EXP(-LN(2)/25))/(LN(2)/25)*Calculateur!CG155*Calculateur!CI155*VLOOKUP('Données projet'!$B$12,Paramètres!$A$1:$I$89,3,0)*0.475*44/12</f>
        <v>3.1156074490294414</v>
      </c>
      <c r="CM155" s="21">
        <f>EXP(-LN(2)/2)*CM154+(1-EXP(-LN(2)/2))/(LN(2)/2)*CG155*CJ155*VLOOKUP('Données projet'!$B$12,Paramètres!$A$1:$I$89,3,0)*0.475*44/12</f>
        <v>1.0771915489362338E-20</v>
      </c>
      <c r="CN155" s="22">
        <f t="shared" si="172"/>
        <v>15.498644409408209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852.00000000000011</v>
      </c>
      <c r="O156" s="13">
        <f>N156*VLOOKUP('Données projet'!$B$9,Paramètres!$A$1:$I$89,3,0)*VLOOKUP('Données projet'!$B$9,Paramètres!$A$1:$I$89,5,0)</f>
        <v>420.88800000000009</v>
      </c>
      <c r="P156" s="13">
        <f t="shared" si="141"/>
        <v>95.998759891259041</v>
      </c>
      <c r="Q156" s="20">
        <f t="shared" si="162"/>
        <v>900.24444014394294</v>
      </c>
      <c r="R156" s="59">
        <f t="shared" si="109"/>
        <v>1193.5777734772762</v>
      </c>
      <c r="S156" s="59">
        <f ca="1">AVERAGE(OFFSET($R$3,0,0,'Données projet'!$E$9+1,1))-AVERAGE(OFFSET($H$3,0,0,'Données projet'!$E$9+1,1))</f>
        <v>434.08297999735811</v>
      </c>
      <c r="T156" s="59">
        <f t="shared" si="142"/>
        <v>371.04090283546122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37.460923051325047</v>
      </c>
      <c r="AA156" s="21">
        <f>EXP(-LN(2)/25)*AA155+(1-EXP(-LN(2)/25))/(LN(2)/25)*Calculateur!V156*Calculateur!X156*VLOOKUP('Données projet'!$B$9,Paramètres!$A$1:$I$89,3,0)*0.475*44/12</f>
        <v>1.7080368472369778</v>
      </c>
      <c r="AB156" s="21">
        <f>EXP(-LN(2)/2)*AB155+(1-EXP(-LN(2)/2))/(LN(2)/2)*V156*Y156*VLOOKUP('Données projet'!$B$9,Paramètres!$A$1:$I$89,3,0)*0.475*44/12</f>
        <v>2.3048158508994269E-19</v>
      </c>
      <c r="AC156" s="22">
        <f t="shared" si="163"/>
        <v>39.168959898562022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292.78079999999977</v>
      </c>
      <c r="AK156" s="13">
        <f t="shared" si="164"/>
        <v>69.660903052386217</v>
      </c>
      <c r="AL156" s="20">
        <f t="shared" si="165"/>
        <v>631.25263281623893</v>
      </c>
      <c r="AM156" s="59">
        <f t="shared" si="113"/>
        <v>924.58596614957219</v>
      </c>
      <c r="AN156" s="59">
        <f ca="1">AVERAGE(OFFSET($AM$3,0,0,'Données projet'!$E$10+1,1))-AVERAGE(OFFSET($H$3,0,0,'Données projet'!$E$10+1,1))</f>
        <v>331.52724290297675</v>
      </c>
      <c r="AO156" s="59">
        <f t="shared" si="144"/>
        <v>322.79102610158054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14.519396151788229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14.519396151788229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246.8543999999998</v>
      </c>
      <c r="BF156" s="13">
        <f t="shared" si="167"/>
        <v>59.911862368716115</v>
      </c>
      <c r="BG156" s="20">
        <f t="shared" si="168"/>
        <v>534.28457362551353</v>
      </c>
      <c r="BH156" s="59">
        <f t="shared" si="116"/>
        <v>827.61790695884679</v>
      </c>
      <c r="BI156" s="59">
        <f ca="1">AVERAGE(OFFSET($BH$3,0,0,'Données projet'!$E$11+1,1))-AVERAGE(OFFSET($H$3,0,0,'Données projet'!$E$11+1,1))</f>
        <v>273.84349636755343</v>
      </c>
      <c r="BJ156" s="59">
        <f t="shared" si="146"/>
        <v>268.10688874775451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12.241843814252816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12.241843814252816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401</v>
      </c>
      <c r="BZ156" s="13">
        <f>BY156*VLOOKUP('Données projet'!$B$12,Paramètres!$A$1:$I$89,3,0)*VLOOKUP('Données projet'!$B$12,Paramètres!$A$1:$I$89,5,0)</f>
        <v>250.22399999999999</v>
      </c>
      <c r="CA156" s="13">
        <f t="shared" si="170"/>
        <v>60.633904580527918</v>
      </c>
      <c r="CB156" s="20">
        <f t="shared" si="171"/>
        <v>541.41085047775289</v>
      </c>
      <c r="CC156" s="59">
        <f t="shared" si="119"/>
        <v>834.74418381108626</v>
      </c>
      <c r="CD156" s="59">
        <f ca="1">AVERAGE(OFFSET($CC$3,0,0,'Données projet'!$E$12+1,1))-AVERAGE(OFFSET($H$3,0,0,'Données projet'!$E$12+1,1))</f>
        <v>269.77739619445515</v>
      </c>
      <c r="CE156" s="59">
        <f t="shared" si="148"/>
        <v>347.56964743629885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12.140213158492498</v>
      </c>
      <c r="CL156" s="21">
        <f>EXP(-LN(2)/25)*CL155+(1-EXP(-LN(2)/25))/(LN(2)/25)*Calculateur!CG156*Calculateur!CI156*VLOOKUP('Données projet'!$B$12,Paramètres!$A$1:$I$89,3,0)*0.475*44/12</f>
        <v>3.0304109994930566</v>
      </c>
      <c r="CM156" s="21">
        <f>EXP(-LN(2)/2)*CM155+(1-EXP(-LN(2)/2))/(LN(2)/2)*CG156*CJ156*VLOOKUP('Données projet'!$B$12,Paramètres!$A$1:$I$89,3,0)*0.475*44/12</f>
        <v>7.6168944888965167E-21</v>
      </c>
      <c r="CN156" s="22">
        <f t="shared" si="172"/>
        <v>15.170624157985555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852.00000000000011</v>
      </c>
      <c r="O157" s="13">
        <f>N157*VLOOKUP('Données projet'!$B$9,Paramètres!$A$1:$I$89,3,0)*VLOOKUP('Données projet'!$B$9,Paramètres!$A$1:$I$89,5,0)</f>
        <v>420.88800000000009</v>
      </c>
      <c r="P157" s="13">
        <f t="shared" si="141"/>
        <v>95.998759891259041</v>
      </c>
      <c r="Q157" s="20">
        <f t="shared" si="162"/>
        <v>900.24444014394294</v>
      </c>
      <c r="R157" s="59">
        <f t="shared" si="109"/>
        <v>1193.5777734772762</v>
      </c>
      <c r="S157" s="59">
        <f ca="1">AVERAGE(OFFSET($R$3,0,0,'Données projet'!$E$9+1,1))-AVERAGE(OFFSET($H$3,0,0,'Données projet'!$E$9+1,1))</f>
        <v>434.08297999735811</v>
      </c>
      <c r="T157" s="59">
        <f t="shared" si="142"/>
        <v>371.04090283546122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36.726337199195484</v>
      </c>
      <c r="AA157" s="21">
        <f>EXP(-LN(2)/25)*AA156+(1-EXP(-LN(2)/25))/(LN(2)/25)*Calculateur!V157*Calculateur!X157*VLOOKUP('Données projet'!$B$9,Paramètres!$A$1:$I$89,3,0)*0.475*44/12</f>
        <v>1.6613304898275285</v>
      </c>
      <c r="AB157" s="21">
        <f>EXP(-LN(2)/2)*AB156+(1-EXP(-LN(2)/2))/(LN(2)/2)*V157*Y157*VLOOKUP('Données projet'!$B$9,Paramètres!$A$1:$I$89,3,0)*0.475*44/12</f>
        <v>1.6297509175572275E-19</v>
      </c>
      <c r="AC157" s="22">
        <f t="shared" si="163"/>
        <v>38.387667689023012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292.78079999999977</v>
      </c>
      <c r="AK157" s="13">
        <f t="shared" si="164"/>
        <v>69.660903052386217</v>
      </c>
      <c r="AL157" s="20">
        <f t="shared" si="165"/>
        <v>631.25263281623893</v>
      </c>
      <c r="AM157" s="59">
        <f t="shared" si="113"/>
        <v>924.58596614957219</v>
      </c>
      <c r="AN157" s="59">
        <f ca="1">AVERAGE(OFFSET($AM$3,0,0,'Données projet'!$E$10+1,1))-AVERAGE(OFFSET($H$3,0,0,'Données projet'!$E$10+1,1))</f>
        <v>331.52724290297675</v>
      </c>
      <c r="AO157" s="59">
        <f t="shared" si="144"/>
        <v>322.79102610158054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14.234679649208861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14.234679649208861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246.8543999999998</v>
      </c>
      <c r="BF157" s="13">
        <f t="shared" si="167"/>
        <v>59.911862368716115</v>
      </c>
      <c r="BG157" s="20">
        <f t="shared" si="168"/>
        <v>534.28457362551353</v>
      </c>
      <c r="BH157" s="59">
        <f t="shared" si="116"/>
        <v>827.61790695884679</v>
      </c>
      <c r="BI157" s="59">
        <f ca="1">AVERAGE(OFFSET($BH$3,0,0,'Données projet'!$E$11+1,1))-AVERAGE(OFFSET($H$3,0,0,'Données projet'!$E$11+1,1))</f>
        <v>273.84349636755343</v>
      </c>
      <c r="BJ157" s="59">
        <f t="shared" si="146"/>
        <v>268.10688874775451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12.001788723842761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12.001788723842761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401</v>
      </c>
      <c r="BZ157" s="13">
        <f>BY157*VLOOKUP('Données projet'!$B$12,Paramètres!$A$1:$I$89,3,0)*VLOOKUP('Données projet'!$B$12,Paramètres!$A$1:$I$89,5,0)</f>
        <v>250.22399999999999</v>
      </c>
      <c r="CA157" s="13">
        <f t="shared" si="170"/>
        <v>60.633904580527918</v>
      </c>
      <c r="CB157" s="20">
        <f t="shared" si="171"/>
        <v>541.41085047775289</v>
      </c>
      <c r="CC157" s="59">
        <f t="shared" si="119"/>
        <v>834.74418381108626</v>
      </c>
      <c r="CD157" s="59">
        <f ca="1">AVERAGE(OFFSET($CC$3,0,0,'Données projet'!$E$12+1,1))-AVERAGE(OFFSET($H$3,0,0,'Données projet'!$E$12+1,1))</f>
        <v>269.77739619445515</v>
      </c>
      <c r="CE157" s="59">
        <f t="shared" si="148"/>
        <v>347.56964743629885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11.902150983253325</v>
      </c>
      <c r="CL157" s="21">
        <f>EXP(-LN(2)/25)*CL156+(1-EXP(-LN(2)/25))/(LN(2)/25)*Calculateur!CG157*Calculateur!CI157*VLOOKUP('Données projet'!$B$12,Paramètres!$A$1:$I$89,3,0)*0.475*44/12</f>
        <v>2.9475442513495307</v>
      </c>
      <c r="CM157" s="21">
        <f>EXP(-LN(2)/2)*CM156+(1-EXP(-LN(2)/2))/(LN(2)/2)*CG157*CJ157*VLOOKUP('Données projet'!$B$12,Paramètres!$A$1:$I$89,3,0)*0.475*44/12</f>
        <v>5.3859577446811691E-21</v>
      </c>
      <c r="CN157" s="22">
        <f t="shared" si="172"/>
        <v>14.849695234602855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852.00000000000011</v>
      </c>
      <c r="O158" s="13">
        <f>N158*VLOOKUP('Données projet'!$B$9,Paramètres!$A$1:$I$89,3,0)*VLOOKUP('Données projet'!$B$9,Paramètres!$A$1:$I$89,5,0)</f>
        <v>420.88800000000009</v>
      </c>
      <c r="P158" s="13">
        <f t="shared" si="141"/>
        <v>95.998759891259041</v>
      </c>
      <c r="Q158" s="20">
        <f t="shared" si="162"/>
        <v>900.24444014394294</v>
      </c>
      <c r="R158" s="59">
        <f t="shared" si="109"/>
        <v>1193.5777734772762</v>
      </c>
      <c r="S158" s="59">
        <f ca="1">AVERAGE(OFFSET($R$3,0,0,'Données projet'!$E$9+1,1))-AVERAGE(OFFSET($H$3,0,0,'Données projet'!$E$9+1,1))</f>
        <v>434.08297999735811</v>
      </c>
      <c r="T158" s="59">
        <f t="shared" si="142"/>
        <v>371.04090283546122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36.00615612757305</v>
      </c>
      <c r="AA158" s="21">
        <f>EXP(-LN(2)/25)*AA157+(1-EXP(-LN(2)/25))/(LN(2)/25)*Calculateur!V158*Calculateur!X158*VLOOKUP('Données projet'!$B$9,Paramètres!$A$1:$I$89,3,0)*0.475*44/12</f>
        <v>1.6159013202176213</v>
      </c>
      <c r="AB158" s="21">
        <f>EXP(-LN(2)/2)*AB157+(1-EXP(-LN(2)/2))/(LN(2)/2)*V158*Y158*VLOOKUP('Données projet'!$B$9,Paramètres!$A$1:$I$89,3,0)*0.475*44/12</f>
        <v>1.1524079254497135E-19</v>
      </c>
      <c r="AC158" s="22">
        <f t="shared" si="163"/>
        <v>37.622057447790674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292.78079999999977</v>
      </c>
      <c r="AK158" s="13">
        <f t="shared" si="164"/>
        <v>69.660903052386217</v>
      </c>
      <c r="AL158" s="20">
        <f t="shared" si="165"/>
        <v>631.25263281623893</v>
      </c>
      <c r="AM158" s="59">
        <f t="shared" si="113"/>
        <v>924.58596614957219</v>
      </c>
      <c r="AN158" s="59">
        <f ca="1">AVERAGE(OFFSET($AM$3,0,0,'Données projet'!$E$10+1,1))-AVERAGE(OFFSET($H$3,0,0,'Données projet'!$E$10+1,1))</f>
        <v>331.52724290297675</v>
      </c>
      <c r="AO158" s="59">
        <f t="shared" si="144"/>
        <v>322.79102610158054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13.955546263585155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13.955546263585155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246.8543999999998</v>
      </c>
      <c r="BF158" s="13">
        <f t="shared" si="167"/>
        <v>59.911862368716115</v>
      </c>
      <c r="BG158" s="20">
        <f t="shared" si="168"/>
        <v>534.28457362551353</v>
      </c>
      <c r="BH158" s="59">
        <f t="shared" si="116"/>
        <v>827.61790695884679</v>
      </c>
      <c r="BI158" s="59">
        <f ca="1">AVERAGE(OFFSET($BH$3,0,0,'Données projet'!$E$11+1,1))-AVERAGE(OFFSET($H$3,0,0,'Données projet'!$E$11+1,1))</f>
        <v>273.84349636755343</v>
      </c>
      <c r="BJ158" s="59">
        <f t="shared" si="146"/>
        <v>268.10688874775451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11.7664409673365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11.7664409673365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401</v>
      </c>
      <c r="BZ158" s="13">
        <f>BY158*VLOOKUP('Données projet'!$B$12,Paramètres!$A$1:$I$89,3,0)*VLOOKUP('Données projet'!$B$12,Paramètres!$A$1:$I$89,5,0)</f>
        <v>250.22399999999999</v>
      </c>
      <c r="CA158" s="13">
        <f t="shared" si="170"/>
        <v>60.633904580527918</v>
      </c>
      <c r="CB158" s="20">
        <f t="shared" si="171"/>
        <v>541.41085047775289</v>
      </c>
      <c r="CC158" s="59">
        <f t="shared" si="119"/>
        <v>834.74418381108626</v>
      </c>
      <c r="CD158" s="59">
        <f ca="1">AVERAGE(OFFSET($CC$3,0,0,'Données projet'!$E$12+1,1))-AVERAGE(OFFSET($H$3,0,0,'Données projet'!$E$12+1,1))</f>
        <v>269.77739619445515</v>
      </c>
      <c r="CE158" s="59">
        <f t="shared" si="148"/>
        <v>347.56964743629885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11.668757062067002</v>
      </c>
      <c r="CL158" s="21">
        <f>EXP(-LN(2)/25)*CL157+(1-EXP(-LN(2)/25))/(LN(2)/25)*Calculateur!CG158*Calculateur!CI158*VLOOKUP('Données projet'!$B$12,Paramètres!$A$1:$I$89,3,0)*0.475*44/12</f>
        <v>2.8669434987917621</v>
      </c>
      <c r="CM158" s="21">
        <f>EXP(-LN(2)/2)*CM157+(1-EXP(-LN(2)/2))/(LN(2)/2)*CG158*CJ158*VLOOKUP('Données projet'!$B$12,Paramètres!$A$1:$I$89,3,0)*0.475*44/12</f>
        <v>3.8084472444482583E-21</v>
      </c>
      <c r="CN158" s="22">
        <f t="shared" si="172"/>
        <v>14.535700560858764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852.00000000000011</v>
      </c>
      <c r="O159" s="13">
        <f>N159*VLOOKUP('Données projet'!$B$9,Paramètres!$A$1:$I$89,3,0)*VLOOKUP('Données projet'!$B$9,Paramètres!$A$1:$I$89,5,0)</f>
        <v>420.88800000000009</v>
      </c>
      <c r="P159" s="13">
        <f t="shared" si="141"/>
        <v>95.998759891259041</v>
      </c>
      <c r="Q159" s="20">
        <f t="shared" si="162"/>
        <v>900.24444014394294</v>
      </c>
      <c r="R159" s="59">
        <f t="shared" si="109"/>
        <v>1193.5777734772762</v>
      </c>
      <c r="S159" s="59">
        <f ca="1">AVERAGE(OFFSET($R$3,0,0,'Données projet'!$E$9+1,1))-AVERAGE(OFFSET($H$3,0,0,'Données projet'!$E$9+1,1))</f>
        <v>434.08297999735811</v>
      </c>
      <c r="T159" s="59">
        <f t="shared" si="142"/>
        <v>371.04090283546122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35.300097367498054</v>
      </c>
      <c r="AA159" s="21">
        <f>EXP(-LN(2)/25)*AA158+(1-EXP(-LN(2)/25))/(LN(2)/25)*Calculateur!V159*Calculateur!X159*VLOOKUP('Données projet'!$B$9,Paramètres!$A$1:$I$89,3,0)*0.475*44/12</f>
        <v>1.5717144136397132</v>
      </c>
      <c r="AB159" s="21">
        <f>EXP(-LN(2)/2)*AB158+(1-EXP(-LN(2)/2))/(LN(2)/2)*V159*Y159*VLOOKUP('Données projet'!$B$9,Paramètres!$A$1:$I$89,3,0)*0.475*44/12</f>
        <v>8.1487545877861373E-20</v>
      </c>
      <c r="AC159" s="22">
        <f t="shared" si="163"/>
        <v>36.871811781137765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292.78079999999977</v>
      </c>
      <c r="AK159" s="13">
        <f t="shared" si="164"/>
        <v>69.660903052386217</v>
      </c>
      <c r="AL159" s="20">
        <f t="shared" si="165"/>
        <v>631.25263281623893</v>
      </c>
      <c r="AM159" s="59">
        <f t="shared" si="113"/>
        <v>924.58596614957219</v>
      </c>
      <c r="AN159" s="59">
        <f ca="1">AVERAGE(OFFSET($AM$3,0,0,'Données projet'!$E$10+1,1))-AVERAGE(OFFSET($H$3,0,0,'Données projet'!$E$10+1,1))</f>
        <v>331.52724290297675</v>
      </c>
      <c r="AO159" s="59">
        <f t="shared" si="144"/>
        <v>322.79102610158054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13.681886513398977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13.681886513398977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246.8543999999998</v>
      </c>
      <c r="BF159" s="13">
        <f t="shared" si="167"/>
        <v>59.911862368716115</v>
      </c>
      <c r="BG159" s="20">
        <f t="shared" si="168"/>
        <v>534.28457362551353</v>
      </c>
      <c r="BH159" s="59">
        <f t="shared" si="116"/>
        <v>827.61790695884679</v>
      </c>
      <c r="BI159" s="59">
        <f ca="1">AVERAGE(OFFSET($BH$3,0,0,'Données projet'!$E$11+1,1))-AVERAGE(OFFSET($H$3,0,0,'Données projet'!$E$11+1,1))</f>
        <v>273.84349636755343</v>
      </c>
      <c r="BJ159" s="59">
        <f t="shared" si="146"/>
        <v>268.10688874775451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11.53570823678737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11.53570823678737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401</v>
      </c>
      <c r="BZ159" s="13">
        <f>BY159*VLOOKUP('Données projet'!$B$12,Paramètres!$A$1:$I$89,3,0)*VLOOKUP('Données projet'!$B$12,Paramètres!$A$1:$I$89,5,0)</f>
        <v>250.22399999999999</v>
      </c>
      <c r="CA159" s="13">
        <f t="shared" si="170"/>
        <v>60.633904580527918</v>
      </c>
      <c r="CB159" s="20">
        <f t="shared" si="171"/>
        <v>541.41085047775289</v>
      </c>
      <c r="CC159" s="59">
        <f t="shared" si="119"/>
        <v>834.74418381108626</v>
      </c>
      <c r="CD159" s="59">
        <f ca="1">AVERAGE(OFFSET($CC$3,0,0,'Données projet'!$E$12+1,1))-AVERAGE(OFFSET($H$3,0,0,'Données projet'!$E$12+1,1))</f>
        <v>269.77739619445515</v>
      </c>
      <c r="CE159" s="59">
        <f t="shared" si="148"/>
        <v>347.56964743629885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11.439939853318906</v>
      </c>
      <c r="CL159" s="21">
        <f>EXP(-LN(2)/25)*CL158+(1-EXP(-LN(2)/25))/(LN(2)/25)*Calculateur!CG159*Calculateur!CI159*VLOOKUP('Données projet'!$B$12,Paramètres!$A$1:$I$89,3,0)*0.475*44/12</f>
        <v>2.7885467780512951</v>
      </c>
      <c r="CM159" s="21">
        <f>EXP(-LN(2)/2)*CM158+(1-EXP(-LN(2)/2))/(LN(2)/2)*CG159*CJ159*VLOOKUP('Données projet'!$B$12,Paramètres!$A$1:$I$89,3,0)*0.475*44/12</f>
        <v>2.6929788723405845E-21</v>
      </c>
      <c r="CN159" s="22">
        <f t="shared" si="172"/>
        <v>14.228486631370201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852.00000000000011</v>
      </c>
      <c r="O160" s="13">
        <f>N160*VLOOKUP('Données projet'!$B$9,Paramètres!$A$1:$I$89,3,0)*VLOOKUP('Données projet'!$B$9,Paramètres!$A$1:$I$89,5,0)</f>
        <v>420.88800000000009</v>
      </c>
      <c r="P160" s="13">
        <f t="shared" si="141"/>
        <v>95.998759891259041</v>
      </c>
      <c r="Q160" s="20">
        <f t="shared" si="162"/>
        <v>900.24444014394294</v>
      </c>
      <c r="R160" s="59">
        <f t="shared" si="109"/>
        <v>1193.5777734772762</v>
      </c>
      <c r="S160" s="59">
        <f ca="1">AVERAGE(OFFSET($R$3,0,0,'Données projet'!$E$9+1,1))-AVERAGE(OFFSET($H$3,0,0,'Données projet'!$E$9+1,1))</f>
        <v>434.08297999735811</v>
      </c>
      <c r="T160" s="59">
        <f t="shared" si="142"/>
        <v>371.04090283546122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34.607883989054805</v>
      </c>
      <c r="AA160" s="21">
        <f>EXP(-LN(2)/25)*AA159+(1-EXP(-LN(2)/25))/(LN(2)/25)*Calculateur!V160*Calculateur!X160*VLOOKUP('Données projet'!$B$9,Paramètres!$A$1:$I$89,3,0)*0.475*44/12</f>
        <v>1.5287358003458664</v>
      </c>
      <c r="AB160" s="21">
        <f>EXP(-LN(2)/2)*AB159+(1-EXP(-LN(2)/2))/(LN(2)/2)*V160*Y160*VLOOKUP('Données projet'!$B$9,Paramètres!$A$1:$I$89,3,0)*0.475*44/12</f>
        <v>5.7620396272485673E-20</v>
      </c>
      <c r="AC160" s="22">
        <f t="shared" si="163"/>
        <v>36.136619789400669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292.78079999999977</v>
      </c>
      <c r="AK160" s="13">
        <f t="shared" si="164"/>
        <v>69.660903052386217</v>
      </c>
      <c r="AL160" s="20">
        <f t="shared" si="165"/>
        <v>631.25263281623893</v>
      </c>
      <c r="AM160" s="59">
        <f t="shared" si="113"/>
        <v>924.58596614957219</v>
      </c>
      <c r="AN160" s="59">
        <f ca="1">AVERAGE(OFFSET($AM$3,0,0,'Données projet'!$E$10+1,1))-AVERAGE(OFFSET($H$3,0,0,'Données projet'!$E$10+1,1))</f>
        <v>331.52724290297675</v>
      </c>
      <c r="AO160" s="59">
        <f t="shared" si="144"/>
        <v>322.79102610158054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13.413593063997984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13.413593063997984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246.8543999999998</v>
      </c>
      <c r="BF160" s="13">
        <f t="shared" si="167"/>
        <v>59.911862368716115</v>
      </c>
      <c r="BG160" s="20">
        <f t="shared" si="168"/>
        <v>534.28457362551353</v>
      </c>
      <c r="BH160" s="59">
        <f t="shared" si="116"/>
        <v>827.61790695884679</v>
      </c>
      <c r="BI160" s="59">
        <f ca="1">AVERAGE(OFFSET($BH$3,0,0,'Données projet'!$E$11+1,1))-AVERAGE(OFFSET($H$3,0,0,'Données projet'!$E$11+1,1))</f>
        <v>273.84349636755343</v>
      </c>
      <c r="BJ160" s="59">
        <f t="shared" si="146"/>
        <v>268.10688874775451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11.309500034351238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11.309500034351238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401</v>
      </c>
      <c r="BZ160" s="13">
        <f>BY160*VLOOKUP('Données projet'!$B$12,Paramètres!$A$1:$I$89,3,0)*VLOOKUP('Données projet'!$B$12,Paramètres!$A$1:$I$89,5,0)</f>
        <v>250.22399999999999</v>
      </c>
      <c r="CA160" s="13">
        <f t="shared" si="170"/>
        <v>60.633904580527918</v>
      </c>
      <c r="CB160" s="20">
        <f t="shared" si="171"/>
        <v>541.41085047775289</v>
      </c>
      <c r="CC160" s="59">
        <f t="shared" si="119"/>
        <v>834.74418381108626</v>
      </c>
      <c r="CD160" s="59">
        <f ca="1">AVERAGE(OFFSET($CC$3,0,0,'Données projet'!$E$12+1,1))-AVERAGE(OFFSET($H$3,0,0,'Données projet'!$E$12+1,1))</f>
        <v>269.77739619445515</v>
      </c>
      <c r="CE160" s="59">
        <f t="shared" si="148"/>
        <v>347.56964743629885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11.215609610469645</v>
      </c>
      <c r="CL160" s="21">
        <f>EXP(-LN(2)/25)*CL159+(1-EXP(-LN(2)/25))/(LN(2)/25)*Calculateur!CG160*Calculateur!CI160*VLOOKUP('Données projet'!$B$12,Paramètres!$A$1:$I$89,3,0)*0.475*44/12</f>
        <v>2.7122938197621806</v>
      </c>
      <c r="CM160" s="21">
        <f>EXP(-LN(2)/2)*CM159+(1-EXP(-LN(2)/2))/(LN(2)/2)*CG160*CJ160*VLOOKUP('Données projet'!$B$12,Paramètres!$A$1:$I$89,3,0)*0.475*44/12</f>
        <v>1.9042236222241292E-21</v>
      </c>
      <c r="CN160" s="22">
        <f t="shared" si="172"/>
        <v>13.927903430231826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852.00000000000011</v>
      </c>
      <c r="O161" s="13">
        <f>N161*VLOOKUP('Données projet'!$B$9,Paramètres!$A$1:$I$89,3,0)*VLOOKUP('Données projet'!$B$9,Paramètres!$A$1:$I$89,5,0)</f>
        <v>420.88800000000009</v>
      </c>
      <c r="P161" s="13">
        <f t="shared" si="141"/>
        <v>95.998759891259041</v>
      </c>
      <c r="Q161" s="20">
        <f t="shared" si="162"/>
        <v>900.24444014394294</v>
      </c>
      <c r="R161" s="59">
        <f t="shared" si="109"/>
        <v>1193.5777734772762</v>
      </c>
      <c r="S161" s="59">
        <f ca="1">AVERAGE(OFFSET($R$3,0,0,'Données projet'!$E$9+1,1))-AVERAGE(OFFSET($H$3,0,0,'Données projet'!$E$9+1,1))</f>
        <v>434.08297999735811</v>
      </c>
      <c r="T161" s="59">
        <f t="shared" si="142"/>
        <v>371.04090283546122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33.929244492754357</v>
      </c>
      <c r="AA161" s="21">
        <f>EXP(-LN(2)/25)*AA160+(1-EXP(-LN(2)/25))/(LN(2)/25)*Calculateur!V161*Calculateur!X161*VLOOKUP('Données projet'!$B$9,Paramètres!$A$1:$I$89,3,0)*0.475*44/12</f>
        <v>1.4869324394926868</v>
      </c>
      <c r="AB161" s="21">
        <f>EXP(-LN(2)/2)*AB160+(1-EXP(-LN(2)/2))/(LN(2)/2)*V161*Y161*VLOOKUP('Données projet'!$B$9,Paramètres!$A$1:$I$89,3,0)*0.475*44/12</f>
        <v>4.0743772938930687E-20</v>
      </c>
      <c r="AC161" s="22">
        <f t="shared" si="163"/>
        <v>35.416176932247041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292.78079999999977</v>
      </c>
      <c r="AK161" s="13">
        <f t="shared" si="164"/>
        <v>69.660903052386217</v>
      </c>
      <c r="AL161" s="20">
        <f t="shared" si="165"/>
        <v>631.25263281623893</v>
      </c>
      <c r="AM161" s="59">
        <f t="shared" si="113"/>
        <v>924.58596614957219</v>
      </c>
      <c r="AN161" s="59">
        <f ca="1">AVERAGE(OFFSET($AM$3,0,0,'Données projet'!$E$10+1,1))-AVERAGE(OFFSET($H$3,0,0,'Données projet'!$E$10+1,1))</f>
        <v>331.52724290297675</v>
      </c>
      <c r="AO161" s="59">
        <f t="shared" si="144"/>
        <v>322.79102610158054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13.150560685496899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13.150560685496899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246.8543999999998</v>
      </c>
      <c r="BF161" s="13">
        <f t="shared" si="167"/>
        <v>59.911862368716115</v>
      </c>
      <c r="BG161" s="20">
        <f t="shared" si="168"/>
        <v>534.28457362551353</v>
      </c>
      <c r="BH161" s="59">
        <f t="shared" si="116"/>
        <v>827.61790695884679</v>
      </c>
      <c r="BI161" s="59">
        <f ca="1">AVERAGE(OFFSET($BH$3,0,0,'Données projet'!$E$11+1,1))-AVERAGE(OFFSET($H$3,0,0,'Données projet'!$E$11+1,1))</f>
        <v>273.84349636755343</v>
      </c>
      <c r="BJ161" s="59">
        <f t="shared" si="146"/>
        <v>268.10688874775451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11.087727636791499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11.087727636791499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401</v>
      </c>
      <c r="BZ161" s="13">
        <f>BY161*VLOOKUP('Données projet'!$B$12,Paramètres!$A$1:$I$89,3,0)*VLOOKUP('Données projet'!$B$12,Paramètres!$A$1:$I$89,5,0)</f>
        <v>250.22399999999999</v>
      </c>
      <c r="CA161" s="13">
        <f t="shared" si="170"/>
        <v>60.633904580527918</v>
      </c>
      <c r="CB161" s="20">
        <f t="shared" si="171"/>
        <v>541.41085047775289</v>
      </c>
      <c r="CC161" s="59">
        <f t="shared" si="119"/>
        <v>834.74418381108626</v>
      </c>
      <c r="CD161" s="59">
        <f ca="1">AVERAGE(OFFSET($CC$3,0,0,'Données projet'!$E$12+1,1))-AVERAGE(OFFSET($H$3,0,0,'Données projet'!$E$12+1,1))</f>
        <v>269.77739619445515</v>
      </c>
      <c r="CE161" s="59">
        <f t="shared" si="148"/>
        <v>347.56964743629885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10.995678346854721</v>
      </c>
      <c r="CL161" s="21">
        <f>EXP(-LN(2)/25)*CL160+(1-EXP(-LN(2)/25))/(LN(2)/25)*Calculateur!CG161*Calculateur!CI161*VLOOKUP('Données projet'!$B$12,Paramètres!$A$1:$I$89,3,0)*0.475*44/12</f>
        <v>2.6381260026274509</v>
      </c>
      <c r="CM161" s="21">
        <f>EXP(-LN(2)/2)*CM160+(1-EXP(-LN(2)/2))/(LN(2)/2)*CG161*CJ161*VLOOKUP('Données projet'!$B$12,Paramètres!$A$1:$I$89,3,0)*0.475*44/12</f>
        <v>1.3464894361702923E-21</v>
      </c>
      <c r="CN161" s="22">
        <f t="shared" si="172"/>
        <v>13.633804349482173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852.00000000000011</v>
      </c>
      <c r="O162" s="13">
        <f>N162*VLOOKUP('Données projet'!$B$9,Paramètres!$A$1:$I$89,3,0)*VLOOKUP('Données projet'!$B$9,Paramètres!$A$1:$I$89,5,0)</f>
        <v>420.88800000000009</v>
      </c>
      <c r="P162" s="13">
        <f t="shared" si="141"/>
        <v>95.998759891259041</v>
      </c>
      <c r="Q162" s="20">
        <f t="shared" si="162"/>
        <v>900.24444014394294</v>
      </c>
      <c r="R162" s="59">
        <f t="shared" si="109"/>
        <v>1193.5777734772762</v>
      </c>
      <c r="S162" s="59">
        <f ca="1">AVERAGE(OFFSET($R$3,0,0,'Données projet'!$E$9+1,1))-AVERAGE(OFFSET($H$3,0,0,'Données projet'!$E$9+1,1))</f>
        <v>434.08297999735811</v>
      </c>
      <c r="T162" s="59">
        <f t="shared" si="142"/>
        <v>371.04090283546122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33.26391270304714</v>
      </c>
      <c r="AA162" s="21">
        <f>EXP(-LN(2)/25)*AA161+(1-EXP(-LN(2)/25))/(LN(2)/25)*Calculateur!V162*Calculateur!X162*VLOOKUP('Données projet'!$B$9,Paramètres!$A$1:$I$89,3,0)*0.475*44/12</f>
        <v>1.4462721937403809</v>
      </c>
      <c r="AB162" s="21">
        <f>EXP(-LN(2)/2)*AB161+(1-EXP(-LN(2)/2))/(LN(2)/2)*V162*Y162*VLOOKUP('Données projet'!$B$9,Paramètres!$A$1:$I$89,3,0)*0.475*44/12</f>
        <v>2.8810198136242836E-20</v>
      </c>
      <c r="AC162" s="22">
        <f t="shared" si="163"/>
        <v>34.710184896787524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292.78079999999977</v>
      </c>
      <c r="AK162" s="13">
        <f t="shared" si="164"/>
        <v>69.660903052386217</v>
      </c>
      <c r="AL162" s="20">
        <f t="shared" si="165"/>
        <v>631.25263281623893</v>
      </c>
      <c r="AM162" s="59">
        <f t="shared" si="113"/>
        <v>924.58596614957219</v>
      </c>
      <c r="AN162" s="59">
        <f ca="1">AVERAGE(OFFSET($AM$3,0,0,'Données projet'!$E$10+1,1))-AVERAGE(OFFSET($H$3,0,0,'Données projet'!$E$10+1,1))</f>
        <v>331.52724290297675</v>
      </c>
      <c r="AO162" s="59">
        <f t="shared" si="144"/>
        <v>322.79102610158054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12.89268621150431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12.89268621150431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246.8543999999998</v>
      </c>
      <c r="BF162" s="13">
        <f t="shared" si="167"/>
        <v>59.911862368716115</v>
      </c>
      <c r="BG162" s="20">
        <f t="shared" si="168"/>
        <v>534.28457362551353</v>
      </c>
      <c r="BH162" s="59">
        <f t="shared" si="116"/>
        <v>827.61790695884679</v>
      </c>
      <c r="BI162" s="59">
        <f ca="1">AVERAGE(OFFSET($BH$3,0,0,'Données projet'!$E$11+1,1))-AVERAGE(OFFSET($H$3,0,0,'Données projet'!$E$11+1,1))</f>
        <v>273.84349636755343</v>
      </c>
      <c r="BJ162" s="59">
        <f t="shared" si="146"/>
        <v>268.10688874775451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10.8703040606801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10.8703040606801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401</v>
      </c>
      <c r="BZ162" s="13">
        <f>BY162*VLOOKUP('Données projet'!$B$12,Paramètres!$A$1:$I$89,3,0)*VLOOKUP('Données projet'!$B$12,Paramètres!$A$1:$I$89,5,0)</f>
        <v>250.22399999999999</v>
      </c>
      <c r="CA162" s="13">
        <f t="shared" si="170"/>
        <v>60.633904580527918</v>
      </c>
      <c r="CB162" s="20">
        <f t="shared" si="171"/>
        <v>541.41085047775289</v>
      </c>
      <c r="CC162" s="59">
        <f t="shared" si="119"/>
        <v>834.74418381108626</v>
      </c>
      <c r="CD162" s="59">
        <f ca="1">AVERAGE(OFFSET($CC$3,0,0,'Données projet'!$E$12+1,1))-AVERAGE(OFFSET($H$3,0,0,'Données projet'!$E$12+1,1))</f>
        <v>269.77739619445515</v>
      </c>
      <c r="CE162" s="59">
        <f t="shared" si="148"/>
        <v>347.56964743629885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10.78005980117446</v>
      </c>
      <c r="CL162" s="21">
        <f>EXP(-LN(2)/25)*CL161+(1-EXP(-LN(2)/25))/(LN(2)/25)*Calculateur!CG162*Calculateur!CI162*VLOOKUP('Données projet'!$B$12,Paramètres!$A$1:$I$89,3,0)*0.475*44/12</f>
        <v>2.5659863083525862</v>
      </c>
      <c r="CM162" s="21">
        <f>EXP(-LN(2)/2)*CM161+(1-EXP(-LN(2)/2))/(LN(2)/2)*CG162*CJ162*VLOOKUP('Données projet'!$B$12,Paramètres!$A$1:$I$89,3,0)*0.475*44/12</f>
        <v>9.5211181111206458E-22</v>
      </c>
      <c r="CN162" s="22">
        <f t="shared" si="172"/>
        <v>13.346046109527046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852.00000000000011</v>
      </c>
      <c r="O163" s="13">
        <f>N163*VLOOKUP('Données projet'!$B$9,Paramètres!$A$1:$I$89,3,0)*VLOOKUP('Données projet'!$B$9,Paramètres!$A$1:$I$89,5,0)</f>
        <v>420.88800000000009</v>
      </c>
      <c r="P163" s="13">
        <f t="shared" si="141"/>
        <v>95.998759891259041</v>
      </c>
      <c r="Q163" s="20">
        <f t="shared" si="162"/>
        <v>900.24444014394294</v>
      </c>
      <c r="R163" s="59">
        <f t="shared" si="109"/>
        <v>1193.5777734772762</v>
      </c>
      <c r="S163" s="59">
        <f ca="1">AVERAGE(OFFSET($R$3,0,0,'Données projet'!$E$9+1,1))-AVERAGE(OFFSET($H$3,0,0,'Données projet'!$E$9+1,1))</f>
        <v>434.08297999735811</v>
      </c>
      <c r="T163" s="59">
        <f t="shared" si="142"/>
        <v>371.04090283546122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32.611627663923763</v>
      </c>
      <c r="AA163" s="21">
        <f>EXP(-LN(2)/25)*AA162+(1-EXP(-LN(2)/25))/(LN(2)/25)*Calculateur!V163*Calculateur!X163*VLOOKUP('Données projet'!$B$9,Paramètres!$A$1:$I$89,3,0)*0.475*44/12</f>
        <v>1.406723804546401</v>
      </c>
      <c r="AB163" s="21">
        <f>EXP(-LN(2)/2)*AB162+(1-EXP(-LN(2)/2))/(LN(2)/2)*V163*Y163*VLOOKUP('Données projet'!$B$9,Paramètres!$A$1:$I$89,3,0)*0.475*44/12</f>
        <v>2.0371886469465343E-20</v>
      </c>
      <c r="AC163" s="22">
        <f t="shared" si="163"/>
        <v>34.018351468470165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292.78079999999977</v>
      </c>
      <c r="AK163" s="13">
        <f t="shared" si="164"/>
        <v>69.660903052386217</v>
      </c>
      <c r="AL163" s="20">
        <f t="shared" si="165"/>
        <v>631.25263281623893</v>
      </c>
      <c r="AM163" s="59">
        <f t="shared" si="113"/>
        <v>924.58596614957219</v>
      </c>
      <c r="AN163" s="59">
        <f ca="1">AVERAGE(OFFSET($AM$3,0,0,'Données projet'!$E$10+1,1))-AVERAGE(OFFSET($H$3,0,0,'Données projet'!$E$10+1,1))</f>
        <v>331.52724290297675</v>
      </c>
      <c r="AO163" s="59">
        <f t="shared" si="144"/>
        <v>322.79102610158054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12.639868498658817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12.639868498658817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246.8543999999998</v>
      </c>
      <c r="BF163" s="13">
        <f t="shared" si="167"/>
        <v>59.911862368716115</v>
      </c>
      <c r="BG163" s="20">
        <f t="shared" si="168"/>
        <v>534.28457362551353</v>
      </c>
      <c r="BH163" s="59">
        <f t="shared" si="116"/>
        <v>827.61790695884679</v>
      </c>
      <c r="BI163" s="59">
        <f ca="1">AVERAGE(OFFSET($BH$3,0,0,'Données projet'!$E$11+1,1))-AVERAGE(OFFSET($H$3,0,0,'Données projet'!$E$11+1,1))</f>
        <v>273.84349636755343</v>
      </c>
      <c r="BJ163" s="59">
        <f t="shared" si="146"/>
        <v>268.10688874775451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10.657144028280959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10.657144028280959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401</v>
      </c>
      <c r="BZ163" s="13">
        <f>BY163*VLOOKUP('Données projet'!$B$12,Paramètres!$A$1:$I$89,3,0)*VLOOKUP('Données projet'!$B$12,Paramètres!$A$1:$I$89,5,0)</f>
        <v>250.22399999999999</v>
      </c>
      <c r="CA163" s="13">
        <f t="shared" si="170"/>
        <v>60.633904580527918</v>
      </c>
      <c r="CB163" s="20">
        <f t="shared" si="171"/>
        <v>541.41085047775289</v>
      </c>
      <c r="CC163" s="59">
        <f t="shared" si="119"/>
        <v>834.74418381108626</v>
      </c>
      <c r="CD163" s="59">
        <f ca="1">AVERAGE(OFFSET($CC$3,0,0,'Données projet'!$E$12+1,1))-AVERAGE(OFFSET($H$3,0,0,'Données projet'!$E$12+1,1))</f>
        <v>269.77739619445515</v>
      </c>
      <c r="CE163" s="59">
        <f t="shared" si="148"/>
        <v>347.56964743629885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10.568669403660662</v>
      </c>
      <c r="CL163" s="21">
        <f>EXP(-LN(2)/25)*CL162+(1-EXP(-LN(2)/25))/(LN(2)/25)*Calculateur!CG163*Calculateur!CI163*VLOOKUP('Données projet'!$B$12,Paramètres!$A$1:$I$89,3,0)*0.475*44/12</f>
        <v>2.4958192778113295</v>
      </c>
      <c r="CM163" s="21">
        <f>EXP(-LN(2)/2)*CM162+(1-EXP(-LN(2)/2))/(LN(2)/2)*CG163*CJ163*VLOOKUP('Données projet'!$B$12,Paramètres!$A$1:$I$89,3,0)*0.475*44/12</f>
        <v>6.7324471808514613E-22</v>
      </c>
      <c r="CN163" s="22">
        <f t="shared" si="172"/>
        <v>13.064488681471992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852.00000000000011</v>
      </c>
      <c r="O164" s="13">
        <f>N164*VLOOKUP('Données projet'!$B$9,Paramètres!$A$1:$I$89,3,0)*VLOOKUP('Données projet'!$B$9,Paramètres!$A$1:$I$89,5,0)</f>
        <v>420.88800000000009</v>
      </c>
      <c r="P164" s="13">
        <f t="shared" si="141"/>
        <v>95.998759891259041</v>
      </c>
      <c r="Q164" s="20">
        <f t="shared" si="162"/>
        <v>900.24444014394294</v>
      </c>
      <c r="R164" s="59">
        <f t="shared" si="109"/>
        <v>1193.5777734772762</v>
      </c>
      <c r="S164" s="59">
        <f ca="1">AVERAGE(OFFSET($R$3,0,0,'Données projet'!$E$9+1,1))-AVERAGE(OFFSET($H$3,0,0,'Données projet'!$E$9+1,1))</f>
        <v>434.08297999735811</v>
      </c>
      <c r="T164" s="59">
        <f t="shared" si="142"/>
        <v>371.04090283546122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31.972133536563007</v>
      </c>
      <c r="AA164" s="21">
        <f>EXP(-LN(2)/25)*AA163+(1-EXP(-LN(2)/25))/(LN(2)/25)*Calculateur!V164*Calculateur!X164*VLOOKUP('Données projet'!$B$9,Paramètres!$A$1:$I$89,3,0)*0.475*44/12</f>
        <v>1.3682568681346898</v>
      </c>
      <c r="AB164" s="21">
        <f>EXP(-LN(2)/2)*AB163+(1-EXP(-LN(2)/2))/(LN(2)/2)*V164*Y164*VLOOKUP('Données projet'!$B$9,Paramètres!$A$1:$I$89,3,0)*0.475*44/12</f>
        <v>1.4405099068121418E-20</v>
      </c>
      <c r="AC164" s="22">
        <f t="shared" si="163"/>
        <v>33.340390404697693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292.78079999999977</v>
      </c>
      <c r="AK164" s="13">
        <f t="shared" si="164"/>
        <v>69.660903052386217</v>
      </c>
      <c r="AL164" s="20">
        <f t="shared" si="165"/>
        <v>631.25263281623893</v>
      </c>
      <c r="AM164" s="59">
        <f t="shared" si="113"/>
        <v>924.58596614957219</v>
      </c>
      <c r="AN164" s="59">
        <f ca="1">AVERAGE(OFFSET($AM$3,0,0,'Données projet'!$E$10+1,1))-AVERAGE(OFFSET($H$3,0,0,'Données projet'!$E$10+1,1))</f>
        <v>331.52724290297675</v>
      </c>
      <c r="AO164" s="59">
        <f t="shared" si="144"/>
        <v>322.79102610158054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12.392008386958647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12.392008386958647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246.8543999999998</v>
      </c>
      <c r="BF164" s="13">
        <f t="shared" si="167"/>
        <v>59.911862368716115</v>
      </c>
      <c r="BG164" s="20">
        <f t="shared" si="168"/>
        <v>534.28457362551353</v>
      </c>
      <c r="BH164" s="59">
        <f t="shared" si="116"/>
        <v>827.61790695884679</v>
      </c>
      <c r="BI164" s="59">
        <f ca="1">AVERAGE(OFFSET($BH$3,0,0,'Données projet'!$E$11+1,1))-AVERAGE(OFFSET($H$3,0,0,'Données projet'!$E$11+1,1))</f>
        <v>273.84349636755343</v>
      </c>
      <c r="BJ164" s="59">
        <f t="shared" si="146"/>
        <v>268.10688874775451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10.448163934102384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10.448163934102384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401</v>
      </c>
      <c r="BZ164" s="13">
        <f>BY164*VLOOKUP('Données projet'!$B$12,Paramètres!$A$1:$I$89,3,0)*VLOOKUP('Données projet'!$B$12,Paramètres!$A$1:$I$89,5,0)</f>
        <v>250.22399999999999</v>
      </c>
      <c r="CA164" s="13">
        <f t="shared" si="170"/>
        <v>60.633904580527918</v>
      </c>
      <c r="CB164" s="20">
        <f t="shared" si="171"/>
        <v>541.41085047775289</v>
      </c>
      <c r="CC164" s="59">
        <f t="shared" si="119"/>
        <v>834.74418381108626</v>
      </c>
      <c r="CD164" s="59">
        <f ca="1">AVERAGE(OFFSET($CC$3,0,0,'Données projet'!$E$12+1,1))-AVERAGE(OFFSET($H$3,0,0,'Données projet'!$E$12+1,1))</f>
        <v>269.77739619445515</v>
      </c>
      <c r="CE164" s="59">
        <f t="shared" si="148"/>
        <v>347.56964743629885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10.361424242906699</v>
      </c>
      <c r="CL164" s="21">
        <f>EXP(-LN(2)/25)*CL163+(1-EXP(-LN(2)/25))/(LN(2)/25)*Calculateur!CG164*Calculateur!CI164*VLOOKUP('Données projet'!$B$12,Paramètres!$A$1:$I$89,3,0)*0.475*44/12</f>
        <v>2.427570968410147</v>
      </c>
      <c r="CM164" s="21">
        <f>EXP(-LN(2)/2)*CM163+(1-EXP(-LN(2)/2))/(LN(2)/2)*CG164*CJ164*VLOOKUP('Données projet'!$B$12,Paramètres!$A$1:$I$89,3,0)*0.475*44/12</f>
        <v>4.7605590555603229E-22</v>
      </c>
      <c r="CN164" s="22">
        <f t="shared" si="172"/>
        <v>12.788995211316845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852.00000000000011</v>
      </c>
      <c r="O165" s="13">
        <f>N165*VLOOKUP('Données projet'!$B$9,Paramètres!$A$1:$I$89,3,0)*VLOOKUP('Données projet'!$B$9,Paramètres!$A$1:$I$89,5,0)</f>
        <v>420.88800000000009</v>
      </c>
      <c r="P165" s="13">
        <f t="shared" si="141"/>
        <v>95.998759891259041</v>
      </c>
      <c r="Q165" s="20">
        <f t="shared" si="162"/>
        <v>900.24444014394294</v>
      </c>
      <c r="R165" s="59">
        <f t="shared" si="109"/>
        <v>1193.5777734772762</v>
      </c>
      <c r="S165" s="59">
        <f ca="1">AVERAGE(OFFSET($R$3,0,0,'Données projet'!$E$9+1,1))-AVERAGE(OFFSET($H$3,0,0,'Données projet'!$E$9+1,1))</f>
        <v>434.08297999735811</v>
      </c>
      <c r="T165" s="59">
        <f t="shared" si="142"/>
        <v>371.04090283546122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31.345179498986891</v>
      </c>
      <c r="AA165" s="21">
        <f>EXP(-LN(2)/25)*AA164+(1-EXP(-LN(2)/25))/(LN(2)/25)*Calculateur!V165*Calculateur!X165*VLOOKUP('Données projet'!$B$9,Paramètres!$A$1:$I$89,3,0)*0.475*44/12</f>
        <v>1.3308418121220453</v>
      </c>
      <c r="AB165" s="21">
        <f>EXP(-LN(2)/2)*AB164+(1-EXP(-LN(2)/2))/(LN(2)/2)*V165*Y165*VLOOKUP('Données projet'!$B$9,Paramètres!$A$1:$I$89,3,0)*0.475*44/12</f>
        <v>1.0185943234732672E-20</v>
      </c>
      <c r="AC165" s="22">
        <f t="shared" si="163"/>
        <v>32.676021311108933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292.78079999999977</v>
      </c>
      <c r="AK165" s="13">
        <f t="shared" si="164"/>
        <v>69.660903052386217</v>
      </c>
      <c r="AL165" s="20">
        <f t="shared" si="165"/>
        <v>631.25263281623893</v>
      </c>
      <c r="AM165" s="59">
        <f t="shared" si="113"/>
        <v>924.58596614957219</v>
      </c>
      <c r="AN165" s="59">
        <f ca="1">AVERAGE(OFFSET($AM$3,0,0,'Données projet'!$E$10+1,1))-AVERAGE(OFFSET($H$3,0,0,'Données projet'!$E$10+1,1))</f>
        <v>331.52724290297675</v>
      </c>
      <c r="AO165" s="59">
        <f t="shared" si="144"/>
        <v>322.79102610158054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12.149008660869177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12.149008660869177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246.8543999999998</v>
      </c>
      <c r="BF165" s="13">
        <f t="shared" si="167"/>
        <v>59.911862368716115</v>
      </c>
      <c r="BG165" s="20">
        <f t="shared" si="168"/>
        <v>534.28457362551353</v>
      </c>
      <c r="BH165" s="59">
        <f t="shared" si="116"/>
        <v>827.61790695884679</v>
      </c>
      <c r="BI165" s="59">
        <f ca="1">AVERAGE(OFFSET($BH$3,0,0,'Données projet'!$E$11+1,1))-AVERAGE(OFFSET($H$3,0,0,'Données projet'!$E$11+1,1))</f>
        <v>273.84349636755343</v>
      </c>
      <c r="BJ165" s="59">
        <f t="shared" si="146"/>
        <v>268.10688874775451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10.24328181210538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10.24328181210538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401</v>
      </c>
      <c r="BZ165" s="13">
        <f>BY165*VLOOKUP('Données projet'!$B$12,Paramètres!$A$1:$I$89,3,0)*VLOOKUP('Données projet'!$B$12,Paramètres!$A$1:$I$89,5,0)</f>
        <v>250.22399999999999</v>
      </c>
      <c r="CA165" s="13">
        <f t="shared" si="170"/>
        <v>60.633904580527918</v>
      </c>
      <c r="CB165" s="20">
        <f t="shared" si="171"/>
        <v>541.41085047775289</v>
      </c>
      <c r="CC165" s="59">
        <f t="shared" si="119"/>
        <v>834.74418381108626</v>
      </c>
      <c r="CD165" s="59">
        <f ca="1">AVERAGE(OFFSET($CC$3,0,0,'Données projet'!$E$12+1,1))-AVERAGE(OFFSET($H$3,0,0,'Données projet'!$E$12+1,1))</f>
        <v>269.77739619445515</v>
      </c>
      <c r="CE165" s="59">
        <f t="shared" si="148"/>
        <v>347.56964743629885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10.158243033348054</v>
      </c>
      <c r="CL165" s="21">
        <f>EXP(-LN(2)/25)*CL164+(1-EXP(-LN(2)/25))/(LN(2)/25)*Calculateur!CG165*Calculateur!CI165*VLOOKUP('Données projet'!$B$12,Paramètres!$A$1:$I$89,3,0)*0.475*44/12</f>
        <v>2.3611889126185623</v>
      </c>
      <c r="CM165" s="21">
        <f>EXP(-LN(2)/2)*CM164+(1-EXP(-LN(2)/2))/(LN(2)/2)*CG165*CJ165*VLOOKUP('Données projet'!$B$12,Paramètres!$A$1:$I$89,3,0)*0.475*44/12</f>
        <v>3.3662235904257307E-22</v>
      </c>
      <c r="CN165" s="22">
        <f t="shared" si="172"/>
        <v>12.519431945966616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852.00000000000011</v>
      </c>
      <c r="O166" s="13">
        <f>N166*VLOOKUP('Données projet'!$B$9,Paramètres!$A$1:$I$89,3,0)*VLOOKUP('Données projet'!$B$9,Paramètres!$A$1:$I$89,5,0)</f>
        <v>420.88800000000009</v>
      </c>
      <c r="P166" s="13">
        <f t="shared" si="141"/>
        <v>95.998759891259041</v>
      </c>
      <c r="Q166" s="20">
        <f t="shared" si="162"/>
        <v>900.24444014394294</v>
      </c>
      <c r="R166" s="59">
        <f t="shared" si="109"/>
        <v>1193.5777734772762</v>
      </c>
      <c r="S166" s="59">
        <f ca="1">AVERAGE(OFFSET($R$3,0,0,'Données projet'!$E$9+1,1))-AVERAGE(OFFSET($H$3,0,0,'Données projet'!$E$9+1,1))</f>
        <v>434.08297999735811</v>
      </c>
      <c r="T166" s="59">
        <f t="shared" si="142"/>
        <v>371.04090283546122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30.73051964768344</v>
      </c>
      <c r="AA166" s="21">
        <f>EXP(-LN(2)/25)*AA165+(1-EXP(-LN(2)/25))/(LN(2)/25)*Calculateur!V166*Calculateur!X166*VLOOKUP('Données projet'!$B$9,Paramètres!$A$1:$I$89,3,0)*0.475*44/12</f>
        <v>1.2944498727836389</v>
      </c>
      <c r="AB166" s="21">
        <f>EXP(-LN(2)/2)*AB165+(1-EXP(-LN(2)/2))/(LN(2)/2)*V166*Y166*VLOOKUP('Données projet'!$B$9,Paramètres!$A$1:$I$89,3,0)*0.475*44/12</f>
        <v>7.2025495340607091E-21</v>
      </c>
      <c r="AC166" s="22">
        <f t="shared" si="163"/>
        <v>32.024969520467081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292.78079999999977</v>
      </c>
      <c r="AK166" s="13">
        <f t="shared" si="164"/>
        <v>69.660903052386217</v>
      </c>
      <c r="AL166" s="20">
        <f t="shared" si="165"/>
        <v>631.25263281623893</v>
      </c>
      <c r="AM166" s="59">
        <f t="shared" si="113"/>
        <v>924.58596614957219</v>
      </c>
      <c r="AN166" s="59">
        <f ca="1">AVERAGE(OFFSET($AM$3,0,0,'Données projet'!$E$10+1,1))-AVERAGE(OFFSET($H$3,0,0,'Données projet'!$E$10+1,1))</f>
        <v>331.52724290297675</v>
      </c>
      <c r="AO166" s="59">
        <f t="shared" si="144"/>
        <v>322.79102610158054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11.910774011193123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11.910774011193123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246.8543999999998</v>
      </c>
      <c r="BF166" s="13">
        <f t="shared" si="167"/>
        <v>59.911862368716115</v>
      </c>
      <c r="BG166" s="20">
        <f t="shared" si="168"/>
        <v>534.28457362551353</v>
      </c>
      <c r="BH166" s="59">
        <f t="shared" si="116"/>
        <v>827.61790695884679</v>
      </c>
      <c r="BI166" s="59">
        <f ca="1">AVERAGE(OFFSET($BH$3,0,0,'Données projet'!$E$11+1,1))-AVERAGE(OFFSET($H$3,0,0,'Données projet'!$E$11+1,1))</f>
        <v>273.84349636755343</v>
      </c>
      <c r="BJ166" s="59">
        <f t="shared" si="146"/>
        <v>268.10688874775451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10.042417303554981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10.042417303554981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401</v>
      </c>
      <c r="BZ166" s="13">
        <f>BY166*VLOOKUP('Données projet'!$B$12,Paramètres!$A$1:$I$89,3,0)*VLOOKUP('Données projet'!$B$12,Paramètres!$A$1:$I$89,5,0)</f>
        <v>250.22399999999999</v>
      </c>
      <c r="CA166" s="13">
        <f t="shared" si="170"/>
        <v>60.633904580527918</v>
      </c>
      <c r="CB166" s="20">
        <f t="shared" si="171"/>
        <v>541.41085047775289</v>
      </c>
      <c r="CC166" s="59">
        <f t="shared" si="119"/>
        <v>834.74418381108626</v>
      </c>
      <c r="CD166" s="59">
        <f ca="1">AVERAGE(OFFSET($CC$3,0,0,'Données projet'!$E$12+1,1))-AVERAGE(OFFSET($H$3,0,0,'Données projet'!$E$12+1,1))</f>
        <v>269.77739619445515</v>
      </c>
      <c r="CE166" s="59">
        <f t="shared" si="148"/>
        <v>347.56964743629885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9.959046083380553</v>
      </c>
      <c r="CL166" s="21">
        <f>EXP(-LN(2)/25)*CL165+(1-EXP(-LN(2)/25))/(LN(2)/25)*Calculateur!CG166*Calculateur!CI166*VLOOKUP('Données projet'!$B$12,Paramètres!$A$1:$I$89,3,0)*0.475*44/12</f>
        <v>2.2966220776334794</v>
      </c>
      <c r="CM166" s="21">
        <f>EXP(-LN(2)/2)*CM165+(1-EXP(-LN(2)/2))/(LN(2)/2)*CG166*CJ166*VLOOKUP('Données projet'!$B$12,Paramètres!$A$1:$I$89,3,0)*0.475*44/12</f>
        <v>2.3802795277801615E-22</v>
      </c>
      <c r="CN166" s="22">
        <f t="shared" si="172"/>
        <v>12.255668161014032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852.00000000000011</v>
      </c>
      <c r="O167" s="13">
        <f>N167*VLOOKUP('Données projet'!$B$9,Paramètres!$A$1:$I$89,3,0)*VLOOKUP('Données projet'!$B$9,Paramètres!$A$1:$I$89,5,0)</f>
        <v>420.88800000000009</v>
      </c>
      <c r="P167" s="13">
        <f t="shared" si="141"/>
        <v>95.998759891259041</v>
      </c>
      <c r="Q167" s="20">
        <f t="shared" si="162"/>
        <v>900.24444014394294</v>
      </c>
      <c r="R167" s="59">
        <f t="shared" si="109"/>
        <v>1193.5777734772762</v>
      </c>
      <c r="S167" s="59">
        <f ca="1">AVERAGE(OFFSET($R$3,0,0,'Données projet'!$E$9+1,1))-AVERAGE(OFFSET($H$3,0,0,'Données projet'!$E$9+1,1))</f>
        <v>434.08297999735811</v>
      </c>
      <c r="T167" s="59">
        <f t="shared" si="142"/>
        <v>371.04090283546122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30.12791290115856</v>
      </c>
      <c r="AA167" s="21">
        <f>EXP(-LN(2)/25)*AA166+(1-EXP(-LN(2)/25))/(LN(2)/25)*Calculateur!V167*Calculateur!X167*VLOOKUP('Données projet'!$B$9,Paramètres!$A$1:$I$89,3,0)*0.475*44/12</f>
        <v>1.2590530729402101</v>
      </c>
      <c r="AB167" s="21">
        <f>EXP(-LN(2)/2)*AB166+(1-EXP(-LN(2)/2))/(LN(2)/2)*V167*Y167*VLOOKUP('Données projet'!$B$9,Paramètres!$A$1:$I$89,3,0)*0.475*44/12</f>
        <v>5.0929716173663358E-21</v>
      </c>
      <c r="AC167" s="22">
        <f t="shared" si="163"/>
        <v>31.386965974098771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292.78079999999977</v>
      </c>
      <c r="AK167" s="13">
        <f t="shared" si="164"/>
        <v>69.660903052386217</v>
      </c>
      <c r="AL167" s="20">
        <f t="shared" si="165"/>
        <v>631.25263281623893</v>
      </c>
      <c r="AM167" s="59">
        <f t="shared" si="113"/>
        <v>924.58596614957219</v>
      </c>
      <c r="AN167" s="59">
        <f ca="1">AVERAGE(OFFSET($AM$3,0,0,'Données projet'!$E$10+1,1))-AVERAGE(OFFSET($H$3,0,0,'Données projet'!$E$10+1,1))</f>
        <v>331.52724290297675</v>
      </c>
      <c r="AO167" s="59">
        <f t="shared" si="144"/>
        <v>322.79102610158054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11.677210997688428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11.677210997688428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246.8543999999998</v>
      </c>
      <c r="BF167" s="13">
        <f t="shared" si="167"/>
        <v>59.911862368716115</v>
      </c>
      <c r="BG167" s="20">
        <f t="shared" si="168"/>
        <v>534.28457362551353</v>
      </c>
      <c r="BH167" s="59">
        <f t="shared" si="116"/>
        <v>827.61790695884679</v>
      </c>
      <c r="BI167" s="59">
        <f ca="1">AVERAGE(OFFSET($BH$3,0,0,'Données projet'!$E$11+1,1))-AVERAGE(OFFSET($H$3,0,0,'Données projet'!$E$11+1,1))</f>
        <v>273.84349636755343</v>
      </c>
      <c r="BJ167" s="59">
        <f t="shared" si="146"/>
        <v>268.10688874775451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9.8454916255020031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9.8454916255020031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401</v>
      </c>
      <c r="BZ167" s="13">
        <f>BY167*VLOOKUP('Données projet'!$B$12,Paramètres!$A$1:$I$89,3,0)*VLOOKUP('Données projet'!$B$12,Paramètres!$A$1:$I$89,5,0)</f>
        <v>250.22399999999999</v>
      </c>
      <c r="CA167" s="13">
        <f t="shared" si="170"/>
        <v>60.633904580527918</v>
      </c>
      <c r="CB167" s="20">
        <f t="shared" si="171"/>
        <v>541.41085047775289</v>
      </c>
      <c r="CC167" s="59">
        <f t="shared" si="119"/>
        <v>834.74418381108626</v>
      </c>
      <c r="CD167" s="59">
        <f ca="1">AVERAGE(OFFSET($CC$3,0,0,'Données projet'!$E$12+1,1))-AVERAGE(OFFSET($H$3,0,0,'Données projet'!$E$12+1,1))</f>
        <v>269.77739619445515</v>
      </c>
      <c r="CE167" s="59">
        <f t="shared" si="148"/>
        <v>347.56964743629885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9.7637552641037715</v>
      </c>
      <c r="CL167" s="21">
        <f>EXP(-LN(2)/25)*CL166+(1-EXP(-LN(2)/25))/(LN(2)/25)*Calculateur!CG167*Calculateur!CI167*VLOOKUP('Données projet'!$B$12,Paramètres!$A$1:$I$89,3,0)*0.475*44/12</f>
        <v>2.233820826146486</v>
      </c>
      <c r="CM167" s="21">
        <f>EXP(-LN(2)/2)*CM166+(1-EXP(-LN(2)/2))/(LN(2)/2)*CG167*CJ167*VLOOKUP('Données projet'!$B$12,Paramètres!$A$1:$I$89,3,0)*0.475*44/12</f>
        <v>1.6831117952128653E-22</v>
      </c>
      <c r="CN167" s="22">
        <f t="shared" si="172"/>
        <v>11.997576090250258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852.00000000000011</v>
      </c>
      <c r="O168" s="13">
        <f>N168*VLOOKUP('Données projet'!$B$9,Paramètres!$A$1:$I$89,3,0)*VLOOKUP('Données projet'!$B$9,Paramètres!$A$1:$I$89,5,0)</f>
        <v>420.88800000000009</v>
      </c>
      <c r="P168" s="13">
        <f t="shared" si="141"/>
        <v>95.998759891259041</v>
      </c>
      <c r="Q168" s="20">
        <f t="shared" si="162"/>
        <v>900.24444014394294</v>
      </c>
      <c r="R168" s="59">
        <f t="shared" si="109"/>
        <v>1193.5777734772762</v>
      </c>
      <c r="S168" s="59">
        <f ca="1">AVERAGE(OFFSET($R$3,0,0,'Données projet'!$E$9+1,1))-AVERAGE(OFFSET($H$3,0,0,'Données projet'!$E$9+1,1))</f>
        <v>434.08297999735811</v>
      </c>
      <c r="T168" s="59">
        <f t="shared" si="142"/>
        <v>371.04090283546122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29.53712290537921</v>
      </c>
      <c r="AA168" s="21">
        <f>EXP(-LN(2)/25)*AA167+(1-EXP(-LN(2)/25))/(LN(2)/25)*Calculateur!V168*Calculateur!X168*VLOOKUP('Données projet'!$B$9,Paramètres!$A$1:$I$89,3,0)*0.475*44/12</f>
        <v>1.2246242004499366</v>
      </c>
      <c r="AB168" s="21">
        <f>EXP(-LN(2)/2)*AB167+(1-EXP(-LN(2)/2))/(LN(2)/2)*V168*Y168*VLOOKUP('Données projet'!$B$9,Paramètres!$A$1:$I$89,3,0)*0.475*44/12</f>
        <v>3.6012747670303545E-21</v>
      </c>
      <c r="AC168" s="22">
        <f t="shared" si="163"/>
        <v>30.761747105829148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292.78079999999977</v>
      </c>
      <c r="AK168" s="13">
        <f t="shared" si="164"/>
        <v>69.660903052386217</v>
      </c>
      <c r="AL168" s="20">
        <f t="shared" si="165"/>
        <v>631.25263281623893</v>
      </c>
      <c r="AM168" s="59">
        <f t="shared" si="113"/>
        <v>924.58596614957219</v>
      </c>
      <c r="AN168" s="59">
        <f ca="1">AVERAGE(OFFSET($AM$3,0,0,'Données projet'!$E$10+1,1))-AVERAGE(OFFSET($H$3,0,0,'Données projet'!$E$10+1,1))</f>
        <v>331.52724290297675</v>
      </c>
      <c r="AO168" s="59">
        <f t="shared" si="144"/>
        <v>322.79102610158054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11.44822801241919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11.44822801241919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246.8543999999998</v>
      </c>
      <c r="BF168" s="13">
        <f t="shared" si="167"/>
        <v>59.911862368716115</v>
      </c>
      <c r="BG168" s="20">
        <f t="shared" si="168"/>
        <v>534.28457362551353</v>
      </c>
      <c r="BH168" s="59">
        <f t="shared" si="116"/>
        <v>827.61790695884679</v>
      </c>
      <c r="BI168" s="59">
        <f ca="1">AVERAGE(OFFSET($BH$3,0,0,'Données projet'!$E$11+1,1))-AVERAGE(OFFSET($H$3,0,0,'Données projet'!$E$11+1,1))</f>
        <v>273.84349636755343</v>
      </c>
      <c r="BJ168" s="59">
        <f t="shared" si="146"/>
        <v>268.10688874775451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9.6524275398828401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9.6524275398828401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401</v>
      </c>
      <c r="BZ168" s="13">
        <f>BY168*VLOOKUP('Données projet'!$B$12,Paramètres!$A$1:$I$89,3,0)*VLOOKUP('Données projet'!$B$12,Paramètres!$A$1:$I$89,5,0)</f>
        <v>250.22399999999999</v>
      </c>
      <c r="CA168" s="13">
        <f t="shared" si="170"/>
        <v>60.633904580527918</v>
      </c>
      <c r="CB168" s="20">
        <f t="shared" si="171"/>
        <v>541.41085047775289</v>
      </c>
      <c r="CC168" s="59">
        <f t="shared" si="119"/>
        <v>834.74418381108626</v>
      </c>
      <c r="CD168" s="59">
        <f ca="1">AVERAGE(OFFSET($CC$3,0,0,'Données projet'!$E$12+1,1))-AVERAGE(OFFSET($H$3,0,0,'Données projet'!$E$12+1,1))</f>
        <v>269.77739619445515</v>
      </c>
      <c r="CE168" s="59">
        <f t="shared" si="148"/>
        <v>347.56964743629885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9.5722939786773704</v>
      </c>
      <c r="CL168" s="21">
        <f>EXP(-LN(2)/25)*CL167+(1-EXP(-LN(2)/25))/(LN(2)/25)*Calculateur!CG168*Calculateur!CI168*VLOOKUP('Données projet'!$B$12,Paramètres!$A$1:$I$89,3,0)*0.475*44/12</f>
        <v>2.1727368781839784</v>
      </c>
      <c r="CM168" s="21">
        <f>EXP(-LN(2)/2)*CM167+(1-EXP(-LN(2)/2))/(LN(2)/2)*CG168*CJ168*VLOOKUP('Données projet'!$B$12,Paramètres!$A$1:$I$89,3,0)*0.475*44/12</f>
        <v>1.1901397638900807E-22</v>
      </c>
      <c r="CN168" s="22">
        <f t="shared" si="172"/>
        <v>11.745030856861348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852.00000000000011</v>
      </c>
      <c r="O169" s="13">
        <f>N169*VLOOKUP('Données projet'!$B$9,Paramètres!$A$1:$I$89,3,0)*VLOOKUP('Données projet'!$B$9,Paramètres!$A$1:$I$89,5,0)</f>
        <v>420.88800000000009</v>
      </c>
      <c r="P169" s="13">
        <f t="shared" si="141"/>
        <v>95.998759891259041</v>
      </c>
      <c r="Q169" s="20">
        <f t="shared" si="162"/>
        <v>900.24444014394294</v>
      </c>
      <c r="R169" s="59">
        <f t="shared" si="109"/>
        <v>1193.5777734772762</v>
      </c>
      <c r="S169" s="59">
        <f ca="1">AVERAGE(OFFSET($R$3,0,0,'Données projet'!$E$9+1,1))-AVERAGE(OFFSET($H$3,0,0,'Données projet'!$E$9+1,1))</f>
        <v>434.08297999735811</v>
      </c>
      <c r="T169" s="59">
        <f t="shared" si="142"/>
        <v>371.04090283546122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28.957917941070775</v>
      </c>
      <c r="AA169" s="21">
        <f>EXP(-LN(2)/25)*AA168+(1-EXP(-LN(2)/25))/(LN(2)/25)*Calculateur!V169*Calculateur!X169*VLOOKUP('Données projet'!$B$9,Paramètres!$A$1:$I$89,3,0)*0.475*44/12</f>
        <v>1.1911367872884453</v>
      </c>
      <c r="AB169" s="21">
        <f>EXP(-LN(2)/2)*AB168+(1-EXP(-LN(2)/2))/(LN(2)/2)*V169*Y169*VLOOKUP('Données projet'!$B$9,Paramètres!$A$1:$I$89,3,0)*0.475*44/12</f>
        <v>2.5464858086831679E-21</v>
      </c>
      <c r="AC169" s="22">
        <f t="shared" si="163"/>
        <v>30.149054728359221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292.78079999999977</v>
      </c>
      <c r="AK169" s="13">
        <f t="shared" si="164"/>
        <v>69.660903052386217</v>
      </c>
      <c r="AL169" s="20">
        <f t="shared" si="165"/>
        <v>631.25263281623893</v>
      </c>
      <c r="AM169" s="59">
        <f t="shared" si="113"/>
        <v>924.58596614957219</v>
      </c>
      <c r="AN169" s="59">
        <f ca="1">AVERAGE(OFFSET($AM$3,0,0,'Données projet'!$E$10+1,1))-AVERAGE(OFFSET($H$3,0,0,'Données projet'!$E$10+1,1))</f>
        <v>331.52724290297675</v>
      </c>
      <c r="AO169" s="59">
        <f t="shared" si="144"/>
        <v>322.79102610158054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11.223735243825249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11.223735243825249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246.8543999999998</v>
      </c>
      <c r="BF169" s="13">
        <f t="shared" si="167"/>
        <v>59.911862368716115</v>
      </c>
      <c r="BG169" s="20">
        <f t="shared" si="168"/>
        <v>534.28457362551353</v>
      </c>
      <c r="BH169" s="59">
        <f t="shared" si="116"/>
        <v>827.61790695884679</v>
      </c>
      <c r="BI169" s="59">
        <f ca="1">AVERAGE(OFFSET($BH$3,0,0,'Données projet'!$E$11+1,1))-AVERAGE(OFFSET($H$3,0,0,'Données projet'!$E$11+1,1))</f>
        <v>273.84349636755343</v>
      </c>
      <c r="BJ169" s="59">
        <f t="shared" si="146"/>
        <v>268.10688874775451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9.4631493232252044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9.4631493232252044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401</v>
      </c>
      <c r="BZ169" s="13">
        <f>BY169*VLOOKUP('Données projet'!$B$12,Paramètres!$A$1:$I$89,3,0)*VLOOKUP('Données projet'!$B$12,Paramètres!$A$1:$I$89,5,0)</f>
        <v>250.22399999999999</v>
      </c>
      <c r="CA169" s="13">
        <f t="shared" si="170"/>
        <v>60.633904580527918</v>
      </c>
      <c r="CB169" s="20">
        <f t="shared" si="171"/>
        <v>541.41085047775289</v>
      </c>
      <c r="CC169" s="59">
        <f t="shared" si="119"/>
        <v>834.74418381108626</v>
      </c>
      <c r="CD169" s="59">
        <f ca="1">AVERAGE(OFFSET($CC$3,0,0,'Données projet'!$E$12+1,1))-AVERAGE(OFFSET($H$3,0,0,'Données projet'!$E$12+1,1))</f>
        <v>269.77739619445515</v>
      </c>
      <c r="CE169" s="59">
        <f t="shared" si="148"/>
        <v>347.56964743629885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9.3845871322783285</v>
      </c>
      <c r="CL169" s="21">
        <f>EXP(-LN(2)/25)*CL168+(1-EXP(-LN(2)/25))/(LN(2)/25)*Calculateur!CG169*Calculateur!CI169*VLOOKUP('Données projet'!$B$12,Paramètres!$A$1:$I$89,3,0)*0.475*44/12</f>
        <v>2.1133232739907708</v>
      </c>
      <c r="CM169" s="21">
        <f>EXP(-LN(2)/2)*CM168+(1-EXP(-LN(2)/2))/(LN(2)/2)*CG169*CJ169*VLOOKUP('Données projet'!$B$12,Paramètres!$A$1:$I$89,3,0)*0.475*44/12</f>
        <v>8.4155589760643267E-23</v>
      </c>
      <c r="CN169" s="22">
        <f t="shared" si="172"/>
        <v>11.497910406269099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852.00000000000011</v>
      </c>
      <c r="O170" s="13">
        <f>N170*VLOOKUP('Données projet'!$B$9,Paramètres!$A$1:$I$89,3,0)*VLOOKUP('Données projet'!$B$9,Paramètres!$A$1:$I$89,5,0)</f>
        <v>420.88800000000009</v>
      </c>
      <c r="P170" s="13">
        <f t="shared" si="141"/>
        <v>95.998759891259041</v>
      </c>
      <c r="Q170" s="20">
        <f t="shared" si="162"/>
        <v>900.24444014394294</v>
      </c>
      <c r="R170" s="59">
        <f t="shared" si="109"/>
        <v>1193.5777734772762</v>
      </c>
      <c r="S170" s="59">
        <f ca="1">AVERAGE(OFFSET($R$3,0,0,'Données projet'!$E$9+1,1))-AVERAGE(OFFSET($H$3,0,0,'Données projet'!$E$9+1,1))</f>
        <v>434.08297999735811</v>
      </c>
      <c r="T170" s="59">
        <f t="shared" si="142"/>
        <v>371.04090283546122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28.390070832832286</v>
      </c>
      <c r="AA170" s="21">
        <f>EXP(-LN(2)/25)*AA169+(1-EXP(-LN(2)/25))/(LN(2)/25)*Calculateur!V170*Calculateur!X170*VLOOKUP('Données projet'!$B$9,Paramètres!$A$1:$I$89,3,0)*0.475*44/12</f>
        <v>1.1585650892008814</v>
      </c>
      <c r="AB170" s="21">
        <f>EXP(-LN(2)/2)*AB169+(1-EXP(-LN(2)/2))/(LN(2)/2)*V170*Y170*VLOOKUP('Données projet'!$B$9,Paramètres!$A$1:$I$89,3,0)*0.475*44/12</f>
        <v>1.8006373835151773E-21</v>
      </c>
      <c r="AC170" s="22">
        <f t="shared" si="163"/>
        <v>29.548635922033167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292.78079999999977</v>
      </c>
      <c r="AK170" s="13">
        <f t="shared" si="164"/>
        <v>69.660903052386217</v>
      </c>
      <c r="AL170" s="20">
        <f t="shared" si="165"/>
        <v>631.25263281623893</v>
      </c>
      <c r="AM170" s="59">
        <f t="shared" si="113"/>
        <v>924.58596614957219</v>
      </c>
      <c r="AN170" s="59">
        <f ca="1">AVERAGE(OFFSET($AM$3,0,0,'Données projet'!$E$10+1,1))-AVERAGE(OFFSET($H$3,0,0,'Données projet'!$E$10+1,1))</f>
        <v>331.52724290297675</v>
      </c>
      <c r="AO170" s="59">
        <f t="shared" si="144"/>
        <v>322.79102610158054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11.003644641496368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11.003644641496368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246.8543999999998</v>
      </c>
      <c r="BF170" s="13">
        <f t="shared" si="167"/>
        <v>59.911862368716115</v>
      </c>
      <c r="BG170" s="20">
        <f t="shared" si="168"/>
        <v>534.28457362551353</v>
      </c>
      <c r="BH170" s="59">
        <f t="shared" si="116"/>
        <v>827.61790695884679</v>
      </c>
      <c r="BI170" s="59">
        <f ca="1">AVERAGE(OFFSET($BH$3,0,0,'Données projet'!$E$11+1,1))-AVERAGE(OFFSET($H$3,0,0,'Données projet'!$E$11+1,1))</f>
        <v>273.84349636755343</v>
      </c>
      <c r="BJ170" s="59">
        <f t="shared" si="146"/>
        <v>268.10688874775451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9.2775827369479131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9.2775827369479131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401</v>
      </c>
      <c r="BZ170" s="13">
        <f>BY170*VLOOKUP('Données projet'!$B$12,Paramètres!$A$1:$I$89,3,0)*VLOOKUP('Données projet'!$B$12,Paramètres!$A$1:$I$89,5,0)</f>
        <v>250.22399999999999</v>
      </c>
      <c r="CA170" s="13">
        <f t="shared" si="170"/>
        <v>60.633904580527918</v>
      </c>
      <c r="CB170" s="20">
        <f t="shared" si="171"/>
        <v>541.41085047775289</v>
      </c>
      <c r="CC170" s="59">
        <f t="shared" si="119"/>
        <v>834.74418381108626</v>
      </c>
      <c r="CD170" s="59">
        <f ca="1">AVERAGE(OFFSET($CC$3,0,0,'Données projet'!$E$12+1,1))-AVERAGE(OFFSET($H$3,0,0,'Données projet'!$E$12+1,1))</f>
        <v>269.77739619445515</v>
      </c>
      <c r="CE170" s="59">
        <f t="shared" si="148"/>
        <v>347.56964743629885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9.2005611026472991</v>
      </c>
      <c r="CL170" s="21">
        <f>EXP(-LN(2)/25)*CL169+(1-EXP(-LN(2)/25))/(LN(2)/25)*Calculateur!CG170*Calculateur!CI170*VLOOKUP('Données projet'!$B$12,Paramètres!$A$1:$I$89,3,0)*0.475*44/12</f>
        <v>2.0555343379286524</v>
      </c>
      <c r="CM170" s="21">
        <f>EXP(-LN(2)/2)*CM169+(1-EXP(-LN(2)/2))/(LN(2)/2)*CG170*CJ170*VLOOKUP('Données projet'!$B$12,Paramètres!$A$1:$I$89,3,0)*0.475*44/12</f>
        <v>5.9506988194504036E-23</v>
      </c>
      <c r="CN170" s="22">
        <f t="shared" si="172"/>
        <v>11.256095440575951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852.00000000000011</v>
      </c>
      <c r="O171" s="13">
        <f>N171*VLOOKUP('Données projet'!$B$9,Paramètres!$A$1:$I$89,3,0)*VLOOKUP('Données projet'!$B$9,Paramètres!$A$1:$I$89,5,0)</f>
        <v>420.88800000000009</v>
      </c>
      <c r="P171" s="13">
        <f t="shared" si="141"/>
        <v>95.998759891259041</v>
      </c>
      <c r="Q171" s="20">
        <f t="shared" si="162"/>
        <v>900.24444014394294</v>
      </c>
      <c r="R171" s="59">
        <f t="shared" si="109"/>
        <v>1193.5777734772762</v>
      </c>
      <c r="S171" s="59">
        <f ca="1">AVERAGE(OFFSET($R$3,0,0,'Données projet'!$E$9+1,1))-AVERAGE(OFFSET($H$3,0,0,'Données projet'!$E$9+1,1))</f>
        <v>434.08297999735811</v>
      </c>
      <c r="T171" s="59">
        <f t="shared" si="142"/>
        <v>371.04090283546122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27.833358860033819</v>
      </c>
      <c r="AA171" s="21">
        <f>EXP(-LN(2)/25)*AA170+(1-EXP(-LN(2)/25))/(LN(2)/25)*Calculateur!V171*Calculateur!X171*VLOOKUP('Données projet'!$B$9,Paramètres!$A$1:$I$89,3,0)*0.475*44/12</f>
        <v>1.1268840659103931</v>
      </c>
      <c r="AB171" s="21">
        <f>EXP(-LN(2)/2)*AB170+(1-EXP(-LN(2)/2))/(LN(2)/2)*V171*Y171*VLOOKUP('Données projet'!$B$9,Paramètres!$A$1:$I$89,3,0)*0.475*44/12</f>
        <v>1.273242904341584E-21</v>
      </c>
      <c r="AC171" s="22">
        <f t="shared" si="163"/>
        <v>28.960242925944211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292.78079999999977</v>
      </c>
      <c r="AK171" s="13">
        <f t="shared" si="164"/>
        <v>69.660903052386217</v>
      </c>
      <c r="AL171" s="20">
        <f t="shared" si="165"/>
        <v>631.25263281623893</v>
      </c>
      <c r="AM171" s="59">
        <f t="shared" si="113"/>
        <v>924.58596614957219</v>
      </c>
      <c r="AN171" s="59">
        <f ca="1">AVERAGE(OFFSET($AM$3,0,0,'Données projet'!$E$10+1,1))-AVERAGE(OFFSET($H$3,0,0,'Données projet'!$E$10+1,1))</f>
        <v>331.52724290297675</v>
      </c>
      <c r="AO171" s="59">
        <f t="shared" si="144"/>
        <v>322.79102610158054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10.787869881637144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10.787869881637144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246.8543999999998</v>
      </c>
      <c r="BF171" s="13">
        <f t="shared" si="167"/>
        <v>59.911862368716115</v>
      </c>
      <c r="BG171" s="20">
        <f t="shared" si="168"/>
        <v>534.28457362551353</v>
      </c>
      <c r="BH171" s="59">
        <f t="shared" si="116"/>
        <v>827.61790695884679</v>
      </c>
      <c r="BI171" s="59">
        <f ca="1">AVERAGE(OFFSET($BH$3,0,0,'Données projet'!$E$11+1,1))-AVERAGE(OFFSET($H$3,0,0,'Données projet'!$E$11+1,1))</f>
        <v>273.84349636755343</v>
      </c>
      <c r="BJ171" s="59">
        <f t="shared" si="146"/>
        <v>268.10688874775451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9.0956549982430772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9.0956549982430772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401</v>
      </c>
      <c r="BZ171" s="13">
        <f>BY171*VLOOKUP('Données projet'!$B$12,Paramètres!$A$1:$I$89,3,0)*VLOOKUP('Données projet'!$B$12,Paramètres!$A$1:$I$89,5,0)</f>
        <v>250.22399999999999</v>
      </c>
      <c r="CA171" s="13">
        <f t="shared" si="170"/>
        <v>60.633904580527918</v>
      </c>
      <c r="CB171" s="20">
        <f t="shared" si="171"/>
        <v>541.41085047775289</v>
      </c>
      <c r="CC171" s="59">
        <f t="shared" si="119"/>
        <v>834.74418381108626</v>
      </c>
      <c r="CD171" s="59">
        <f ca="1">AVERAGE(OFFSET($CC$3,0,0,'Données projet'!$E$12+1,1))-AVERAGE(OFFSET($H$3,0,0,'Données projet'!$E$12+1,1))</f>
        <v>269.77739619445515</v>
      </c>
      <c r="CE171" s="59">
        <f t="shared" si="148"/>
        <v>347.56964743629885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9.0201437112125404</v>
      </c>
      <c r="CL171" s="21">
        <f>EXP(-LN(2)/25)*CL170+(1-EXP(-LN(2)/25))/(LN(2)/25)*Calculateur!CG171*Calculateur!CI171*VLOOKUP('Données projet'!$B$12,Paramètres!$A$1:$I$89,3,0)*0.475*44/12</f>
        <v>1.9993256433621405</v>
      </c>
      <c r="CM171" s="21">
        <f>EXP(-LN(2)/2)*CM170+(1-EXP(-LN(2)/2))/(LN(2)/2)*CG171*CJ171*VLOOKUP('Données projet'!$B$12,Paramètres!$A$1:$I$89,3,0)*0.475*44/12</f>
        <v>4.2077794880321633E-23</v>
      </c>
      <c r="CN171" s="22">
        <f t="shared" si="172"/>
        <v>11.019469354574682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852.00000000000011</v>
      </c>
      <c r="O172" s="13">
        <f>N172*VLOOKUP('Données projet'!$B$9,Paramètres!$A$1:$I$89,3,0)*VLOOKUP('Données projet'!$B$9,Paramètres!$A$1:$I$89,5,0)</f>
        <v>420.88800000000009</v>
      </c>
      <c r="P172" s="13">
        <f t="shared" si="141"/>
        <v>95.998759891259041</v>
      </c>
      <c r="Q172" s="20">
        <f t="shared" si="162"/>
        <v>900.24444014394294</v>
      </c>
      <c r="R172" s="59">
        <f t="shared" si="109"/>
        <v>1193.5777734772762</v>
      </c>
      <c r="S172" s="59">
        <f ca="1">AVERAGE(OFFSET($R$3,0,0,'Données projet'!$E$9+1,1))-AVERAGE(OFFSET($H$3,0,0,'Données projet'!$E$9+1,1))</f>
        <v>434.08297999735811</v>
      </c>
      <c r="T172" s="59">
        <f t="shared" si="142"/>
        <v>371.04090283546122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27.287563669461154</v>
      </c>
      <c r="AA172" s="21">
        <f>EXP(-LN(2)/25)*AA171+(1-EXP(-LN(2)/25))/(LN(2)/25)*Calculateur!V172*Calculateur!X172*VLOOKUP('Données projet'!$B$9,Paramètres!$A$1:$I$89,3,0)*0.475*44/12</f>
        <v>1.0960693618678159</v>
      </c>
      <c r="AB172" s="21">
        <f>EXP(-LN(2)/2)*AB171+(1-EXP(-LN(2)/2))/(LN(2)/2)*V172*Y172*VLOOKUP('Données projet'!$B$9,Paramètres!$A$1:$I$89,3,0)*0.475*44/12</f>
        <v>9.0031869175758864E-22</v>
      </c>
      <c r="AC172" s="22">
        <f t="shared" si="163"/>
        <v>28.383633031328969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292.78079999999977</v>
      </c>
      <c r="AK172" s="13">
        <f t="shared" si="164"/>
        <v>69.660903052386217</v>
      </c>
      <c r="AL172" s="20">
        <f t="shared" si="165"/>
        <v>631.25263281623893</v>
      </c>
      <c r="AM172" s="59">
        <f t="shared" si="113"/>
        <v>924.58596614957219</v>
      </c>
      <c r="AN172" s="59">
        <f ca="1">AVERAGE(OFFSET($AM$3,0,0,'Données projet'!$E$10+1,1))-AVERAGE(OFFSET($H$3,0,0,'Données projet'!$E$10+1,1))</f>
        <v>331.52724290297675</v>
      </c>
      <c r="AO172" s="59">
        <f t="shared" si="144"/>
        <v>322.79102610158054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10.576326333209151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10.576326333209151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246.8543999999998</v>
      </c>
      <c r="BF172" s="13">
        <f t="shared" si="167"/>
        <v>59.911862368716115</v>
      </c>
      <c r="BG172" s="20">
        <f t="shared" si="168"/>
        <v>534.28457362551353</v>
      </c>
      <c r="BH172" s="59">
        <f t="shared" si="116"/>
        <v>827.61790695884679</v>
      </c>
      <c r="BI172" s="59">
        <f ca="1">AVERAGE(OFFSET($BH$3,0,0,'Données projet'!$E$11+1,1))-AVERAGE(OFFSET($H$3,0,0,'Données projet'!$E$11+1,1))</f>
        <v>273.84349636755343</v>
      </c>
      <c r="BJ172" s="59">
        <f t="shared" si="146"/>
        <v>268.10688874775451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8.9172947515292798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8.9172947515292798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401</v>
      </c>
      <c r="BZ172" s="13">
        <f>BY172*VLOOKUP('Données projet'!$B$12,Paramètres!$A$1:$I$89,3,0)*VLOOKUP('Données projet'!$B$12,Paramètres!$A$1:$I$89,5,0)</f>
        <v>250.22399999999999</v>
      </c>
      <c r="CA172" s="13">
        <f t="shared" si="170"/>
        <v>60.633904580527918</v>
      </c>
      <c r="CB172" s="20">
        <f t="shared" si="171"/>
        <v>541.41085047775289</v>
      </c>
      <c r="CC172" s="59">
        <f t="shared" si="119"/>
        <v>834.74418381108626</v>
      </c>
      <c r="CD172" s="59">
        <f ca="1">AVERAGE(OFFSET($CC$3,0,0,'Données projet'!$E$12+1,1))-AVERAGE(OFFSET($H$3,0,0,'Données projet'!$E$12+1,1))</f>
        <v>269.77739619445515</v>
      </c>
      <c r="CE172" s="59">
        <f t="shared" si="148"/>
        <v>347.56964743629885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8.8432641947800743</v>
      </c>
      <c r="CL172" s="21">
        <f>EXP(-LN(2)/25)*CL171+(1-EXP(-LN(2)/25))/(LN(2)/25)*Calculateur!CG172*Calculateur!CI172*VLOOKUP('Données projet'!$B$12,Paramètres!$A$1:$I$89,3,0)*0.475*44/12</f>
        <v>1.9446539785044368</v>
      </c>
      <c r="CM172" s="21">
        <f>EXP(-LN(2)/2)*CM171+(1-EXP(-LN(2)/2))/(LN(2)/2)*CG172*CJ172*VLOOKUP('Données projet'!$B$12,Paramètres!$A$1:$I$89,3,0)*0.475*44/12</f>
        <v>2.9753494097252018E-23</v>
      </c>
      <c r="CN172" s="22">
        <f t="shared" si="172"/>
        <v>10.787918173284512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852.00000000000011</v>
      </c>
      <c r="O173" s="13">
        <f>N173*VLOOKUP('Données projet'!$B$9,Paramètres!$A$1:$I$89,3,0)*VLOOKUP('Données projet'!$B$9,Paramètres!$A$1:$I$89,5,0)</f>
        <v>420.88800000000009</v>
      </c>
      <c r="P173" s="13">
        <f t="shared" si="141"/>
        <v>95.998759891259041</v>
      </c>
      <c r="Q173" s="20">
        <f t="shared" si="162"/>
        <v>900.24444014394294</v>
      </c>
      <c r="R173" s="59">
        <f t="shared" si="109"/>
        <v>1193.5777734772762</v>
      </c>
      <c r="S173" s="59">
        <f ca="1">AVERAGE(OFFSET($R$3,0,0,'Données projet'!$E$9+1,1))-AVERAGE(OFFSET($H$3,0,0,'Données projet'!$E$9+1,1))</f>
        <v>434.08297999735811</v>
      </c>
      <c r="T173" s="59">
        <f t="shared" si="142"/>
        <v>371.04090283546122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26.752471189673422</v>
      </c>
      <c r="AA173" s="21">
        <f>EXP(-LN(2)/25)*AA172+(1-EXP(-LN(2)/25))/(LN(2)/25)*Calculateur!V173*Calculateur!X173*VLOOKUP('Données projet'!$B$9,Paramètres!$A$1:$I$89,3,0)*0.475*44/12</f>
        <v>1.0660972875277579</v>
      </c>
      <c r="AB173" s="21">
        <f>EXP(-LN(2)/2)*AB172+(1-EXP(-LN(2)/2))/(LN(2)/2)*V173*Y173*VLOOKUP('Données projet'!$B$9,Paramètres!$A$1:$I$89,3,0)*0.475*44/12</f>
        <v>6.3662145217079198E-22</v>
      </c>
      <c r="AC173" s="22">
        <f t="shared" si="163"/>
        <v>27.818568477201179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292.78079999999977</v>
      </c>
      <c r="AK173" s="13">
        <f t="shared" si="164"/>
        <v>69.660903052386217</v>
      </c>
      <c r="AL173" s="20">
        <f t="shared" si="165"/>
        <v>631.25263281623893</v>
      </c>
      <c r="AM173" s="59">
        <f t="shared" si="113"/>
        <v>924.58596614957219</v>
      </c>
      <c r="AN173" s="59">
        <f ca="1">AVERAGE(OFFSET($AM$3,0,0,'Données projet'!$E$10+1,1))-AVERAGE(OFFSET($H$3,0,0,'Données projet'!$E$10+1,1))</f>
        <v>331.52724290297675</v>
      </c>
      <c r="AO173" s="59">
        <f t="shared" si="144"/>
        <v>322.79102610158054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10.368931024737007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10.368931024737007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246.8543999999998</v>
      </c>
      <c r="BF173" s="13">
        <f t="shared" si="167"/>
        <v>59.911862368716115</v>
      </c>
      <c r="BG173" s="20">
        <f t="shared" si="168"/>
        <v>534.28457362551353</v>
      </c>
      <c r="BH173" s="59">
        <f t="shared" si="116"/>
        <v>827.61790695884679</v>
      </c>
      <c r="BI173" s="59">
        <f ca="1">AVERAGE(OFFSET($BH$3,0,0,'Données projet'!$E$11+1,1))-AVERAGE(OFFSET($H$3,0,0,'Données projet'!$E$11+1,1))</f>
        <v>273.84349636755343</v>
      </c>
      <c r="BJ173" s="59">
        <f t="shared" si="146"/>
        <v>268.10688874775451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8.7424320404645304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8.7424320404645304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401</v>
      </c>
      <c r="BZ173" s="13">
        <f>BY173*VLOOKUP('Données projet'!$B$12,Paramètres!$A$1:$I$89,3,0)*VLOOKUP('Données projet'!$B$12,Paramètres!$A$1:$I$89,5,0)</f>
        <v>250.22399999999999</v>
      </c>
      <c r="CA173" s="13">
        <f t="shared" si="170"/>
        <v>60.633904580527918</v>
      </c>
      <c r="CB173" s="20">
        <f t="shared" si="171"/>
        <v>541.41085047775289</v>
      </c>
      <c r="CC173" s="59">
        <f t="shared" si="119"/>
        <v>834.74418381108626</v>
      </c>
      <c r="CD173" s="59">
        <f ca="1">AVERAGE(OFFSET($CC$3,0,0,'Données projet'!$E$12+1,1))-AVERAGE(OFFSET($H$3,0,0,'Données projet'!$E$12+1,1))</f>
        <v>269.77739619445515</v>
      </c>
      <c r="CE173" s="59">
        <f t="shared" si="148"/>
        <v>347.56964743629885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8.6698531777789967</v>
      </c>
      <c r="CL173" s="21">
        <f>EXP(-LN(2)/25)*CL172+(1-EXP(-LN(2)/25))/(LN(2)/25)*Calculateur!CG173*Calculateur!CI173*VLOOKUP('Données projet'!$B$12,Paramètres!$A$1:$I$89,3,0)*0.475*44/12</f>
        <v>1.8914773131973248</v>
      </c>
      <c r="CM173" s="21">
        <f>EXP(-LN(2)/2)*CM172+(1-EXP(-LN(2)/2))/(LN(2)/2)*CG173*CJ173*VLOOKUP('Données projet'!$B$12,Paramètres!$A$1:$I$89,3,0)*0.475*44/12</f>
        <v>2.1038897440160817E-23</v>
      </c>
      <c r="CN173" s="22">
        <f t="shared" si="172"/>
        <v>10.561330490976321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852.00000000000011</v>
      </c>
      <c r="O174" s="13">
        <f>N174*VLOOKUP('Données projet'!$B$9,Paramètres!$A$1:$I$89,3,0)*VLOOKUP('Données projet'!$B$9,Paramètres!$A$1:$I$89,5,0)</f>
        <v>420.88800000000009</v>
      </c>
      <c r="P174" s="13">
        <f t="shared" si="141"/>
        <v>95.998759891259041</v>
      </c>
      <c r="Q174" s="20">
        <f t="shared" si="162"/>
        <v>900.24444014394294</v>
      </c>
      <c r="R174" s="59">
        <f t="shared" si="109"/>
        <v>1193.5777734772762</v>
      </c>
      <c r="S174" s="59">
        <f ca="1">AVERAGE(OFFSET($R$3,0,0,'Données projet'!$E$9+1,1))-AVERAGE(OFFSET($H$3,0,0,'Données projet'!$E$9+1,1))</f>
        <v>434.08297999735811</v>
      </c>
      <c r="T174" s="59">
        <f t="shared" si="142"/>
        <v>371.04090283546122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26.227871547040142</v>
      </c>
      <c r="AA174" s="21">
        <f>EXP(-LN(2)/25)*AA173+(1-EXP(-LN(2)/25))/(LN(2)/25)*Calculateur!V174*Calculateur!X174*VLOOKUP('Données projet'!$B$9,Paramètres!$A$1:$I$89,3,0)*0.475*44/12</f>
        <v>1.0369448011366915</v>
      </c>
      <c r="AB174" s="21">
        <f>EXP(-LN(2)/2)*AB173+(1-EXP(-LN(2)/2))/(LN(2)/2)*V174*Y174*VLOOKUP('Données projet'!$B$9,Paramètres!$A$1:$I$89,3,0)*0.475*44/12</f>
        <v>4.5015934587879432E-22</v>
      </c>
      <c r="AC174" s="22">
        <f t="shared" si="163"/>
        <v>27.264816348176833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292.78079999999977</v>
      </c>
      <c r="AK174" s="13">
        <f t="shared" si="164"/>
        <v>69.660903052386217</v>
      </c>
      <c r="AL174" s="20">
        <f t="shared" si="165"/>
        <v>631.25263281623893</v>
      </c>
      <c r="AM174" s="59">
        <f t="shared" si="113"/>
        <v>924.58596614957219</v>
      </c>
      <c r="AN174" s="59">
        <f ca="1">AVERAGE(OFFSET($AM$3,0,0,'Données projet'!$E$10+1,1))-AVERAGE(OFFSET($H$3,0,0,'Données projet'!$E$10+1,1))</f>
        <v>331.52724290297675</v>
      </c>
      <c r="AO174" s="59">
        <f t="shared" si="144"/>
        <v>322.79102610158054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10.165602611765355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10.165602611765355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246.8543999999998</v>
      </c>
      <c r="BF174" s="13">
        <f t="shared" si="167"/>
        <v>59.911862368716115</v>
      </c>
      <c r="BG174" s="20">
        <f t="shared" si="168"/>
        <v>534.28457362551353</v>
      </c>
      <c r="BH174" s="59">
        <f t="shared" si="116"/>
        <v>827.61790695884679</v>
      </c>
      <c r="BI174" s="59">
        <f ca="1">AVERAGE(OFFSET($BH$3,0,0,'Données projet'!$E$11+1,1))-AVERAGE(OFFSET($H$3,0,0,'Données projet'!$E$11+1,1))</f>
        <v>273.84349636755343</v>
      </c>
      <c r="BJ174" s="59">
        <f t="shared" si="146"/>
        <v>268.10688874775451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8.5709982805080394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8.5709982805080394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401</v>
      </c>
      <c r="BZ174" s="13">
        <f>BY174*VLOOKUP('Données projet'!$B$12,Paramètres!$A$1:$I$89,3,0)*VLOOKUP('Données projet'!$B$12,Paramètres!$A$1:$I$89,5,0)</f>
        <v>250.22399999999999</v>
      </c>
      <c r="CA174" s="13">
        <f t="shared" si="170"/>
        <v>60.633904580527918</v>
      </c>
      <c r="CB174" s="20">
        <f t="shared" si="171"/>
        <v>541.41085047775289</v>
      </c>
      <c r="CC174" s="59">
        <f t="shared" si="119"/>
        <v>834.74418381108626</v>
      </c>
      <c r="CD174" s="59">
        <f ca="1">AVERAGE(OFFSET($CC$3,0,0,'Données projet'!$E$12+1,1))-AVERAGE(OFFSET($H$3,0,0,'Données projet'!$E$12+1,1))</f>
        <v>269.77739619445515</v>
      </c>
      <c r="CE174" s="59">
        <f t="shared" si="148"/>
        <v>347.56964743629885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8.499842645051034</v>
      </c>
      <c r="CL174" s="21">
        <f>EXP(-LN(2)/25)*CL173+(1-EXP(-LN(2)/25))/(LN(2)/25)*Calculateur!CG174*Calculateur!CI174*VLOOKUP('Données projet'!$B$12,Paramètres!$A$1:$I$89,3,0)*0.475*44/12</f>
        <v>1.8397547665994751</v>
      </c>
      <c r="CM174" s="21">
        <f>EXP(-LN(2)/2)*CM173+(1-EXP(-LN(2)/2))/(LN(2)/2)*CG174*CJ174*VLOOKUP('Données projet'!$B$12,Paramètres!$A$1:$I$89,3,0)*0.475*44/12</f>
        <v>1.4876747048626009E-23</v>
      </c>
      <c r="CN174" s="22">
        <f t="shared" si="172"/>
        <v>10.339597411650509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852.00000000000011</v>
      </c>
      <c r="O175" s="13">
        <f>N175*VLOOKUP('Données projet'!$B$9,Paramètres!$A$1:$I$89,3,0)*VLOOKUP('Données projet'!$B$9,Paramètres!$A$1:$I$89,5,0)</f>
        <v>420.88800000000009</v>
      </c>
      <c r="P175" s="13">
        <f t="shared" si="141"/>
        <v>95.998759891259041</v>
      </c>
      <c r="Q175" s="20">
        <f t="shared" si="162"/>
        <v>900.24444014394294</v>
      </c>
      <c r="R175" s="59">
        <f t="shared" si="109"/>
        <v>1193.5777734772762</v>
      </c>
      <c r="S175" s="59">
        <f ca="1">AVERAGE(OFFSET($R$3,0,0,'Données projet'!$E$9+1,1))-AVERAGE(OFFSET($H$3,0,0,'Données projet'!$E$9+1,1))</f>
        <v>434.08297999735811</v>
      </c>
      <c r="T175" s="59">
        <f t="shared" si="142"/>
        <v>371.04090283546122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25.713558983424715</v>
      </c>
      <c r="AA175" s="21">
        <f>EXP(-LN(2)/25)*AA174+(1-EXP(-LN(2)/25))/(LN(2)/25)*Calculateur!V175*Calculateur!X175*VLOOKUP('Données projet'!$B$9,Paramètres!$A$1:$I$89,3,0)*0.475*44/12</f>
        <v>1.0085894910190516</v>
      </c>
      <c r="AB175" s="21">
        <f>EXP(-LN(2)/2)*AB174+(1-EXP(-LN(2)/2))/(LN(2)/2)*V175*Y175*VLOOKUP('Données projet'!$B$9,Paramètres!$A$1:$I$89,3,0)*0.475*44/12</f>
        <v>3.1831072608539599E-22</v>
      </c>
      <c r="AC175" s="22">
        <f t="shared" si="163"/>
        <v>26.722148474443767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292.78079999999977</v>
      </c>
      <c r="AK175" s="13">
        <f t="shared" si="164"/>
        <v>69.660903052386217</v>
      </c>
      <c r="AL175" s="20">
        <f t="shared" si="165"/>
        <v>631.25263281623893</v>
      </c>
      <c r="AM175" s="59">
        <f t="shared" si="113"/>
        <v>924.58596614957219</v>
      </c>
      <c r="AN175" s="59">
        <f ca="1">AVERAGE(OFFSET($AM$3,0,0,'Données projet'!$E$10+1,1))-AVERAGE(OFFSET($H$3,0,0,'Données projet'!$E$10+1,1))</f>
        <v>331.52724290297675</v>
      </c>
      <c r="AO175" s="59">
        <f t="shared" si="144"/>
        <v>322.79102610158054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9.9662613449539901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9.9662613449539901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246.8543999999998</v>
      </c>
      <c r="BF175" s="13">
        <f t="shared" si="167"/>
        <v>59.911862368716115</v>
      </c>
      <c r="BG175" s="20">
        <f t="shared" si="168"/>
        <v>534.28457362551353</v>
      </c>
      <c r="BH175" s="59">
        <f t="shared" si="116"/>
        <v>827.61790695884679</v>
      </c>
      <c r="BI175" s="59">
        <f ca="1">AVERAGE(OFFSET($BH$3,0,0,'Données projet'!$E$11+1,1))-AVERAGE(OFFSET($H$3,0,0,'Données projet'!$E$11+1,1))</f>
        <v>273.84349636755343</v>
      </c>
      <c r="BJ175" s="59">
        <f t="shared" si="146"/>
        <v>268.10688874775451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8.4029262320200253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8.4029262320200253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401</v>
      </c>
      <c r="BZ175" s="13">
        <f>BY175*VLOOKUP('Données projet'!$B$12,Paramètres!$A$1:$I$89,3,0)*VLOOKUP('Données projet'!$B$12,Paramètres!$A$1:$I$89,5,0)</f>
        <v>250.22399999999999</v>
      </c>
      <c r="CA175" s="13">
        <f t="shared" si="170"/>
        <v>60.633904580527918</v>
      </c>
      <c r="CB175" s="20">
        <f t="shared" si="171"/>
        <v>541.41085047775289</v>
      </c>
      <c r="CC175" s="59">
        <f t="shared" si="119"/>
        <v>834.74418381108626</v>
      </c>
      <c r="CD175" s="59">
        <f ca="1">AVERAGE(OFFSET($CC$3,0,0,'Données projet'!$E$12+1,1))-AVERAGE(OFFSET($H$3,0,0,'Données projet'!$E$12+1,1))</f>
        <v>269.77739619445515</v>
      </c>
      <c r="CE175" s="59">
        <f t="shared" si="148"/>
        <v>347.56964743629885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8.3331659151736801</v>
      </c>
      <c r="CL175" s="21">
        <f>EXP(-LN(2)/25)*CL174+(1-EXP(-LN(2)/25))/(LN(2)/25)*Calculateur!CG175*Calculateur!CI175*VLOOKUP('Données projet'!$B$12,Paramètres!$A$1:$I$89,3,0)*0.475*44/12</f>
        <v>1.789446575758314</v>
      </c>
      <c r="CM175" s="21">
        <f>EXP(-LN(2)/2)*CM174+(1-EXP(-LN(2)/2))/(LN(2)/2)*CG175*CJ175*VLOOKUP('Données projet'!$B$12,Paramètres!$A$1:$I$89,3,0)*0.475*44/12</f>
        <v>1.0519448720080408E-23</v>
      </c>
      <c r="CN175" s="22">
        <f t="shared" si="172"/>
        <v>10.122612490931994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852.00000000000011</v>
      </c>
      <c r="O176" s="13">
        <f>N176*VLOOKUP('Données projet'!$B$9,Paramètres!$A$1:$I$89,3,0)*VLOOKUP('Données projet'!$B$9,Paramètres!$A$1:$I$89,5,0)</f>
        <v>420.88800000000009</v>
      </c>
      <c r="P176" s="13">
        <f t="shared" si="141"/>
        <v>95.998759891259041</v>
      </c>
      <c r="Q176" s="20">
        <f t="shared" si="162"/>
        <v>900.24444014394294</v>
      </c>
      <c r="R176" s="59">
        <f t="shared" si="109"/>
        <v>1193.5777734772762</v>
      </c>
      <c r="S176" s="59">
        <f ca="1">AVERAGE(OFFSET($R$3,0,0,'Données projet'!$E$9+1,1))-AVERAGE(OFFSET($H$3,0,0,'Données projet'!$E$9+1,1))</f>
        <v>434.08297999735811</v>
      </c>
      <c r="T176" s="59">
        <f t="shared" si="142"/>
        <v>371.04090283546122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25.209331775482099</v>
      </c>
      <c r="AA176" s="21">
        <f>EXP(-LN(2)/25)*AA175+(1-EXP(-LN(2)/25))/(LN(2)/25)*Calculateur!V176*Calculateur!X176*VLOOKUP('Données projet'!$B$9,Paramètres!$A$1:$I$89,3,0)*0.475*44/12</f>
        <v>0.98100955834771941</v>
      </c>
      <c r="AB176" s="21">
        <f>EXP(-LN(2)/2)*AB175+(1-EXP(-LN(2)/2))/(LN(2)/2)*V176*Y176*VLOOKUP('Données projet'!$B$9,Paramètres!$A$1:$I$89,3,0)*0.475*44/12</f>
        <v>2.2507967293939716E-22</v>
      </c>
      <c r="AC176" s="22">
        <f t="shared" si="163"/>
        <v>26.190341333829817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292.78079999999977</v>
      </c>
      <c r="AK176" s="13">
        <f t="shared" si="164"/>
        <v>69.660903052386217</v>
      </c>
      <c r="AL176" s="20">
        <f t="shared" si="165"/>
        <v>631.25263281623893</v>
      </c>
      <c r="AM176" s="59">
        <f t="shared" si="113"/>
        <v>924.58596614957219</v>
      </c>
      <c r="AN176" s="59">
        <f ca="1">AVERAGE(OFFSET($AM$3,0,0,'Données projet'!$E$10+1,1))-AVERAGE(OFFSET($H$3,0,0,'Données projet'!$E$10+1,1))</f>
        <v>331.52724290297675</v>
      </c>
      <c r="AO176" s="59">
        <f t="shared" si="144"/>
        <v>322.79102610158054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9.7708290387986292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9.7708290387986292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246.8543999999998</v>
      </c>
      <c r="BF176" s="13">
        <f t="shared" si="167"/>
        <v>59.911862368716115</v>
      </c>
      <c r="BG176" s="20">
        <f t="shared" si="168"/>
        <v>534.28457362551353</v>
      </c>
      <c r="BH176" s="59">
        <f t="shared" si="116"/>
        <v>827.61790695884679</v>
      </c>
      <c r="BI176" s="59">
        <f ca="1">AVERAGE(OFFSET($BH$3,0,0,'Données projet'!$E$11+1,1))-AVERAGE(OFFSET($H$3,0,0,'Données projet'!$E$11+1,1))</f>
        <v>273.84349636755343</v>
      </c>
      <c r="BJ176" s="59">
        <f t="shared" si="146"/>
        <v>268.10688874775451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8.2381499738890351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8.2381499738890351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401</v>
      </c>
      <c r="BZ176" s="13">
        <f>BY176*VLOOKUP('Données projet'!$B$12,Paramètres!$A$1:$I$89,3,0)*VLOOKUP('Données projet'!$B$12,Paramètres!$A$1:$I$89,5,0)</f>
        <v>250.22399999999999</v>
      </c>
      <c r="CA176" s="13">
        <f t="shared" si="170"/>
        <v>60.633904580527918</v>
      </c>
      <c r="CB176" s="20">
        <f t="shared" si="171"/>
        <v>541.41085047775289</v>
      </c>
      <c r="CC176" s="59">
        <f t="shared" si="119"/>
        <v>834.74418381108626</v>
      </c>
      <c r="CD176" s="59">
        <f ca="1">AVERAGE(OFFSET($CC$3,0,0,'Données projet'!$E$12+1,1))-AVERAGE(OFFSET($H$3,0,0,'Données projet'!$E$12+1,1))</f>
        <v>269.77739619445515</v>
      </c>
      <c r="CE176" s="59">
        <f t="shared" si="148"/>
        <v>347.56964743629885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8.1697576143064552</v>
      </c>
      <c r="CL176" s="21">
        <f>EXP(-LN(2)/25)*CL175+(1-EXP(-LN(2)/25))/(LN(2)/25)*Calculateur!CG176*Calculateur!CI176*VLOOKUP('Données projet'!$B$12,Paramètres!$A$1:$I$89,3,0)*0.475*44/12</f>
        <v>1.7405140650412974</v>
      </c>
      <c r="CM176" s="21">
        <f>EXP(-LN(2)/2)*CM175+(1-EXP(-LN(2)/2))/(LN(2)/2)*CG176*CJ176*VLOOKUP('Données projet'!$B$12,Paramètres!$A$1:$I$89,3,0)*0.475*44/12</f>
        <v>7.4383735243130046E-24</v>
      </c>
      <c r="CN176" s="22">
        <f t="shared" si="172"/>
        <v>9.910271679347753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852.00000000000011</v>
      </c>
      <c r="O177" s="13">
        <f>N177*VLOOKUP('Données projet'!$B$9,Paramètres!$A$1:$I$89,3,0)*VLOOKUP('Données projet'!$B$9,Paramètres!$A$1:$I$89,5,0)</f>
        <v>420.88800000000009</v>
      </c>
      <c r="P177" s="13">
        <f t="shared" si="141"/>
        <v>95.998759891259041</v>
      </c>
      <c r="Q177" s="20">
        <f t="shared" si="162"/>
        <v>900.24444014394294</v>
      </c>
      <c r="R177" s="59">
        <f t="shared" si="109"/>
        <v>1193.5777734772762</v>
      </c>
      <c r="S177" s="59">
        <f ca="1">AVERAGE(OFFSET($R$3,0,0,'Données projet'!$E$9+1,1))-AVERAGE(OFFSET($H$3,0,0,'Données projet'!$E$9+1,1))</f>
        <v>434.08297999735811</v>
      </c>
      <c r="T177" s="59">
        <f t="shared" si="142"/>
        <v>371.04090283546122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24.714992155539008</v>
      </c>
      <c r="AA177" s="21">
        <f>EXP(-LN(2)/25)*AA176+(1-EXP(-LN(2)/25))/(LN(2)/25)*Calculateur!V177*Calculateur!X177*VLOOKUP('Données projet'!$B$9,Paramètres!$A$1:$I$89,3,0)*0.475*44/12</f>
        <v>0.95418380038565043</v>
      </c>
      <c r="AB177" s="21">
        <f>EXP(-LN(2)/2)*AB176+(1-EXP(-LN(2)/2))/(LN(2)/2)*V177*Y177*VLOOKUP('Données projet'!$B$9,Paramètres!$A$1:$I$89,3,0)*0.475*44/12</f>
        <v>1.5915536304269799E-22</v>
      </c>
      <c r="AC177" s="22">
        <f t="shared" si="163"/>
        <v>25.669175955924658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292.78079999999977</v>
      </c>
      <c r="AK177" s="13">
        <f t="shared" si="164"/>
        <v>69.660903052386217</v>
      </c>
      <c r="AL177" s="20">
        <f t="shared" si="165"/>
        <v>631.25263281623893</v>
      </c>
      <c r="AM177" s="59">
        <f t="shared" si="113"/>
        <v>924.58596614957219</v>
      </c>
      <c r="AN177" s="59">
        <f ca="1">AVERAGE(OFFSET($AM$3,0,0,'Données projet'!$E$10+1,1))-AVERAGE(OFFSET($H$3,0,0,'Données projet'!$E$10+1,1))</f>
        <v>331.52724290297675</v>
      </c>
      <c r="AO177" s="59">
        <f t="shared" si="144"/>
        <v>322.79102610158054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9.5792290409650391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9.5792290409650391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246.8543999999998</v>
      </c>
      <c r="BF177" s="13">
        <f t="shared" si="167"/>
        <v>59.911862368716115</v>
      </c>
      <c r="BG177" s="20">
        <f t="shared" si="168"/>
        <v>534.28457362551353</v>
      </c>
      <c r="BH177" s="59">
        <f t="shared" si="116"/>
        <v>827.61790695884679</v>
      </c>
      <c r="BI177" s="59">
        <f ca="1">AVERAGE(OFFSET($BH$3,0,0,'Données projet'!$E$11+1,1))-AVERAGE(OFFSET($H$3,0,0,'Données projet'!$E$11+1,1))</f>
        <v>273.84349636755343</v>
      </c>
      <c r="BJ177" s="59">
        <f t="shared" si="146"/>
        <v>268.10688874775451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8.0766048776764006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8.0766048776764006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401</v>
      </c>
      <c r="BZ177" s="13">
        <f>BY177*VLOOKUP('Données projet'!$B$12,Paramètres!$A$1:$I$89,3,0)*VLOOKUP('Données projet'!$B$12,Paramètres!$A$1:$I$89,5,0)</f>
        <v>250.22399999999999</v>
      </c>
      <c r="CA177" s="13">
        <f t="shared" si="170"/>
        <v>60.633904580527918</v>
      </c>
      <c r="CB177" s="20">
        <f t="shared" si="171"/>
        <v>541.41085047775289</v>
      </c>
      <c r="CC177" s="59">
        <f t="shared" si="119"/>
        <v>834.74418381108626</v>
      </c>
      <c r="CD177" s="59">
        <f ca="1">AVERAGE(OFFSET($CC$3,0,0,'Données projet'!$E$12+1,1))-AVERAGE(OFFSET($H$3,0,0,'Données projet'!$E$12+1,1))</f>
        <v>269.77739619445515</v>
      </c>
      <c r="CE177" s="59">
        <f t="shared" si="148"/>
        <v>347.56964743629885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8.0095536505500142</v>
      </c>
      <c r="CL177" s="21">
        <f>EXP(-LN(2)/25)*CL176+(1-EXP(-LN(2)/25))/(LN(2)/25)*Calculateur!CG177*Calculateur!CI177*VLOOKUP('Données projet'!$B$12,Paramètres!$A$1:$I$89,3,0)*0.475*44/12</f>
        <v>1.6929196164030864</v>
      </c>
      <c r="CM177" s="21">
        <f>EXP(-LN(2)/2)*CM176+(1-EXP(-LN(2)/2))/(LN(2)/2)*CG177*CJ177*VLOOKUP('Données projet'!$B$12,Paramètres!$A$1:$I$89,3,0)*0.475*44/12</f>
        <v>5.2597243600402042E-24</v>
      </c>
      <c r="CN177" s="22">
        <f t="shared" si="172"/>
        <v>9.7024732669531009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852.00000000000011</v>
      </c>
      <c r="O178" s="13">
        <f>N178*VLOOKUP('Données projet'!$B$9,Paramètres!$A$1:$I$89,3,0)*VLOOKUP('Données projet'!$B$9,Paramètres!$A$1:$I$89,5,0)</f>
        <v>420.88800000000009</v>
      </c>
      <c r="P178" s="13">
        <f t="shared" si="141"/>
        <v>95.998759891259041</v>
      </c>
      <c r="Q178" s="20">
        <f t="shared" si="162"/>
        <v>900.24444014394294</v>
      </c>
      <c r="R178" s="59">
        <f t="shared" si="109"/>
        <v>1193.5777734772762</v>
      </c>
      <c r="S178" s="59">
        <f ca="1">AVERAGE(OFFSET($R$3,0,0,'Données projet'!$E$9+1,1))-AVERAGE(OFFSET($H$3,0,0,'Données projet'!$E$9+1,1))</f>
        <v>434.08297999735811</v>
      </c>
      <c r="T178" s="59">
        <f t="shared" si="142"/>
        <v>371.04090283546122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24.230346234025603</v>
      </c>
      <c r="AA178" s="21">
        <f>EXP(-LN(2)/25)*AA177+(1-EXP(-LN(2)/25))/(LN(2)/25)*Calculateur!V178*Calculateur!X178*VLOOKUP('Données projet'!$B$9,Paramètres!$A$1:$I$89,3,0)*0.475*44/12</f>
        <v>0.92809159418575959</v>
      </c>
      <c r="AB178" s="21">
        <f>EXP(-LN(2)/2)*AB177+(1-EXP(-LN(2)/2))/(LN(2)/2)*V178*Y178*VLOOKUP('Données projet'!$B$9,Paramètres!$A$1:$I$89,3,0)*0.475*44/12</f>
        <v>1.1253983646969858E-22</v>
      </c>
      <c r="AC178" s="22">
        <f t="shared" si="163"/>
        <v>25.158437828211362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292.78079999999977</v>
      </c>
      <c r="AK178" s="13">
        <f t="shared" si="164"/>
        <v>69.660903052386217</v>
      </c>
      <c r="AL178" s="20">
        <f t="shared" si="165"/>
        <v>631.25263281623893</v>
      </c>
      <c r="AM178" s="59">
        <f t="shared" si="113"/>
        <v>924.58596614957219</v>
      </c>
      <c r="AN178" s="59">
        <f ca="1">AVERAGE(OFFSET($AM$3,0,0,'Données projet'!$E$10+1,1))-AVERAGE(OFFSET($H$3,0,0,'Données projet'!$E$10+1,1))</f>
        <v>331.52724290297675</v>
      </c>
      <c r="AO178" s="59">
        <f t="shared" si="144"/>
        <v>322.79102610158054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9.3913862022245063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9.3913862022245063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246.8543999999998</v>
      </c>
      <c r="BF178" s="13">
        <f t="shared" si="167"/>
        <v>59.911862368716115</v>
      </c>
      <c r="BG178" s="20">
        <f t="shared" si="168"/>
        <v>534.28457362551353</v>
      </c>
      <c r="BH178" s="59">
        <f t="shared" si="116"/>
        <v>827.61790695884679</v>
      </c>
      <c r="BI178" s="59">
        <f ca="1">AVERAGE(OFFSET($BH$3,0,0,'Données projet'!$E$11+1,1))-AVERAGE(OFFSET($H$3,0,0,'Données projet'!$E$11+1,1))</f>
        <v>273.84349636755343</v>
      </c>
      <c r="BJ178" s="59">
        <f t="shared" si="146"/>
        <v>268.10688874775451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7.9182275822677157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7.9182275822677157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401</v>
      </c>
      <c r="BZ178" s="13">
        <f>BY178*VLOOKUP('Données projet'!$B$12,Paramètres!$A$1:$I$89,3,0)*VLOOKUP('Données projet'!$B$12,Paramètres!$A$1:$I$89,5,0)</f>
        <v>250.22399999999999</v>
      </c>
      <c r="CA178" s="13">
        <f t="shared" si="170"/>
        <v>60.633904580527918</v>
      </c>
      <c r="CB178" s="20">
        <f t="shared" si="171"/>
        <v>541.41085047775289</v>
      </c>
      <c r="CC178" s="59">
        <f t="shared" si="119"/>
        <v>834.74418381108626</v>
      </c>
      <c r="CD178" s="59">
        <f ca="1">AVERAGE(OFFSET($CC$3,0,0,'Données projet'!$E$12+1,1))-AVERAGE(OFFSET($H$3,0,0,'Données projet'!$E$12+1,1))</f>
        <v>269.77739619445515</v>
      </c>
      <c r="CE178" s="59">
        <f t="shared" si="148"/>
        <v>347.56964743629885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7.8524911888080675</v>
      </c>
      <c r="CL178" s="21">
        <f>EXP(-LN(2)/25)*CL177+(1-EXP(-LN(2)/25))/(LN(2)/25)*Calculateur!CG178*Calculateur!CI178*VLOOKUP('Données projet'!$B$12,Paramètres!$A$1:$I$89,3,0)*0.475*44/12</f>
        <v>1.6466266404657706</v>
      </c>
      <c r="CM178" s="21">
        <f>EXP(-LN(2)/2)*CM177+(1-EXP(-LN(2)/2))/(LN(2)/2)*CG178*CJ178*VLOOKUP('Données projet'!$B$12,Paramètres!$A$1:$I$89,3,0)*0.475*44/12</f>
        <v>3.7191867621565023E-24</v>
      </c>
      <c r="CN178" s="22">
        <f t="shared" si="172"/>
        <v>9.499117829273839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852.00000000000011</v>
      </c>
      <c r="O179" s="13">
        <f>N179*VLOOKUP('Données projet'!$B$9,Paramètres!$A$1:$I$89,3,0)*VLOOKUP('Données projet'!$B$9,Paramètres!$A$1:$I$89,5,0)</f>
        <v>420.88800000000009</v>
      </c>
      <c r="P179" s="13">
        <f t="shared" si="141"/>
        <v>95.998759891259041</v>
      </c>
      <c r="Q179" s="20">
        <f t="shared" si="162"/>
        <v>900.24444014394294</v>
      </c>
      <c r="R179" s="59">
        <f t="shared" si="109"/>
        <v>1193.5777734772762</v>
      </c>
      <c r="S179" s="59">
        <f ca="1">AVERAGE(OFFSET($R$3,0,0,'Données projet'!$E$9+1,1))-AVERAGE(OFFSET($H$3,0,0,'Données projet'!$E$9+1,1))</f>
        <v>434.08297999735811</v>
      </c>
      <c r="T179" s="59">
        <f t="shared" si="142"/>
        <v>371.04090283546122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23.755203923428255</v>
      </c>
      <c r="AA179" s="21">
        <f>EXP(-LN(2)/25)*AA178+(1-EXP(-LN(2)/25))/(LN(2)/25)*Calculateur!V179*Calculateur!X179*VLOOKUP('Données projet'!$B$9,Paramètres!$A$1:$I$89,3,0)*0.475*44/12</f>
        <v>0.90271288073653422</v>
      </c>
      <c r="AB179" s="21">
        <f>EXP(-LN(2)/2)*AB178+(1-EXP(-LN(2)/2))/(LN(2)/2)*V179*Y179*VLOOKUP('Données projet'!$B$9,Paramètres!$A$1:$I$89,3,0)*0.475*44/12</f>
        <v>7.9577681521348997E-23</v>
      </c>
      <c r="AC179" s="22">
        <f t="shared" si="163"/>
        <v>24.657916804164788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292.78079999999977</v>
      </c>
      <c r="AK179" s="13">
        <f t="shared" si="164"/>
        <v>69.660903052386217</v>
      </c>
      <c r="AL179" s="20">
        <f t="shared" si="165"/>
        <v>631.25263281623893</v>
      </c>
      <c r="AM179" s="59">
        <f t="shared" si="113"/>
        <v>924.58596614957219</v>
      </c>
      <c r="AN179" s="59">
        <f ca="1">AVERAGE(OFFSET($AM$3,0,0,'Données projet'!$E$10+1,1))-AVERAGE(OFFSET($H$3,0,0,'Données projet'!$E$10+1,1))</f>
        <v>331.52724290297675</v>
      </c>
      <c r="AO179" s="59">
        <f t="shared" si="144"/>
        <v>322.79102610158054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9.2072268469788554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9.2072268469788554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246.8543999999998</v>
      </c>
      <c r="BF179" s="13">
        <f t="shared" si="167"/>
        <v>59.911862368716115</v>
      </c>
      <c r="BG179" s="20">
        <f t="shared" si="168"/>
        <v>534.28457362551353</v>
      </c>
      <c r="BH179" s="59">
        <f t="shared" si="116"/>
        <v>827.61790695884679</v>
      </c>
      <c r="BI179" s="59">
        <f ca="1">AVERAGE(OFFSET($BH$3,0,0,'Données projet'!$E$11+1,1))-AVERAGE(OFFSET($H$3,0,0,'Données projet'!$E$11+1,1))</f>
        <v>273.84349636755343</v>
      </c>
      <c r="BJ179" s="59">
        <f t="shared" si="146"/>
        <v>268.10688874775451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7.7629559690213839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7.7629559690213839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401</v>
      </c>
      <c r="BZ179" s="13">
        <f>BY179*VLOOKUP('Données projet'!$B$12,Paramètres!$A$1:$I$89,3,0)*VLOOKUP('Données projet'!$B$12,Paramètres!$A$1:$I$89,5,0)</f>
        <v>250.22399999999999</v>
      </c>
      <c r="CA179" s="13">
        <f t="shared" si="170"/>
        <v>60.633904580527918</v>
      </c>
      <c r="CB179" s="20">
        <f t="shared" si="171"/>
        <v>541.41085047775289</v>
      </c>
      <c r="CC179" s="59">
        <f t="shared" si="119"/>
        <v>834.74418381108626</v>
      </c>
      <c r="CD179" s="59">
        <f ca="1">AVERAGE(OFFSET($CC$3,0,0,'Données projet'!$E$12+1,1))-AVERAGE(OFFSET($H$3,0,0,'Données projet'!$E$12+1,1))</f>
        <v>269.77739619445515</v>
      </c>
      <c r="CE179" s="59">
        <f t="shared" si="148"/>
        <v>347.56964743629885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7.698508626142238</v>
      </c>
      <c r="CL179" s="21">
        <f>EXP(-LN(2)/25)*CL178+(1-EXP(-LN(2)/25))/(LN(2)/25)*Calculateur!CG179*Calculateur!CI179*VLOOKUP('Données projet'!$B$12,Paramètres!$A$1:$I$89,3,0)*0.475*44/12</f>
        <v>1.6015995483899024</v>
      </c>
      <c r="CM179" s="21">
        <f>EXP(-LN(2)/2)*CM178+(1-EXP(-LN(2)/2))/(LN(2)/2)*CG179*CJ179*VLOOKUP('Données projet'!$B$12,Paramètres!$A$1:$I$89,3,0)*0.475*44/12</f>
        <v>2.6298621800201021E-24</v>
      </c>
      <c r="CN179" s="22">
        <f t="shared" si="172"/>
        <v>9.3001081745321397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852.00000000000011</v>
      </c>
      <c r="O180" s="13">
        <f>N180*VLOOKUP('Données projet'!$B$9,Paramètres!$A$1:$I$89,3,0)*VLOOKUP('Données projet'!$B$9,Paramètres!$A$1:$I$89,5,0)</f>
        <v>420.88800000000009</v>
      </c>
      <c r="P180" s="13">
        <f t="shared" si="141"/>
        <v>95.998759891259041</v>
      </c>
      <c r="Q180" s="20">
        <f t="shared" si="162"/>
        <v>900.24444014394294</v>
      </c>
      <c r="R180" s="59">
        <f t="shared" si="109"/>
        <v>1193.5777734772762</v>
      </c>
      <c r="S180" s="59">
        <f ca="1">AVERAGE(OFFSET($R$3,0,0,'Données projet'!$E$9+1,1))-AVERAGE(OFFSET($H$3,0,0,'Données projet'!$E$9+1,1))</f>
        <v>434.08297999735811</v>
      </c>
      <c r="T180" s="59">
        <f t="shared" si="142"/>
        <v>371.04090283546122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23.289378863733525</v>
      </c>
      <c r="AA180" s="21">
        <f>EXP(-LN(2)/25)*AA179+(1-EXP(-LN(2)/25))/(LN(2)/25)*Calculateur!V180*Calculateur!X180*VLOOKUP('Données projet'!$B$9,Paramètres!$A$1:$I$89,3,0)*0.475*44/12</f>
        <v>0.87802814954118646</v>
      </c>
      <c r="AB180" s="21">
        <f>EXP(-LN(2)/2)*AB179+(1-EXP(-LN(2)/2))/(LN(2)/2)*V180*Y180*VLOOKUP('Données projet'!$B$9,Paramètres!$A$1:$I$89,3,0)*0.475*44/12</f>
        <v>5.626991823484929E-23</v>
      </c>
      <c r="AC180" s="22">
        <f t="shared" si="163"/>
        <v>24.167407013274712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292.78079999999977</v>
      </c>
      <c r="AK180" s="13">
        <f t="shared" si="164"/>
        <v>69.660903052386217</v>
      </c>
      <c r="AL180" s="20">
        <f t="shared" si="165"/>
        <v>631.25263281623893</v>
      </c>
      <c r="AM180" s="59">
        <f t="shared" si="113"/>
        <v>924.58596614957219</v>
      </c>
      <c r="AN180" s="59">
        <f ca="1">AVERAGE(OFFSET($AM$3,0,0,'Données projet'!$E$10+1,1))-AVERAGE(OFFSET($H$3,0,0,'Données projet'!$E$10+1,1))</f>
        <v>331.52724290297675</v>
      </c>
      <c r="AO180" s="59">
        <f t="shared" si="144"/>
        <v>322.79102610158054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9.0266787443634566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9.0266787443634566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246.8543999999998</v>
      </c>
      <c r="BF180" s="13">
        <f t="shared" si="167"/>
        <v>59.911862368716115</v>
      </c>
      <c r="BG180" s="20">
        <f t="shared" si="168"/>
        <v>534.28457362551353</v>
      </c>
      <c r="BH180" s="59">
        <f t="shared" si="116"/>
        <v>827.61790695884679</v>
      </c>
      <c r="BI180" s="59">
        <f ca="1">AVERAGE(OFFSET($BH$3,0,0,'Données projet'!$E$11+1,1))-AVERAGE(OFFSET($H$3,0,0,'Données projet'!$E$11+1,1))</f>
        <v>273.84349636755343</v>
      </c>
      <c r="BJ180" s="59">
        <f t="shared" si="146"/>
        <v>268.10688874775451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7.6107291374044799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7.6107291374044799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401</v>
      </c>
      <c r="BZ180" s="13">
        <f>BY180*VLOOKUP('Données projet'!$B$12,Paramètres!$A$1:$I$89,3,0)*VLOOKUP('Données projet'!$B$12,Paramètres!$A$1:$I$89,5,0)</f>
        <v>250.22399999999999</v>
      </c>
      <c r="CA180" s="13">
        <f t="shared" si="170"/>
        <v>60.633904580527918</v>
      </c>
      <c r="CB180" s="20">
        <f t="shared" si="171"/>
        <v>541.41085047775289</v>
      </c>
      <c r="CC180" s="59">
        <f t="shared" si="119"/>
        <v>834.74418381108626</v>
      </c>
      <c r="CD180" s="59">
        <f ca="1">AVERAGE(OFFSET($CC$3,0,0,'Données projet'!$E$12+1,1))-AVERAGE(OFFSET($H$3,0,0,'Données projet'!$E$12+1,1))</f>
        <v>269.77739619445515</v>
      </c>
      <c r="CE180" s="59">
        <f t="shared" si="148"/>
        <v>347.56964743629885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7.5475455676101957</v>
      </c>
      <c r="CL180" s="21">
        <f>EXP(-LN(2)/25)*CL179+(1-EXP(-LN(2)/25))/(LN(2)/25)*Calculateur!CG180*Calculateur!CI180*VLOOKUP('Données projet'!$B$12,Paramètres!$A$1:$I$89,3,0)*0.475*44/12</f>
        <v>1.5578037245147207</v>
      </c>
      <c r="CM180" s="21">
        <f>EXP(-LN(2)/2)*CM179+(1-EXP(-LN(2)/2))/(LN(2)/2)*CG180*CJ180*VLOOKUP('Données projet'!$B$12,Paramètres!$A$1:$I$89,3,0)*0.475*44/12</f>
        <v>1.8595933810782511E-24</v>
      </c>
      <c r="CN180" s="22">
        <f t="shared" si="172"/>
        <v>9.1053492921249166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852.00000000000011</v>
      </c>
      <c r="O181" s="13">
        <f>N181*VLOOKUP('Données projet'!$B$9,Paramètres!$A$1:$I$89,3,0)*VLOOKUP('Données projet'!$B$9,Paramètres!$A$1:$I$89,5,0)</f>
        <v>420.88800000000009</v>
      </c>
      <c r="P181" s="13">
        <f t="shared" si="141"/>
        <v>95.998759891259041</v>
      </c>
      <c r="Q181" s="20">
        <f t="shared" si="162"/>
        <v>900.24444014394294</v>
      </c>
      <c r="R181" s="59">
        <f t="shared" si="109"/>
        <v>1193.5777734772762</v>
      </c>
      <c r="S181" s="59">
        <f ca="1">AVERAGE(OFFSET($R$3,0,0,'Données projet'!$E$9+1,1))-AVERAGE(OFFSET($H$3,0,0,'Données projet'!$E$9+1,1))</f>
        <v>434.08297999735811</v>
      </c>
      <c r="T181" s="59">
        <f t="shared" si="142"/>
        <v>371.04090283546122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22.832688349334177</v>
      </c>
      <c r="AA181" s="21">
        <f>EXP(-LN(2)/25)*AA180+(1-EXP(-LN(2)/25))/(LN(2)/25)*Calculateur!V181*Calculateur!X181*VLOOKUP('Données projet'!$B$9,Paramètres!$A$1:$I$89,3,0)*0.475*44/12</f>
        <v>0.85401842361848912</v>
      </c>
      <c r="AB181" s="21">
        <f>EXP(-LN(2)/2)*AB180+(1-EXP(-LN(2)/2))/(LN(2)/2)*V181*Y181*VLOOKUP('Données projet'!$B$9,Paramètres!$A$1:$I$89,3,0)*0.475*44/12</f>
        <v>3.9788840760674499E-23</v>
      </c>
      <c r="AC181" s="22">
        <f t="shared" si="163"/>
        <v>23.686706772952665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292.78079999999977</v>
      </c>
      <c r="AK181" s="13">
        <f t="shared" si="164"/>
        <v>69.660903052386217</v>
      </c>
      <c r="AL181" s="20">
        <f t="shared" si="165"/>
        <v>631.25263281623893</v>
      </c>
      <c r="AM181" s="59">
        <f t="shared" si="113"/>
        <v>924.58596614957219</v>
      </c>
      <c r="AN181" s="59">
        <f ca="1">AVERAGE(OFFSET($AM$3,0,0,'Données projet'!$E$10+1,1))-AVERAGE(OFFSET($H$3,0,0,'Données projet'!$E$10+1,1))</f>
        <v>331.52724290297675</v>
      </c>
      <c r="AO181" s="59">
        <f t="shared" si="144"/>
        <v>322.79102610158054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8.8496710799168774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8.8496710799168774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246.8543999999998</v>
      </c>
      <c r="BF181" s="13">
        <f t="shared" si="167"/>
        <v>59.911862368716115</v>
      </c>
      <c r="BG181" s="20">
        <f t="shared" si="168"/>
        <v>534.28457362551353</v>
      </c>
      <c r="BH181" s="59">
        <f t="shared" si="116"/>
        <v>827.61790695884679</v>
      </c>
      <c r="BI181" s="59">
        <f ca="1">AVERAGE(OFFSET($BH$3,0,0,'Données projet'!$E$11+1,1))-AVERAGE(OFFSET($H$3,0,0,'Données projet'!$E$11+1,1))</f>
        <v>273.84349636755343</v>
      </c>
      <c r="BJ181" s="59">
        <f t="shared" si="146"/>
        <v>268.10688874775451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7.4614873811063838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7.4614873811063838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401</v>
      </c>
      <c r="BZ181" s="13">
        <f>BY181*VLOOKUP('Données projet'!$B$12,Paramètres!$A$1:$I$89,3,0)*VLOOKUP('Données projet'!$B$12,Paramètres!$A$1:$I$89,5,0)</f>
        <v>250.22399999999999</v>
      </c>
      <c r="CA181" s="13">
        <f t="shared" si="170"/>
        <v>60.633904580527918</v>
      </c>
      <c r="CB181" s="20">
        <f t="shared" si="171"/>
        <v>541.41085047775289</v>
      </c>
      <c r="CC181" s="59">
        <f t="shared" si="119"/>
        <v>834.74418381108626</v>
      </c>
      <c r="CD181" s="59">
        <f ca="1">AVERAGE(OFFSET($CC$3,0,0,'Données projet'!$E$12+1,1))-AVERAGE(OFFSET($H$3,0,0,'Données projet'!$E$12+1,1))</f>
        <v>269.77739619445515</v>
      </c>
      <c r="CE181" s="59">
        <f t="shared" si="148"/>
        <v>347.56964743629885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7.3995428025775931</v>
      </c>
      <c r="CL181" s="21">
        <f>EXP(-LN(2)/25)*CL180+(1-EXP(-LN(2)/25))/(LN(2)/25)*Calculateur!CG181*Calculateur!CI181*VLOOKUP('Données projet'!$B$12,Paramètres!$A$1:$I$89,3,0)*0.475*44/12</f>
        <v>1.5152054997465283</v>
      </c>
      <c r="CM181" s="21">
        <f>EXP(-LN(2)/2)*CM180+(1-EXP(-LN(2)/2))/(LN(2)/2)*CG181*CJ181*VLOOKUP('Données projet'!$B$12,Paramètres!$A$1:$I$89,3,0)*0.475*44/12</f>
        <v>1.314931090010051E-24</v>
      </c>
      <c r="CN181" s="22">
        <f t="shared" si="172"/>
        <v>8.9147483023241207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852.00000000000011</v>
      </c>
      <c r="O182" s="13">
        <f>N182*VLOOKUP('Données projet'!$B$9,Paramètres!$A$1:$I$89,3,0)*VLOOKUP('Données projet'!$B$9,Paramètres!$A$1:$I$89,5,0)</f>
        <v>420.88800000000009</v>
      </c>
      <c r="P182" s="13">
        <f t="shared" si="141"/>
        <v>95.998759891259041</v>
      </c>
      <c r="Q182" s="20">
        <f t="shared" si="162"/>
        <v>900.24444014394294</v>
      </c>
      <c r="R182" s="59">
        <f t="shared" si="109"/>
        <v>1193.5777734772762</v>
      </c>
      <c r="S182" s="59">
        <f ca="1">AVERAGE(OFFSET($R$3,0,0,'Données projet'!$E$9+1,1))-AVERAGE(OFFSET($H$3,0,0,'Données projet'!$E$9+1,1))</f>
        <v>434.08297999735811</v>
      </c>
      <c r="T182" s="59">
        <f t="shared" si="142"/>
        <v>371.04090283546122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22.384953257368494</v>
      </c>
      <c r="AA182" s="21">
        <f>EXP(-LN(2)/25)*AA181+(1-EXP(-LN(2)/25))/(LN(2)/25)*Calculateur!V182*Calculateur!X182*VLOOKUP('Données projet'!$B$9,Paramètres!$A$1:$I$89,3,0)*0.475*44/12</f>
        <v>0.83066524491376448</v>
      </c>
      <c r="AB182" s="21">
        <f>EXP(-LN(2)/2)*AB181+(1-EXP(-LN(2)/2))/(LN(2)/2)*V182*Y182*VLOOKUP('Données projet'!$B$9,Paramètres!$A$1:$I$89,3,0)*0.475*44/12</f>
        <v>2.8134959117424645E-23</v>
      </c>
      <c r="AC182" s="22">
        <f t="shared" si="163"/>
        <v>23.215618502282258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292.78079999999977</v>
      </c>
      <c r="AK182" s="13">
        <f t="shared" si="164"/>
        <v>69.660903052386217</v>
      </c>
      <c r="AL182" s="20">
        <f t="shared" si="165"/>
        <v>631.25263281623893</v>
      </c>
      <c r="AM182" s="59">
        <f t="shared" si="113"/>
        <v>924.58596614957219</v>
      </c>
      <c r="AN182" s="59">
        <f ca="1">AVERAGE(OFFSET($AM$3,0,0,'Données projet'!$E$10+1,1))-AVERAGE(OFFSET($H$3,0,0,'Données projet'!$E$10+1,1))</f>
        <v>331.52724290297675</v>
      </c>
      <c r="AO182" s="59">
        <f t="shared" si="144"/>
        <v>322.79102610158054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8.6761344278060815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8.6761344278060815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246.8543999999998</v>
      </c>
      <c r="BF182" s="13">
        <f t="shared" si="167"/>
        <v>59.911862368716115</v>
      </c>
      <c r="BG182" s="20">
        <f t="shared" si="168"/>
        <v>534.28457362551353</v>
      </c>
      <c r="BH182" s="59">
        <f t="shared" si="116"/>
        <v>827.61790695884679</v>
      </c>
      <c r="BI182" s="59">
        <f ca="1">AVERAGE(OFFSET($BH$3,0,0,'Données projet'!$E$11+1,1))-AVERAGE(OFFSET($H$3,0,0,'Données projet'!$E$11+1,1))</f>
        <v>273.84349636755343</v>
      </c>
      <c r="BJ182" s="59">
        <f t="shared" si="146"/>
        <v>268.10688874775451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7.3151721646208108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7.3151721646208108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401</v>
      </c>
      <c r="BZ182" s="13">
        <f>BY182*VLOOKUP('Données projet'!$B$12,Paramètres!$A$1:$I$89,3,0)*VLOOKUP('Données projet'!$B$12,Paramètres!$A$1:$I$89,5,0)</f>
        <v>250.22399999999999</v>
      </c>
      <c r="CA182" s="13">
        <f t="shared" si="170"/>
        <v>60.633904580527918</v>
      </c>
      <c r="CB182" s="20">
        <f t="shared" si="171"/>
        <v>541.41085047775289</v>
      </c>
      <c r="CC182" s="59">
        <f t="shared" si="119"/>
        <v>834.74418381108626</v>
      </c>
      <c r="CD182" s="59">
        <f ca="1">AVERAGE(OFFSET($CC$3,0,0,'Données projet'!$E$12+1,1))-AVERAGE(OFFSET($H$3,0,0,'Données projet'!$E$12+1,1))</f>
        <v>269.77739619445515</v>
      </c>
      <c r="CE182" s="59">
        <f t="shared" si="148"/>
        <v>347.56964743629885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7.2544422814945069</v>
      </c>
      <c r="CL182" s="21">
        <f>EXP(-LN(2)/25)*CL181+(1-EXP(-LN(2)/25))/(LN(2)/25)*Calculateur!CG182*Calculateur!CI182*VLOOKUP('Données projet'!$B$12,Paramètres!$A$1:$I$89,3,0)*0.475*44/12</f>
        <v>1.4737721256747653</v>
      </c>
      <c r="CM182" s="21">
        <f>EXP(-LN(2)/2)*CM181+(1-EXP(-LN(2)/2))/(LN(2)/2)*CG182*CJ182*VLOOKUP('Données projet'!$B$12,Paramètres!$A$1:$I$89,3,0)*0.475*44/12</f>
        <v>9.2979669053912557E-25</v>
      </c>
      <c r="CN182" s="22">
        <f t="shared" si="172"/>
        <v>8.728214407169272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852.00000000000011</v>
      </c>
      <c r="O183" s="13">
        <f>N183*VLOOKUP('Données projet'!$B$9,Paramètres!$A$1:$I$89,3,0)*VLOOKUP('Données projet'!$B$9,Paramètres!$A$1:$I$89,5,0)</f>
        <v>420.88800000000009</v>
      </c>
      <c r="P183" s="13">
        <f t="shared" si="141"/>
        <v>95.998759891259041</v>
      </c>
      <c r="Q183" s="20">
        <f t="shared" si="162"/>
        <v>900.24444014394294</v>
      </c>
      <c r="R183" s="59">
        <f t="shared" si="109"/>
        <v>1193.5777734772762</v>
      </c>
      <c r="S183" s="59">
        <f ca="1">AVERAGE(OFFSET($R$3,0,0,'Données projet'!$E$9+1,1))-AVERAGE(OFFSET($H$3,0,0,'Données projet'!$E$9+1,1))</f>
        <v>434.08297999735811</v>
      </c>
      <c r="T183" s="59">
        <f t="shared" si="142"/>
        <v>371.04090283546122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21.945997977464817</v>
      </c>
      <c r="AA183" s="21">
        <f>EXP(-LN(2)/25)*AA182+(1-EXP(-LN(2)/25))/(LN(2)/25)*Calculateur!V183*Calculateur!X183*VLOOKUP('Données projet'!$B$9,Paramètres!$A$1:$I$89,3,0)*0.475*44/12</f>
        <v>0.80795066010881089</v>
      </c>
      <c r="AB183" s="21">
        <f>EXP(-LN(2)/2)*AB182+(1-EXP(-LN(2)/2))/(LN(2)/2)*V183*Y183*VLOOKUP('Données projet'!$B$9,Paramètres!$A$1:$I$89,3,0)*0.475*44/12</f>
        <v>1.9894420380337249E-23</v>
      </c>
      <c r="AC183" s="22">
        <f t="shared" si="163"/>
        <v>22.753948637573629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292.78079999999977</v>
      </c>
      <c r="AK183" s="13">
        <f t="shared" si="164"/>
        <v>69.660903052386217</v>
      </c>
      <c r="AL183" s="20">
        <f t="shared" si="165"/>
        <v>631.25263281623893</v>
      </c>
      <c r="AM183" s="59">
        <f t="shared" si="113"/>
        <v>924.58596614957219</v>
      </c>
      <c r="AN183" s="59">
        <f ca="1">AVERAGE(OFFSET($AM$3,0,0,'Données projet'!$E$10+1,1))-AVERAGE(OFFSET($H$3,0,0,'Données projet'!$E$10+1,1))</f>
        <v>331.52724290297675</v>
      </c>
      <c r="AO183" s="59">
        <f t="shared" si="144"/>
        <v>322.79102610158054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8.5060007235962711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8.5060007235962711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246.8543999999998</v>
      </c>
      <c r="BF183" s="13">
        <f t="shared" si="167"/>
        <v>59.911862368716115</v>
      </c>
      <c r="BG183" s="20">
        <f t="shared" si="168"/>
        <v>534.28457362551353</v>
      </c>
      <c r="BH183" s="59">
        <f t="shared" si="116"/>
        <v>827.61790695884679</v>
      </c>
      <c r="BI183" s="59">
        <f ca="1">AVERAGE(OFFSET($BH$3,0,0,'Données projet'!$E$11+1,1))-AVERAGE(OFFSET($H$3,0,0,'Données projet'!$E$11+1,1))</f>
        <v>273.84349636755343</v>
      </c>
      <c r="BJ183" s="59">
        <f t="shared" si="146"/>
        <v>268.10688874775451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7.1717261002870494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7.1717261002870494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401</v>
      </c>
      <c r="BZ183" s="13">
        <f>BY183*VLOOKUP('Données projet'!$B$12,Paramètres!$A$1:$I$89,3,0)*VLOOKUP('Données projet'!$B$12,Paramètres!$A$1:$I$89,5,0)</f>
        <v>250.22399999999999</v>
      </c>
      <c r="CA183" s="13">
        <f t="shared" si="170"/>
        <v>60.633904580527918</v>
      </c>
      <c r="CB183" s="20">
        <f t="shared" si="171"/>
        <v>541.41085047775289</v>
      </c>
      <c r="CC183" s="59">
        <f t="shared" si="119"/>
        <v>834.74418381108626</v>
      </c>
      <c r="CD183" s="59">
        <f ca="1">AVERAGE(OFFSET($CC$3,0,0,'Données projet'!$E$12+1,1))-AVERAGE(OFFSET($H$3,0,0,'Données projet'!$E$12+1,1))</f>
        <v>269.77739619445515</v>
      </c>
      <c r="CE183" s="59">
        <f t="shared" si="148"/>
        <v>347.56964743629885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7.1121870931272815</v>
      </c>
      <c r="CL183" s="21">
        <f>EXP(-LN(2)/25)*CL182+(1-EXP(-LN(2)/25))/(LN(2)/25)*Calculateur!CG183*Calculateur!CI183*VLOOKUP('Données projet'!$B$12,Paramètres!$A$1:$I$89,3,0)*0.475*44/12</f>
        <v>1.4334717493958811</v>
      </c>
      <c r="CM183" s="21">
        <f>EXP(-LN(2)/2)*CM182+(1-EXP(-LN(2)/2))/(LN(2)/2)*CG183*CJ183*VLOOKUP('Données projet'!$B$12,Paramètres!$A$1:$I$89,3,0)*0.475*44/12</f>
        <v>6.5746554500502552E-25</v>
      </c>
      <c r="CN183" s="22">
        <f t="shared" si="172"/>
        <v>8.5456588425231619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852.00000000000011</v>
      </c>
      <c r="O184" s="13">
        <f>N184*VLOOKUP('Données projet'!$B$9,Paramètres!$A$1:$I$89,3,0)*VLOOKUP('Données projet'!$B$9,Paramètres!$A$1:$I$89,5,0)</f>
        <v>420.88800000000009</v>
      </c>
      <c r="P184" s="13">
        <f t="shared" si="141"/>
        <v>95.998759891259041</v>
      </c>
      <c r="Q184" s="20">
        <f t="shared" si="162"/>
        <v>900.24444014394294</v>
      </c>
      <c r="R184" s="59">
        <f t="shared" si="109"/>
        <v>1193.5777734772762</v>
      </c>
      <c r="S184" s="59">
        <f ca="1">AVERAGE(OFFSET($R$3,0,0,'Données projet'!$E$9+1,1))-AVERAGE(OFFSET($H$3,0,0,'Données projet'!$E$9+1,1))</f>
        <v>434.08297999735811</v>
      </c>
      <c r="T184" s="59">
        <f t="shared" si="142"/>
        <v>371.04090283546122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21.515650342863765</v>
      </c>
      <c r="AA184" s="21">
        <f>EXP(-LN(2)/25)*AA183+(1-EXP(-LN(2)/25))/(LN(2)/25)*Calculateur!V184*Calculateur!X184*VLOOKUP('Données projet'!$B$9,Paramètres!$A$1:$I$89,3,0)*0.475*44/12</f>
        <v>0.78585720681985682</v>
      </c>
      <c r="AB184" s="21">
        <f>EXP(-LN(2)/2)*AB183+(1-EXP(-LN(2)/2))/(LN(2)/2)*V184*Y184*VLOOKUP('Données projet'!$B$9,Paramètres!$A$1:$I$89,3,0)*0.475*44/12</f>
        <v>1.4067479558712322E-23</v>
      </c>
      <c r="AC184" s="22">
        <f t="shared" si="163"/>
        <v>22.30150754968362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292.78079999999977</v>
      </c>
      <c r="AK184" s="13">
        <f t="shared" si="164"/>
        <v>69.660903052386217</v>
      </c>
      <c r="AL184" s="20">
        <f t="shared" si="165"/>
        <v>631.25263281623893</v>
      </c>
      <c r="AM184" s="59">
        <f t="shared" si="113"/>
        <v>924.58596614957219</v>
      </c>
      <c r="AN184" s="59">
        <f ca="1">AVERAGE(OFFSET($AM$3,0,0,'Données projet'!$E$10+1,1))-AVERAGE(OFFSET($H$3,0,0,'Données projet'!$E$10+1,1))</f>
        <v>331.52724290297675</v>
      </c>
      <c r="AO184" s="59">
        <f t="shared" si="144"/>
        <v>322.79102610158054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8.3392032375547025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8.3392032375547025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246.8543999999998</v>
      </c>
      <c r="BF184" s="13">
        <f t="shared" si="167"/>
        <v>59.911862368716115</v>
      </c>
      <c r="BG184" s="20">
        <f t="shared" si="168"/>
        <v>534.28457362551353</v>
      </c>
      <c r="BH184" s="59">
        <f t="shared" si="116"/>
        <v>827.61790695884679</v>
      </c>
      <c r="BI184" s="59">
        <f ca="1">AVERAGE(OFFSET($BH$3,0,0,'Données projet'!$E$11+1,1))-AVERAGE(OFFSET($H$3,0,0,'Données projet'!$E$11+1,1))</f>
        <v>273.84349636755343</v>
      </c>
      <c r="BJ184" s="59">
        <f t="shared" si="146"/>
        <v>268.10688874775451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7.0310929257814134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7.0310929257814134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401</v>
      </c>
      <c r="BZ184" s="13">
        <f>BY184*VLOOKUP('Données projet'!$B$12,Paramètres!$A$1:$I$89,3,0)*VLOOKUP('Données projet'!$B$12,Paramètres!$A$1:$I$89,5,0)</f>
        <v>250.22399999999999</v>
      </c>
      <c r="CA184" s="13">
        <f t="shared" si="170"/>
        <v>60.633904580527918</v>
      </c>
      <c r="CB184" s="20">
        <f t="shared" si="171"/>
        <v>541.41085047775289</v>
      </c>
      <c r="CC184" s="59">
        <f t="shared" si="119"/>
        <v>834.74418381108626</v>
      </c>
      <c r="CD184" s="59">
        <f ca="1">AVERAGE(OFFSET($CC$3,0,0,'Données projet'!$E$12+1,1))-AVERAGE(OFFSET($H$3,0,0,'Données projet'!$E$12+1,1))</f>
        <v>269.77739619445515</v>
      </c>
      <c r="CE184" s="59">
        <f t="shared" si="148"/>
        <v>347.56964743629885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6.97272144223684</v>
      </c>
      <c r="CL184" s="21">
        <f>EXP(-LN(2)/25)*CL183+(1-EXP(-LN(2)/25))/(LN(2)/25)*Calculateur!CG184*Calculateur!CI184*VLOOKUP('Données projet'!$B$12,Paramètres!$A$1:$I$89,3,0)*0.475*44/12</f>
        <v>1.3942733890256476</v>
      </c>
      <c r="CM184" s="21">
        <f>EXP(-LN(2)/2)*CM183+(1-EXP(-LN(2)/2))/(LN(2)/2)*CG184*CJ184*VLOOKUP('Données projet'!$B$12,Paramètres!$A$1:$I$89,3,0)*0.475*44/12</f>
        <v>4.6489834526956278E-25</v>
      </c>
      <c r="CN184" s="22">
        <f t="shared" si="172"/>
        <v>8.3669948312624882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852.00000000000011</v>
      </c>
      <c r="O185" s="13">
        <f>N185*VLOOKUP('Données projet'!$B$9,Paramètres!$A$1:$I$89,3,0)*VLOOKUP('Données projet'!$B$9,Paramètres!$A$1:$I$89,5,0)</f>
        <v>420.88800000000009</v>
      </c>
      <c r="P185" s="13">
        <f t="shared" si="141"/>
        <v>95.998759891259041</v>
      </c>
      <c r="Q185" s="20">
        <f t="shared" si="162"/>
        <v>900.24444014394294</v>
      </c>
      <c r="R185" s="59">
        <f t="shared" si="109"/>
        <v>1193.5777734772762</v>
      </c>
      <c r="S185" s="59">
        <f ca="1">AVERAGE(OFFSET($R$3,0,0,'Données projet'!$E$9+1,1))-AVERAGE(OFFSET($H$3,0,0,'Données projet'!$E$9+1,1))</f>
        <v>434.08297999735811</v>
      </c>
      <c r="T185" s="59">
        <f t="shared" si="142"/>
        <v>371.04090283546122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21.0937415628911</v>
      </c>
      <c r="AA185" s="21">
        <f>EXP(-LN(2)/25)*AA184+(1-EXP(-LN(2)/25))/(LN(2)/25)*Calculateur!V185*Calculateur!X185*VLOOKUP('Données projet'!$B$9,Paramètres!$A$1:$I$89,3,0)*0.475*44/12</f>
        <v>0.76436790017293343</v>
      </c>
      <c r="AB185" s="21">
        <f>EXP(-LN(2)/2)*AB184+(1-EXP(-LN(2)/2))/(LN(2)/2)*V185*Y185*VLOOKUP('Données projet'!$B$9,Paramètres!$A$1:$I$89,3,0)*0.475*44/12</f>
        <v>9.9472101901686246E-24</v>
      </c>
      <c r="AC185" s="22">
        <f t="shared" si="163"/>
        <v>21.858109463064032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292.78079999999977</v>
      </c>
      <c r="AK185" s="13">
        <f t="shared" si="164"/>
        <v>69.660903052386217</v>
      </c>
      <c r="AL185" s="20">
        <f t="shared" si="165"/>
        <v>631.25263281623893</v>
      </c>
      <c r="AM185" s="59">
        <f t="shared" si="113"/>
        <v>924.58596614957219</v>
      </c>
      <c r="AN185" s="59">
        <f ca="1">AVERAGE(OFFSET($AM$3,0,0,'Données projet'!$E$10+1,1))-AVERAGE(OFFSET($H$3,0,0,'Données projet'!$E$10+1,1))</f>
        <v>331.52724290297675</v>
      </c>
      <c r="AO185" s="59">
        <f t="shared" si="144"/>
        <v>322.79102610158054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8.1756765484779876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8.1756765484779876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246.8543999999998</v>
      </c>
      <c r="BF185" s="13">
        <f t="shared" si="167"/>
        <v>59.911862368716115</v>
      </c>
      <c r="BG185" s="20">
        <f t="shared" si="168"/>
        <v>534.28457362551353</v>
      </c>
      <c r="BH185" s="59">
        <f t="shared" si="116"/>
        <v>827.61790695884679</v>
      </c>
      <c r="BI185" s="59">
        <f ca="1">AVERAGE(OFFSET($BH$3,0,0,'Données projet'!$E$11+1,1))-AVERAGE(OFFSET($H$3,0,0,'Données projet'!$E$11+1,1))</f>
        <v>273.84349636755343</v>
      </c>
      <c r="BJ185" s="59">
        <f t="shared" si="146"/>
        <v>268.10688874775451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6.8932174820500665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6.8932174820500665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401</v>
      </c>
      <c r="BZ185" s="13">
        <f>BY185*VLOOKUP('Données projet'!$B$12,Paramètres!$A$1:$I$89,3,0)*VLOOKUP('Données projet'!$B$12,Paramètres!$A$1:$I$89,5,0)</f>
        <v>250.22399999999999</v>
      </c>
      <c r="CA185" s="13">
        <f t="shared" si="170"/>
        <v>60.633904580527918</v>
      </c>
      <c r="CB185" s="20">
        <f t="shared" si="171"/>
        <v>541.41085047775289</v>
      </c>
      <c r="CC185" s="59">
        <f t="shared" si="119"/>
        <v>834.74418381108626</v>
      </c>
      <c r="CD185" s="59">
        <f ca="1">AVERAGE(OFFSET($CC$3,0,0,'Données projet'!$E$12+1,1))-AVERAGE(OFFSET($H$3,0,0,'Données projet'!$E$12+1,1))</f>
        <v>269.77739619445515</v>
      </c>
      <c r="CE185" s="59">
        <f t="shared" si="148"/>
        <v>347.56964743629885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6.835990627694712</v>
      </c>
      <c r="CL185" s="21">
        <f>EXP(-LN(2)/25)*CL184+(1-EXP(-LN(2)/25))/(LN(2)/25)*Calculateur!CG185*Calculateur!CI185*VLOOKUP('Données projet'!$B$12,Paramètres!$A$1:$I$89,3,0)*0.475*44/12</f>
        <v>1.3561469098810903</v>
      </c>
      <c r="CM185" s="21">
        <f>EXP(-LN(2)/2)*CM184+(1-EXP(-LN(2)/2))/(LN(2)/2)*CG185*CJ185*VLOOKUP('Données projet'!$B$12,Paramètres!$A$1:$I$89,3,0)*0.475*44/12</f>
        <v>3.2873277250251276E-25</v>
      </c>
      <c r="CN185" s="22">
        <f t="shared" si="172"/>
        <v>8.1921375375758032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852.00000000000011</v>
      </c>
      <c r="O186" s="13">
        <f>N186*VLOOKUP('Données projet'!$B$9,Paramètres!$A$1:$I$89,3,0)*VLOOKUP('Données projet'!$B$9,Paramètres!$A$1:$I$89,5,0)</f>
        <v>420.88800000000009</v>
      </c>
      <c r="P186" s="13">
        <f t="shared" si="141"/>
        <v>95.998759891259041</v>
      </c>
      <c r="Q186" s="20">
        <f t="shared" si="162"/>
        <v>900.24444014394294</v>
      </c>
      <c r="R186" s="59">
        <f t="shared" si="109"/>
        <v>1193.5777734772762</v>
      </c>
      <c r="S186" s="59">
        <f ca="1">AVERAGE(OFFSET($R$3,0,0,'Données projet'!$E$9+1,1))-AVERAGE(OFFSET($H$3,0,0,'Données projet'!$E$9+1,1))</f>
        <v>434.08297999735811</v>
      </c>
      <c r="T186" s="59">
        <f t="shared" si="142"/>
        <v>371.04090283546122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20.680106156754757</v>
      </c>
      <c r="AA186" s="21">
        <f>EXP(-LN(2)/25)*AA185+(1-EXP(-LN(2)/25))/(LN(2)/25)*Calculateur!V186*Calculateur!X186*VLOOKUP('Données projet'!$B$9,Paramètres!$A$1:$I$89,3,0)*0.475*44/12</f>
        <v>0.74346621974634364</v>
      </c>
      <c r="AB186" s="21">
        <f>EXP(-LN(2)/2)*AB185+(1-EXP(-LN(2)/2))/(LN(2)/2)*V186*Y186*VLOOKUP('Données projet'!$B$9,Paramètres!$A$1:$I$89,3,0)*0.475*44/12</f>
        <v>7.0337397793561612E-24</v>
      </c>
      <c r="AC186" s="22">
        <f t="shared" si="163"/>
        <v>21.423572376501102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292.78079999999977</v>
      </c>
      <c r="AK186" s="13">
        <f t="shared" si="164"/>
        <v>69.660903052386217</v>
      </c>
      <c r="AL186" s="20">
        <f t="shared" si="165"/>
        <v>631.25263281623893</v>
      </c>
      <c r="AM186" s="59">
        <f t="shared" si="113"/>
        <v>924.58596614957219</v>
      </c>
      <c r="AN186" s="59">
        <f ca="1">AVERAGE(OFFSET($AM$3,0,0,'Données projet'!$E$10+1,1))-AVERAGE(OFFSET($H$3,0,0,'Données projet'!$E$10+1,1))</f>
        <v>331.52724290297675</v>
      </c>
      <c r="AO186" s="59">
        <f t="shared" si="144"/>
        <v>322.79102610158054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8.015356518032636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8.015356518032636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246.8543999999998</v>
      </c>
      <c r="BF186" s="13">
        <f t="shared" si="167"/>
        <v>59.911862368716115</v>
      </c>
      <c r="BG186" s="20">
        <f t="shared" si="168"/>
        <v>534.28457362551353</v>
      </c>
      <c r="BH186" s="59">
        <f t="shared" si="116"/>
        <v>827.61790695884679</v>
      </c>
      <c r="BI186" s="59">
        <f ca="1">AVERAGE(OFFSET($BH$3,0,0,'Données projet'!$E$11+1,1))-AVERAGE(OFFSET($H$3,0,0,'Données projet'!$E$11+1,1))</f>
        <v>273.84349636755343</v>
      </c>
      <c r="BJ186" s="59">
        <f t="shared" si="146"/>
        <v>268.10688874775451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6.7580456916745737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6.7580456916745737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401</v>
      </c>
      <c r="BZ186" s="13">
        <f>BY186*VLOOKUP('Données projet'!$B$12,Paramètres!$A$1:$I$89,3,0)*VLOOKUP('Données projet'!$B$12,Paramètres!$A$1:$I$89,5,0)</f>
        <v>250.22399999999999</v>
      </c>
      <c r="CA186" s="13">
        <f t="shared" si="170"/>
        <v>60.633904580527918</v>
      </c>
      <c r="CB186" s="20">
        <f t="shared" si="171"/>
        <v>541.41085047775289</v>
      </c>
      <c r="CC186" s="59">
        <f t="shared" si="119"/>
        <v>834.74418381108626</v>
      </c>
      <c r="CD186" s="59">
        <f ca="1">AVERAGE(OFFSET($CC$3,0,0,'Données projet'!$E$12+1,1))-AVERAGE(OFFSET($H$3,0,0,'Données projet'!$E$12+1,1))</f>
        <v>269.77739619445515</v>
      </c>
      <c r="CE186" s="59">
        <f t="shared" si="148"/>
        <v>347.56964743629885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6.7019410210281931</v>
      </c>
      <c r="CL186" s="21">
        <f>EXP(-LN(2)/25)*CL185+(1-EXP(-LN(2)/25))/(LN(2)/25)*Calculateur!CG186*Calculateur!CI186*VLOOKUP('Données projet'!$B$12,Paramètres!$A$1:$I$89,3,0)*0.475*44/12</f>
        <v>1.3190630013137254</v>
      </c>
      <c r="CM186" s="21">
        <f>EXP(-LN(2)/2)*CM185+(1-EXP(-LN(2)/2))/(LN(2)/2)*CG186*CJ186*VLOOKUP('Données projet'!$B$12,Paramètres!$A$1:$I$89,3,0)*0.475*44/12</f>
        <v>2.3244917263478139E-25</v>
      </c>
      <c r="CN186" s="22">
        <f t="shared" si="172"/>
        <v>8.0210040223419181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852.00000000000011</v>
      </c>
      <c r="O187" s="13">
        <f>N187*VLOOKUP('Données projet'!$B$9,Paramètres!$A$1:$I$89,3,0)*VLOOKUP('Données projet'!$B$9,Paramètres!$A$1:$I$89,5,0)</f>
        <v>420.88800000000009</v>
      </c>
      <c r="P187" s="13">
        <f t="shared" si="141"/>
        <v>95.998759891259041</v>
      </c>
      <c r="Q187" s="20">
        <f t="shared" si="162"/>
        <v>900.24444014394294</v>
      </c>
      <c r="R187" s="59">
        <f t="shared" si="109"/>
        <v>1193.5777734772762</v>
      </c>
      <c r="S187" s="59">
        <f ca="1">AVERAGE(OFFSET($R$3,0,0,'Données projet'!$E$9+1,1))-AVERAGE(OFFSET($H$3,0,0,'Données projet'!$E$9+1,1))</f>
        <v>434.08297999735811</v>
      </c>
      <c r="T187" s="59">
        <f t="shared" si="142"/>
        <v>371.04090283546122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20.274581888640061</v>
      </c>
      <c r="AA187" s="21">
        <f>EXP(-LN(2)/25)*AA186+(1-EXP(-LN(2)/25))/(LN(2)/25)*Calculateur!V187*Calculateur!X187*VLOOKUP('Données projet'!$B$9,Paramètres!$A$1:$I$89,3,0)*0.475*44/12</f>
        <v>0.72313609687019054</v>
      </c>
      <c r="AB187" s="21">
        <f>EXP(-LN(2)/2)*AB186+(1-EXP(-LN(2)/2))/(LN(2)/2)*V187*Y187*VLOOKUP('Données projet'!$B$9,Paramètres!$A$1:$I$89,3,0)*0.475*44/12</f>
        <v>4.9736050950843123E-24</v>
      </c>
      <c r="AC187" s="22">
        <f t="shared" si="163"/>
        <v>20.997717985510253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292.78079999999977</v>
      </c>
      <c r="AK187" s="13">
        <f t="shared" si="164"/>
        <v>69.660903052386217</v>
      </c>
      <c r="AL187" s="20">
        <f t="shared" si="165"/>
        <v>631.25263281623893</v>
      </c>
      <c r="AM187" s="59">
        <f t="shared" si="113"/>
        <v>924.58596614957219</v>
      </c>
      <c r="AN187" s="59">
        <f ca="1">AVERAGE(OFFSET($AM$3,0,0,'Données projet'!$E$10+1,1))-AVERAGE(OFFSET($H$3,0,0,'Données projet'!$E$10+1,1))</f>
        <v>331.52724290297675</v>
      </c>
      <c r="AO187" s="59">
        <f t="shared" si="144"/>
        <v>322.79102610158054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7.8581802655987545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7.8581802655987545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246.8543999999998</v>
      </c>
      <c r="BF187" s="13">
        <f t="shared" si="167"/>
        <v>59.911862368716115</v>
      </c>
      <c r="BG187" s="20">
        <f t="shared" si="168"/>
        <v>534.28457362551353</v>
      </c>
      <c r="BH187" s="59">
        <f t="shared" si="116"/>
        <v>827.61790695884679</v>
      </c>
      <c r="BI187" s="59">
        <f ca="1">AVERAGE(OFFSET($BH$3,0,0,'Données projet'!$E$11+1,1))-AVERAGE(OFFSET($H$3,0,0,'Données projet'!$E$11+1,1))</f>
        <v>273.84349636755343</v>
      </c>
      <c r="BJ187" s="59">
        <f t="shared" si="146"/>
        <v>268.10688874775451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6.6255245376616934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6.6255245376616934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401</v>
      </c>
      <c r="BZ187" s="13">
        <f>BY187*VLOOKUP('Données projet'!$B$12,Paramètres!$A$1:$I$89,3,0)*VLOOKUP('Données projet'!$B$12,Paramètres!$A$1:$I$89,5,0)</f>
        <v>250.22399999999999</v>
      </c>
      <c r="CA187" s="13">
        <f t="shared" si="170"/>
        <v>60.633904580527918</v>
      </c>
      <c r="CB187" s="20">
        <f t="shared" si="171"/>
        <v>541.41085047775289</v>
      </c>
      <c r="CC187" s="59">
        <f t="shared" si="119"/>
        <v>834.74418381108626</v>
      </c>
      <c r="CD187" s="59">
        <f ca="1">AVERAGE(OFFSET($CC$3,0,0,'Données projet'!$E$12+1,1))-AVERAGE(OFFSET($H$3,0,0,'Données projet'!$E$12+1,1))</f>
        <v>269.77739619445515</v>
      </c>
      <c r="CE187" s="59">
        <f t="shared" si="148"/>
        <v>347.56964743629885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6.5705200453862185</v>
      </c>
      <c r="CL187" s="21">
        <f>EXP(-LN(2)/25)*CL186+(1-EXP(-LN(2)/25))/(LN(2)/25)*Calculateur!CG187*Calculateur!CI187*VLOOKUP('Données projet'!$B$12,Paramètres!$A$1:$I$89,3,0)*0.475*44/12</f>
        <v>1.2829931541762931</v>
      </c>
      <c r="CM187" s="21">
        <f>EXP(-LN(2)/2)*CM186+(1-EXP(-LN(2)/2))/(LN(2)/2)*CG187*CJ187*VLOOKUP('Données projet'!$B$12,Paramètres!$A$1:$I$89,3,0)*0.475*44/12</f>
        <v>1.6436638625125638E-25</v>
      </c>
      <c r="CN187" s="22">
        <f t="shared" si="172"/>
        <v>7.8535131995625118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852.00000000000011</v>
      </c>
      <c r="O188" s="13">
        <f>N188*VLOOKUP('Données projet'!$B$9,Paramètres!$A$1:$I$89,3,0)*VLOOKUP('Données projet'!$B$9,Paramètres!$A$1:$I$89,5,0)</f>
        <v>420.88800000000009</v>
      </c>
      <c r="P188" s="13">
        <f t="shared" si="141"/>
        <v>95.998759891259041</v>
      </c>
      <c r="Q188" s="20">
        <f t="shared" si="162"/>
        <v>900.24444014394294</v>
      </c>
      <c r="R188" s="59">
        <f t="shared" si="109"/>
        <v>1193.5777734772762</v>
      </c>
      <c r="S188" s="59">
        <f ca="1">AVERAGE(OFFSET($R$3,0,0,'Données projet'!$E$9+1,1))-AVERAGE(OFFSET($H$3,0,0,'Données projet'!$E$9+1,1))</f>
        <v>434.08297999735811</v>
      </c>
      <c r="T188" s="59">
        <f t="shared" si="142"/>
        <v>371.04090283546122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19.877009704077715</v>
      </c>
      <c r="AA188" s="21">
        <f>EXP(-LN(2)/25)*AA187+(1-EXP(-LN(2)/25))/(LN(2)/25)*Calculateur!V188*Calculateur!X188*VLOOKUP('Données projet'!$B$9,Paramètres!$A$1:$I$89,3,0)*0.475*44/12</f>
        <v>0.70336190227320061</v>
      </c>
      <c r="AB188" s="21">
        <f>EXP(-LN(2)/2)*AB187+(1-EXP(-LN(2)/2))/(LN(2)/2)*V188*Y188*VLOOKUP('Données projet'!$B$9,Paramètres!$A$1:$I$89,3,0)*0.475*44/12</f>
        <v>3.5168698896780806E-24</v>
      </c>
      <c r="AC188" s="22">
        <f t="shared" si="163"/>
        <v>20.580371606350916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292.78079999999977</v>
      </c>
      <c r="AK188" s="13">
        <f t="shared" si="164"/>
        <v>69.660903052386217</v>
      </c>
      <c r="AL188" s="20">
        <f t="shared" si="165"/>
        <v>631.25263281623893</v>
      </c>
      <c r="AM188" s="59">
        <f t="shared" si="113"/>
        <v>924.58596614957219</v>
      </c>
      <c r="AN188" s="59">
        <f ca="1">AVERAGE(OFFSET($AM$3,0,0,'Données projet'!$E$10+1,1))-AVERAGE(OFFSET($H$3,0,0,'Données projet'!$E$10+1,1))</f>
        <v>331.52724290297675</v>
      </c>
      <c r="AO188" s="59">
        <f t="shared" si="144"/>
        <v>322.79102610158054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7.7040861436070536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7.7040861436070536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246.8543999999998</v>
      </c>
      <c r="BF188" s="13">
        <f t="shared" si="167"/>
        <v>59.911862368716115</v>
      </c>
      <c r="BG188" s="20">
        <f t="shared" si="168"/>
        <v>534.28457362551353</v>
      </c>
      <c r="BH188" s="59">
        <f t="shared" si="116"/>
        <v>827.61790695884679</v>
      </c>
      <c r="BI188" s="59">
        <f ca="1">AVERAGE(OFFSET($BH$3,0,0,'Données projet'!$E$11+1,1))-AVERAGE(OFFSET($H$3,0,0,'Données projet'!$E$11+1,1))</f>
        <v>273.84349636755343</v>
      </c>
      <c r="BJ188" s="59">
        <f t="shared" si="146"/>
        <v>268.10688874775451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6.4956020426490833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6.4956020426490833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401</v>
      </c>
      <c r="BZ188" s="13">
        <f>BY188*VLOOKUP('Données projet'!$B$12,Paramètres!$A$1:$I$89,3,0)*VLOOKUP('Données projet'!$B$12,Paramètres!$A$1:$I$89,5,0)</f>
        <v>250.22399999999999</v>
      </c>
      <c r="CA188" s="13">
        <f t="shared" si="170"/>
        <v>60.633904580527918</v>
      </c>
      <c r="CB188" s="20">
        <f t="shared" si="171"/>
        <v>541.41085047775289</v>
      </c>
      <c r="CC188" s="59">
        <f t="shared" si="119"/>
        <v>834.74418381108626</v>
      </c>
      <c r="CD188" s="59">
        <f ca="1">AVERAGE(OFFSET($CC$3,0,0,'Données projet'!$E$12+1,1))-AVERAGE(OFFSET($H$3,0,0,'Données projet'!$E$12+1,1))</f>
        <v>269.77739619445515</v>
      </c>
      <c r="CE188" s="59">
        <f t="shared" si="148"/>
        <v>347.56964743629885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6.4416761549177028</v>
      </c>
      <c r="CL188" s="21">
        <f>EXP(-LN(2)/25)*CL187+(1-EXP(-LN(2)/25))/(LN(2)/25)*Calculateur!CG188*Calculateur!CI188*VLOOKUP('Données projet'!$B$12,Paramètres!$A$1:$I$89,3,0)*0.475*44/12</f>
        <v>1.2479096389056648</v>
      </c>
      <c r="CM188" s="21">
        <f>EXP(-LN(2)/2)*CM187+(1-EXP(-LN(2)/2))/(LN(2)/2)*CG188*CJ188*VLOOKUP('Données projet'!$B$12,Paramètres!$A$1:$I$89,3,0)*0.475*44/12</f>
        <v>1.162245863173907E-25</v>
      </c>
      <c r="CN188" s="22">
        <f t="shared" si="172"/>
        <v>7.6895857938233672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852.00000000000011</v>
      </c>
      <c r="O189" s="13">
        <f>N189*VLOOKUP('Données projet'!$B$9,Paramètres!$A$1:$I$89,3,0)*VLOOKUP('Données projet'!$B$9,Paramètres!$A$1:$I$89,5,0)</f>
        <v>420.88800000000009</v>
      </c>
      <c r="P189" s="13">
        <f t="shared" si="141"/>
        <v>95.998759891259041</v>
      </c>
      <c r="Q189" s="20">
        <f t="shared" si="162"/>
        <v>900.24444014394294</v>
      </c>
      <c r="R189" s="59">
        <f t="shared" si="109"/>
        <v>1193.5777734772762</v>
      </c>
      <c r="S189" s="59">
        <f ca="1">AVERAGE(OFFSET($R$3,0,0,'Données projet'!$E$9+1,1))-AVERAGE(OFFSET($H$3,0,0,'Données projet'!$E$9+1,1))</f>
        <v>434.08297999735811</v>
      </c>
      <c r="T189" s="59">
        <f t="shared" si="142"/>
        <v>371.04090283546122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19.487233667559547</v>
      </c>
      <c r="AA189" s="21">
        <f>EXP(-LN(2)/25)*AA188+(1-EXP(-LN(2)/25))/(LN(2)/25)*Calculateur!V189*Calculateur!X189*VLOOKUP('Données projet'!$B$9,Paramètres!$A$1:$I$89,3,0)*0.475*44/12</f>
        <v>0.68412843406734503</v>
      </c>
      <c r="AB189" s="21">
        <f>EXP(-LN(2)/2)*AB188+(1-EXP(-LN(2)/2))/(LN(2)/2)*V189*Y189*VLOOKUP('Données projet'!$B$9,Paramètres!$A$1:$I$89,3,0)*0.475*44/12</f>
        <v>2.4868025475421562E-24</v>
      </c>
      <c r="AC189" s="22">
        <f t="shared" si="163"/>
        <v>20.17136210162689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292.78079999999977</v>
      </c>
      <c r="AK189" s="13">
        <f t="shared" si="164"/>
        <v>69.660903052386217</v>
      </c>
      <c r="AL189" s="20">
        <f t="shared" si="165"/>
        <v>631.25263281623893</v>
      </c>
      <c r="AM189" s="59">
        <f t="shared" si="113"/>
        <v>924.58596614957219</v>
      </c>
      <c r="AN189" s="59">
        <f ca="1">AVERAGE(OFFSET($AM$3,0,0,'Données projet'!$E$10+1,1))-AVERAGE(OFFSET($H$3,0,0,'Données projet'!$E$10+1,1))</f>
        <v>331.52724290297675</v>
      </c>
      <c r="AO189" s="59">
        <f t="shared" si="144"/>
        <v>322.79102610158054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7.5530137133594764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7.5530137133594764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246.8543999999998</v>
      </c>
      <c r="BF189" s="13">
        <f t="shared" si="167"/>
        <v>59.911862368716115</v>
      </c>
      <c r="BG189" s="20">
        <f t="shared" si="168"/>
        <v>534.28457362551353</v>
      </c>
      <c r="BH189" s="59">
        <f t="shared" si="116"/>
        <v>827.61790695884679</v>
      </c>
      <c r="BI189" s="59">
        <f ca="1">AVERAGE(OFFSET($BH$3,0,0,'Données projet'!$E$11+1,1))-AVERAGE(OFFSET($H$3,0,0,'Données projet'!$E$11+1,1))</f>
        <v>273.84349636755343</v>
      </c>
      <c r="BJ189" s="59">
        <f t="shared" si="146"/>
        <v>268.10688874775451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6.3682272485187728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6.3682272485187728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401</v>
      </c>
      <c r="BZ189" s="13">
        <f>BY189*VLOOKUP('Données projet'!$B$12,Paramètres!$A$1:$I$89,3,0)*VLOOKUP('Données projet'!$B$12,Paramètres!$A$1:$I$89,5,0)</f>
        <v>250.22399999999999</v>
      </c>
      <c r="CA189" s="13">
        <f t="shared" si="170"/>
        <v>60.633904580527918</v>
      </c>
      <c r="CB189" s="20">
        <f t="shared" si="171"/>
        <v>541.41085047775289</v>
      </c>
      <c r="CC189" s="59">
        <f t="shared" si="119"/>
        <v>834.74418381108626</v>
      </c>
      <c r="CD189" s="59">
        <f ca="1">AVERAGE(OFFSET($CC$3,0,0,'Données projet'!$E$12+1,1))-AVERAGE(OFFSET($H$3,0,0,'Données projet'!$E$12+1,1))</f>
        <v>269.77739619445515</v>
      </c>
      <c r="CE189" s="59">
        <f t="shared" si="148"/>
        <v>347.56964743629885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6.3153588145542612</v>
      </c>
      <c r="CL189" s="21">
        <f>EXP(-LN(2)/25)*CL188+(1-EXP(-LN(2)/25))/(LN(2)/25)*Calculateur!CG189*Calculateur!CI189*VLOOKUP('Données projet'!$B$12,Paramètres!$A$1:$I$89,3,0)*0.475*44/12</f>
        <v>1.2137854842050735</v>
      </c>
      <c r="CM189" s="21">
        <f>EXP(-LN(2)/2)*CM188+(1-EXP(-LN(2)/2))/(LN(2)/2)*CG189*CJ189*VLOOKUP('Données projet'!$B$12,Paramètres!$A$1:$I$89,3,0)*0.475*44/12</f>
        <v>8.218319312562819E-26</v>
      </c>
      <c r="CN189" s="22">
        <f t="shared" si="172"/>
        <v>7.5291442987593342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852.00000000000011</v>
      </c>
      <c r="O190" s="13">
        <f>N190*VLOOKUP('Données projet'!$B$9,Paramètres!$A$1:$I$89,3,0)*VLOOKUP('Données projet'!$B$9,Paramètres!$A$1:$I$89,5,0)</f>
        <v>420.88800000000009</v>
      </c>
      <c r="P190" s="13">
        <f t="shared" si="141"/>
        <v>95.998759891259041</v>
      </c>
      <c r="Q190" s="20">
        <f t="shared" si="162"/>
        <v>900.24444014394294</v>
      </c>
      <c r="R190" s="59">
        <f t="shared" si="109"/>
        <v>1193.5777734772762</v>
      </c>
      <c r="S190" s="59">
        <f ca="1">AVERAGE(OFFSET($R$3,0,0,'Données projet'!$E$9+1,1))-AVERAGE(OFFSET($H$3,0,0,'Données projet'!$E$9+1,1))</f>
        <v>434.08297999735811</v>
      </c>
      <c r="T190" s="59">
        <f t="shared" si="142"/>
        <v>371.04090283546122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19.105100901377593</v>
      </c>
      <c r="AA190" s="21">
        <f>EXP(-LN(2)/25)*AA189+(1-EXP(-LN(2)/25))/(LN(2)/25)*Calculateur!V190*Calculateur!X190*VLOOKUP('Données projet'!$B$9,Paramètres!$A$1:$I$89,3,0)*0.475*44/12</f>
        <v>0.66542090606102278</v>
      </c>
      <c r="AB190" s="21">
        <f>EXP(-LN(2)/2)*AB189+(1-EXP(-LN(2)/2))/(LN(2)/2)*V190*Y190*VLOOKUP('Données projet'!$B$9,Paramètres!$A$1:$I$89,3,0)*0.475*44/12</f>
        <v>1.7584349448390403E-24</v>
      </c>
      <c r="AC190" s="22">
        <f t="shared" si="163"/>
        <v>19.770521807438616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292.78079999999977</v>
      </c>
      <c r="AK190" s="13">
        <f t="shared" si="164"/>
        <v>69.660903052386217</v>
      </c>
      <c r="AL190" s="20">
        <f t="shared" si="165"/>
        <v>631.25263281623893</v>
      </c>
      <c r="AM190" s="59">
        <f t="shared" si="113"/>
        <v>924.58596614957219</v>
      </c>
      <c r="AN190" s="59">
        <f ca="1">AVERAGE(OFFSET($AM$3,0,0,'Données projet'!$E$10+1,1))-AVERAGE(OFFSET($H$3,0,0,'Données projet'!$E$10+1,1))</f>
        <v>331.52724290297675</v>
      </c>
      <c r="AO190" s="59">
        <f t="shared" si="144"/>
        <v>322.79102610158054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7.4049037213239703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7.4049037213239703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246.8543999999998</v>
      </c>
      <c r="BF190" s="13">
        <f t="shared" si="167"/>
        <v>59.911862368716115</v>
      </c>
      <c r="BG190" s="20">
        <f t="shared" si="168"/>
        <v>534.28457362551353</v>
      </c>
      <c r="BH190" s="59">
        <f t="shared" si="116"/>
        <v>827.61790695884679</v>
      </c>
      <c r="BI190" s="59">
        <f ca="1">AVERAGE(OFFSET($BH$3,0,0,'Données projet'!$E$11+1,1))-AVERAGE(OFFSET($H$3,0,0,'Données projet'!$E$11+1,1))</f>
        <v>273.84349636755343</v>
      </c>
      <c r="BJ190" s="59">
        <f t="shared" si="146"/>
        <v>268.10688874775451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6.2433501964104048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6.2433501964104048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401</v>
      </c>
      <c r="BZ190" s="13">
        <f>BY190*VLOOKUP('Données projet'!$B$12,Paramètres!$A$1:$I$89,3,0)*VLOOKUP('Données projet'!$B$12,Paramètres!$A$1:$I$89,5,0)</f>
        <v>250.22399999999999</v>
      </c>
      <c r="CA190" s="13">
        <f t="shared" si="170"/>
        <v>60.633904580527918</v>
      </c>
      <c r="CB190" s="20">
        <f t="shared" si="171"/>
        <v>541.41085047775289</v>
      </c>
      <c r="CC190" s="59">
        <f t="shared" si="119"/>
        <v>834.74418381108626</v>
      </c>
      <c r="CD190" s="59">
        <f ca="1">AVERAGE(OFFSET($CC$3,0,0,'Données projet'!$E$12+1,1))-AVERAGE(OFFSET($H$3,0,0,'Données projet'!$E$12+1,1))</f>
        <v>269.77739619445515</v>
      </c>
      <c r="CE190" s="59">
        <f t="shared" si="148"/>
        <v>347.56964743629885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6.1915184801893766</v>
      </c>
      <c r="CL190" s="21">
        <f>EXP(-LN(2)/25)*CL189+(1-EXP(-LN(2)/25))/(LN(2)/25)*Calculateur!CG190*Calculateur!CI190*VLOOKUP('Données projet'!$B$12,Paramètres!$A$1:$I$89,3,0)*0.475*44/12</f>
        <v>1.1805944563092812</v>
      </c>
      <c r="CM190" s="21">
        <f>EXP(-LN(2)/2)*CM189+(1-EXP(-LN(2)/2))/(LN(2)/2)*CG190*CJ190*VLOOKUP('Données projet'!$B$12,Paramètres!$A$1:$I$89,3,0)*0.475*44/12</f>
        <v>5.8112293158695348E-26</v>
      </c>
      <c r="CN190" s="22">
        <f t="shared" si="172"/>
        <v>7.3721129364986577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852.00000000000011</v>
      </c>
      <c r="O191" s="13">
        <f>N191*VLOOKUP('Données projet'!$B$9,Paramètres!$A$1:$I$89,3,0)*VLOOKUP('Données projet'!$B$9,Paramètres!$A$1:$I$89,5,0)</f>
        <v>420.88800000000009</v>
      </c>
      <c r="P191" s="13">
        <f t="shared" si="141"/>
        <v>95.998759891259041</v>
      </c>
      <c r="Q191" s="20">
        <f t="shared" si="162"/>
        <v>900.24444014394294</v>
      </c>
      <c r="R191" s="59">
        <f t="shared" si="109"/>
        <v>1193.5777734772762</v>
      </c>
      <c r="S191" s="59">
        <f ca="1">AVERAGE(OFFSET($R$3,0,0,'Données projet'!$E$9+1,1))-AVERAGE(OFFSET($H$3,0,0,'Données projet'!$E$9+1,1))</f>
        <v>434.08297999735811</v>
      </c>
      <c r="T191" s="59">
        <f t="shared" si="142"/>
        <v>371.04090283546122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18.730461525662495</v>
      </c>
      <c r="AA191" s="21">
        <f>EXP(-LN(2)/25)*AA190+(1-EXP(-LN(2)/25))/(LN(2)/25)*Calculateur!V191*Calculateur!X191*VLOOKUP('Données projet'!$B$9,Paramètres!$A$1:$I$89,3,0)*0.475*44/12</f>
        <v>0.64722493639181955</v>
      </c>
      <c r="AB191" s="21">
        <f>EXP(-LN(2)/2)*AB190+(1-EXP(-LN(2)/2))/(LN(2)/2)*V191*Y191*VLOOKUP('Données projet'!$B$9,Paramètres!$A$1:$I$89,3,0)*0.475*44/12</f>
        <v>1.2434012737710781E-24</v>
      </c>
      <c r="AC191" s="22">
        <f t="shared" si="163"/>
        <v>19.377686462054314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292.78079999999977</v>
      </c>
      <c r="AK191" s="13">
        <f t="shared" si="164"/>
        <v>69.660903052386217</v>
      </c>
      <c r="AL191" s="20">
        <f t="shared" si="165"/>
        <v>631.25263281623893</v>
      </c>
      <c r="AM191" s="59">
        <f t="shared" si="113"/>
        <v>924.58596614957219</v>
      </c>
      <c r="AN191" s="59">
        <f ca="1">AVERAGE(OFFSET($AM$3,0,0,'Données projet'!$E$10+1,1))-AVERAGE(OFFSET($H$3,0,0,'Données projet'!$E$10+1,1))</f>
        <v>331.52724290297675</v>
      </c>
      <c r="AO191" s="59">
        <f t="shared" si="144"/>
        <v>322.79102610158054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7.2596980758941054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7.2596980758941054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246.8543999999998</v>
      </c>
      <c r="BF191" s="13">
        <f t="shared" si="167"/>
        <v>59.911862368716115</v>
      </c>
      <c r="BG191" s="20">
        <f t="shared" si="168"/>
        <v>534.28457362551353</v>
      </c>
      <c r="BH191" s="59">
        <f t="shared" si="116"/>
        <v>827.61790695884679</v>
      </c>
      <c r="BI191" s="59">
        <f ca="1">AVERAGE(OFFSET($BH$3,0,0,'Données projet'!$E$11+1,1))-AVERAGE(OFFSET($H$3,0,0,'Données projet'!$E$11+1,1))</f>
        <v>273.84349636755343</v>
      </c>
      <c r="BJ191" s="59">
        <f t="shared" si="146"/>
        <v>268.10688874775451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6.1209219071264007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6.1209219071264007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401</v>
      </c>
      <c r="BZ191" s="13">
        <f>BY191*VLOOKUP('Données projet'!$B$12,Paramètres!$A$1:$I$89,3,0)*VLOOKUP('Données projet'!$B$12,Paramètres!$A$1:$I$89,5,0)</f>
        <v>250.22399999999999</v>
      </c>
      <c r="CA191" s="13">
        <f t="shared" si="170"/>
        <v>60.633904580527918</v>
      </c>
      <c r="CB191" s="20">
        <f t="shared" si="171"/>
        <v>541.41085047775289</v>
      </c>
      <c r="CC191" s="59">
        <f t="shared" si="119"/>
        <v>834.74418381108626</v>
      </c>
      <c r="CD191" s="59">
        <f ca="1">AVERAGE(OFFSET($CC$3,0,0,'Données projet'!$E$12+1,1))-AVERAGE(OFFSET($H$3,0,0,'Données projet'!$E$12+1,1))</f>
        <v>269.77739619445515</v>
      </c>
      <c r="CE191" s="59">
        <f t="shared" si="148"/>
        <v>347.56964743629885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6.0701065792462421</v>
      </c>
      <c r="CL191" s="21">
        <f>EXP(-LN(2)/25)*CL190+(1-EXP(-LN(2)/25))/(LN(2)/25)*Calculateur!CG191*Calculateur!CI191*VLOOKUP('Données projet'!$B$12,Paramètres!$A$1:$I$89,3,0)*0.475*44/12</f>
        <v>1.1483110388167397</v>
      </c>
      <c r="CM191" s="21">
        <f>EXP(-LN(2)/2)*CM190+(1-EXP(-LN(2)/2))/(LN(2)/2)*CG191*CJ191*VLOOKUP('Données projet'!$B$12,Paramètres!$A$1:$I$89,3,0)*0.475*44/12</f>
        <v>4.1091596562814095E-26</v>
      </c>
      <c r="CN191" s="22">
        <f t="shared" si="172"/>
        <v>7.2184176180629818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852.00000000000011</v>
      </c>
      <c r="O192" s="13">
        <f>N192*VLOOKUP('Données projet'!$B$9,Paramètres!$A$1:$I$89,3,0)*VLOOKUP('Données projet'!$B$9,Paramètres!$A$1:$I$89,5,0)</f>
        <v>420.88800000000009</v>
      </c>
      <c r="P192" s="13">
        <f t="shared" si="141"/>
        <v>95.998759891259041</v>
      </c>
      <c r="Q192" s="20">
        <f t="shared" si="162"/>
        <v>900.24444014394294</v>
      </c>
      <c r="R192" s="59">
        <f t="shared" si="109"/>
        <v>1193.5777734772762</v>
      </c>
      <c r="S192" s="59">
        <f ca="1">AVERAGE(OFFSET($R$3,0,0,'Données projet'!$E$9+1,1))-AVERAGE(OFFSET($H$3,0,0,'Données projet'!$E$9+1,1))</f>
        <v>434.08297999735811</v>
      </c>
      <c r="T192" s="59">
        <f t="shared" si="142"/>
        <v>371.04090283546122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18.363168599597714</v>
      </c>
      <c r="AA192" s="21">
        <f>EXP(-LN(2)/25)*AA191+(1-EXP(-LN(2)/25))/(LN(2)/25)*Calculateur!V192*Calculateur!X192*VLOOKUP('Données projet'!$B$9,Paramètres!$A$1:$I$89,3,0)*0.475*44/12</f>
        <v>0.62952653647010515</v>
      </c>
      <c r="AB192" s="21">
        <f>EXP(-LN(2)/2)*AB191+(1-EXP(-LN(2)/2))/(LN(2)/2)*V192*Y192*VLOOKUP('Données projet'!$B$9,Paramètres!$A$1:$I$89,3,0)*0.475*44/12</f>
        <v>8.7921747241952015E-25</v>
      </c>
      <c r="AC192" s="22">
        <f t="shared" si="163"/>
        <v>18.99269513606782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292.78079999999977</v>
      </c>
      <c r="AK192" s="13">
        <f t="shared" si="164"/>
        <v>69.660903052386217</v>
      </c>
      <c r="AL192" s="20">
        <f t="shared" si="165"/>
        <v>631.25263281623893</v>
      </c>
      <c r="AM192" s="59">
        <f t="shared" si="113"/>
        <v>924.58596614957219</v>
      </c>
      <c r="AN192" s="59">
        <f ca="1">AVERAGE(OFFSET($AM$3,0,0,'Données projet'!$E$10+1,1))-AVERAGE(OFFSET($H$3,0,0,'Données projet'!$E$10+1,1))</f>
        <v>331.52724290297675</v>
      </c>
      <c r="AO192" s="59">
        <f t="shared" si="144"/>
        <v>322.79102610158054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7.1173398246044215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7.1173398246044215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246.8543999999998</v>
      </c>
      <c r="BF192" s="13">
        <f t="shared" si="167"/>
        <v>59.911862368716115</v>
      </c>
      <c r="BG192" s="20">
        <f t="shared" si="168"/>
        <v>534.28457362551353</v>
      </c>
      <c r="BH192" s="59">
        <f t="shared" si="116"/>
        <v>827.61790695884679</v>
      </c>
      <c r="BI192" s="59">
        <f ca="1">AVERAGE(OFFSET($BH$3,0,0,'Données projet'!$E$11+1,1))-AVERAGE(OFFSET($H$3,0,0,'Données projet'!$E$11+1,1))</f>
        <v>273.84349636755343</v>
      </c>
      <c r="BJ192" s="59">
        <f t="shared" si="146"/>
        <v>268.10688874775451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6.0008943619213735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6.0008943619213735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401</v>
      </c>
      <c r="BZ192" s="13">
        <f>BY192*VLOOKUP('Données projet'!$B$12,Paramètres!$A$1:$I$89,3,0)*VLOOKUP('Données projet'!$B$12,Paramètres!$A$1:$I$89,5,0)</f>
        <v>250.22399999999999</v>
      </c>
      <c r="CA192" s="13">
        <f t="shared" si="170"/>
        <v>60.633904580527918</v>
      </c>
      <c r="CB192" s="20">
        <f t="shared" si="171"/>
        <v>541.41085047775289</v>
      </c>
      <c r="CC192" s="59">
        <f t="shared" si="119"/>
        <v>834.74418381108626</v>
      </c>
      <c r="CD192" s="59">
        <f ca="1">AVERAGE(OFFSET($CC$3,0,0,'Données projet'!$E$12+1,1))-AVERAGE(OFFSET($H$3,0,0,'Données projet'!$E$12+1,1))</f>
        <v>269.77739619445515</v>
      </c>
      <c r="CE192" s="59">
        <f t="shared" si="148"/>
        <v>347.56964743629885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5.9510754916266553</v>
      </c>
      <c r="CL192" s="21">
        <f>EXP(-LN(2)/25)*CL191+(1-EXP(-LN(2)/25))/(LN(2)/25)*Calculateur!CG192*Calculateur!CI192*VLOOKUP('Données projet'!$B$12,Paramètres!$A$1:$I$89,3,0)*0.475*44/12</f>
        <v>1.116910413073243</v>
      </c>
      <c r="CM192" s="21">
        <f>EXP(-LN(2)/2)*CM191+(1-EXP(-LN(2)/2))/(LN(2)/2)*CG192*CJ192*VLOOKUP('Données projet'!$B$12,Paramètres!$A$1:$I$89,3,0)*0.475*44/12</f>
        <v>2.9056146579347674E-26</v>
      </c>
      <c r="CN192" s="22">
        <f t="shared" si="172"/>
        <v>7.0679859046998983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852.00000000000011</v>
      </c>
      <c r="O193" s="13">
        <f>N193*VLOOKUP('Données projet'!$B$9,Paramètres!$A$1:$I$89,3,0)*VLOOKUP('Données projet'!$B$9,Paramètres!$A$1:$I$89,5,0)</f>
        <v>420.88800000000009</v>
      </c>
      <c r="P193" s="13">
        <f t="shared" si="141"/>
        <v>95.998759891259041</v>
      </c>
      <c r="Q193" s="20">
        <f t="shared" si="162"/>
        <v>900.24444014394294</v>
      </c>
      <c r="R193" s="59">
        <f t="shared" si="109"/>
        <v>1193.5777734772762</v>
      </c>
      <c r="S193" s="59">
        <f ca="1">AVERAGE(OFFSET($R$3,0,0,'Données projet'!$E$9+1,1))-AVERAGE(OFFSET($H$3,0,0,'Données projet'!$E$9+1,1))</f>
        <v>434.08297999735811</v>
      </c>
      <c r="T193" s="59">
        <f t="shared" si="142"/>
        <v>371.04090283546122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18.003078063786496</v>
      </c>
      <c r="AA193" s="21">
        <f>EXP(-LN(2)/25)*AA192+(1-EXP(-LN(2)/25))/(LN(2)/25)*Calculateur!V193*Calculateur!X193*VLOOKUP('Données projet'!$B$9,Paramètres!$A$1:$I$89,3,0)*0.475*44/12</f>
        <v>0.6123121002249684</v>
      </c>
      <c r="AB193" s="21">
        <f>EXP(-LN(2)/2)*AB192+(1-EXP(-LN(2)/2))/(LN(2)/2)*V193*Y193*VLOOKUP('Données projet'!$B$9,Paramètres!$A$1:$I$89,3,0)*0.475*44/12</f>
        <v>6.2170063688553904E-25</v>
      </c>
      <c r="AC193" s="22">
        <f t="shared" si="163"/>
        <v>18.615390164011465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292.78079999999977</v>
      </c>
      <c r="AK193" s="13">
        <f t="shared" si="164"/>
        <v>69.660903052386217</v>
      </c>
      <c r="AL193" s="20">
        <f t="shared" si="165"/>
        <v>631.25263281623893</v>
      </c>
      <c r="AM193" s="59">
        <f t="shared" si="113"/>
        <v>924.58596614957219</v>
      </c>
      <c r="AN193" s="59">
        <f ca="1">AVERAGE(OFFSET($AM$3,0,0,'Données projet'!$E$10+1,1))-AVERAGE(OFFSET($H$3,0,0,'Données projet'!$E$10+1,1))</f>
        <v>331.52724290297675</v>
      </c>
      <c r="AO193" s="59">
        <f t="shared" si="144"/>
        <v>322.79102610158054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6.9777731317925689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6.9777731317925689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246.8543999999998</v>
      </c>
      <c r="BF193" s="13">
        <f t="shared" si="167"/>
        <v>59.911862368716115</v>
      </c>
      <c r="BG193" s="20">
        <f t="shared" si="168"/>
        <v>534.28457362551353</v>
      </c>
      <c r="BH193" s="59">
        <f t="shared" si="116"/>
        <v>827.61790695884679</v>
      </c>
      <c r="BI193" s="59">
        <f ca="1">AVERAGE(OFFSET($BH$3,0,0,'Données projet'!$E$11+1,1))-AVERAGE(OFFSET($H$3,0,0,'Données projet'!$E$11+1,1))</f>
        <v>273.84349636755343</v>
      </c>
      <c r="BJ193" s="59">
        <f t="shared" si="146"/>
        <v>268.10688874775451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5.8832204836682429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5.8832204836682429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401</v>
      </c>
      <c r="BZ193" s="13">
        <f>BY193*VLOOKUP('Données projet'!$B$12,Paramètres!$A$1:$I$89,3,0)*VLOOKUP('Données projet'!$B$12,Paramètres!$A$1:$I$89,5,0)</f>
        <v>250.22399999999999</v>
      </c>
      <c r="CA193" s="13">
        <f t="shared" si="170"/>
        <v>60.633904580527918</v>
      </c>
      <c r="CB193" s="20">
        <f t="shared" si="171"/>
        <v>541.41085047775289</v>
      </c>
      <c r="CC193" s="59">
        <f t="shared" si="119"/>
        <v>834.74418381108626</v>
      </c>
      <c r="CD193" s="59">
        <f ca="1">AVERAGE(OFFSET($CC$3,0,0,'Données projet'!$E$12+1,1))-AVERAGE(OFFSET($H$3,0,0,'Données projet'!$E$12+1,1))</f>
        <v>269.77739619445515</v>
      </c>
      <c r="CE193" s="59">
        <f t="shared" si="148"/>
        <v>347.56964743629885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5.8343785310334937</v>
      </c>
      <c r="CL193" s="21">
        <f>EXP(-LN(2)/25)*CL192+(1-EXP(-LN(2)/25))/(LN(2)/25)*Calculateur!CG193*Calculateur!CI193*VLOOKUP('Données projet'!$B$12,Paramètres!$A$1:$I$89,3,0)*0.475*44/12</f>
        <v>1.0863684390919892</v>
      </c>
      <c r="CM193" s="21">
        <f>EXP(-LN(2)/2)*CM192+(1-EXP(-LN(2)/2))/(LN(2)/2)*CG193*CJ193*VLOOKUP('Données projet'!$B$12,Paramètres!$A$1:$I$89,3,0)*0.475*44/12</f>
        <v>2.0545798281407048E-26</v>
      </c>
      <c r="CN193" s="22">
        <f t="shared" si="172"/>
        <v>6.9207469701254833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852.00000000000011</v>
      </c>
      <c r="O194" s="13">
        <f>N194*VLOOKUP('Données projet'!$B$9,Paramètres!$A$1:$I$89,3,0)*VLOOKUP('Données projet'!$B$9,Paramètres!$A$1:$I$89,5,0)</f>
        <v>420.88800000000009</v>
      </c>
      <c r="P194" s="13">
        <f t="shared" si="141"/>
        <v>95.998759891259041</v>
      </c>
      <c r="Q194" s="20">
        <f t="shared" si="162"/>
        <v>900.24444014394294</v>
      </c>
      <c r="R194" s="59">
        <f t="shared" si="109"/>
        <v>1193.5777734772762</v>
      </c>
      <c r="S194" s="59">
        <f ca="1">AVERAGE(OFFSET($R$3,0,0,'Données projet'!$E$9+1,1))-AVERAGE(OFFSET($H$3,0,0,'Données projet'!$E$9+1,1))</f>
        <v>434.08297999735811</v>
      </c>
      <c r="T194" s="59">
        <f t="shared" si="142"/>
        <v>371.04090283546122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17.650048683748999</v>
      </c>
      <c r="AA194" s="21">
        <f>EXP(-LN(2)/25)*AA193+(1-EXP(-LN(2)/25))/(LN(2)/25)*Calculateur!V194*Calculateur!X194*VLOOKUP('Données projet'!$B$9,Paramètres!$A$1:$I$89,3,0)*0.475*44/12</f>
        <v>0.59556839364422276</v>
      </c>
      <c r="AB194" s="21">
        <f>EXP(-LN(2)/2)*AB193+(1-EXP(-LN(2)/2))/(LN(2)/2)*V194*Y194*VLOOKUP('Données projet'!$B$9,Paramètres!$A$1:$I$89,3,0)*0.475*44/12</f>
        <v>4.3960873620976008E-25</v>
      </c>
      <c r="AC194" s="22">
        <f t="shared" si="163"/>
        <v>18.24561707739322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292.78079999999977</v>
      </c>
      <c r="AK194" s="13">
        <f t="shared" si="164"/>
        <v>69.660903052386217</v>
      </c>
      <c r="AL194" s="20">
        <f t="shared" si="165"/>
        <v>631.25263281623893</v>
      </c>
      <c r="AM194" s="59">
        <f t="shared" si="113"/>
        <v>924.58596614957219</v>
      </c>
      <c r="AN194" s="59">
        <f ca="1">AVERAGE(OFFSET($AM$3,0,0,'Données projet'!$E$10+1,1))-AVERAGE(OFFSET($H$3,0,0,'Données projet'!$E$10+1,1))</f>
        <v>331.52724290297675</v>
      </c>
      <c r="AO194" s="59">
        <f t="shared" si="144"/>
        <v>322.79102610158054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6.8409432566994797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6.8409432566994797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246.8543999999998</v>
      </c>
      <c r="BF194" s="13">
        <f t="shared" si="167"/>
        <v>59.911862368716115</v>
      </c>
      <c r="BG194" s="20">
        <f t="shared" si="168"/>
        <v>534.28457362551353</v>
      </c>
      <c r="BH194" s="59">
        <f t="shared" si="116"/>
        <v>827.61790695884679</v>
      </c>
      <c r="BI194" s="59">
        <f ca="1">AVERAGE(OFFSET($BH$3,0,0,'Données projet'!$E$11+1,1))-AVERAGE(OFFSET($H$3,0,0,'Données projet'!$E$11+1,1))</f>
        <v>273.84349636755343</v>
      </c>
      <c r="BJ194" s="59">
        <f t="shared" si="146"/>
        <v>268.10688874775451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5.7678541183936778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5.7678541183936778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401</v>
      </c>
      <c r="BZ194" s="13">
        <f>BY194*VLOOKUP('Données projet'!$B$12,Paramètres!$A$1:$I$89,3,0)*VLOOKUP('Données projet'!$B$12,Paramètres!$A$1:$I$89,5,0)</f>
        <v>250.22399999999999</v>
      </c>
      <c r="CA194" s="13">
        <f t="shared" si="170"/>
        <v>60.633904580527918</v>
      </c>
      <c r="CB194" s="20">
        <f t="shared" si="171"/>
        <v>541.41085047775289</v>
      </c>
      <c r="CC194" s="59">
        <f t="shared" si="119"/>
        <v>834.74418381108626</v>
      </c>
      <c r="CD194" s="59">
        <f ca="1">AVERAGE(OFFSET($CC$3,0,0,'Données projet'!$E$12+1,1))-AVERAGE(OFFSET($H$3,0,0,'Données projet'!$E$12+1,1))</f>
        <v>269.77739619445515</v>
      </c>
      <c r="CE194" s="59">
        <f t="shared" si="148"/>
        <v>347.56964743629885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5.7199699266594459</v>
      </c>
      <c r="CL194" s="21">
        <f>EXP(-LN(2)/25)*CL193+(1-EXP(-LN(2)/25))/(LN(2)/25)*Calculateur!CG194*Calculateur!CI194*VLOOKUP('Données projet'!$B$12,Paramètres!$A$1:$I$89,3,0)*0.475*44/12</f>
        <v>1.0566616369953854</v>
      </c>
      <c r="CM194" s="21">
        <f>EXP(-LN(2)/2)*CM193+(1-EXP(-LN(2)/2))/(LN(2)/2)*CG194*CJ194*VLOOKUP('Données projet'!$B$12,Paramètres!$A$1:$I$89,3,0)*0.475*44/12</f>
        <v>1.4528073289673837E-26</v>
      </c>
      <c r="CN194" s="22">
        <f t="shared" si="172"/>
        <v>6.7766315636548313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852.00000000000011</v>
      </c>
      <c r="O195" s="13">
        <f>N195*VLOOKUP('Données projet'!$B$9,Paramètres!$A$1:$I$89,3,0)*VLOOKUP('Données projet'!$B$9,Paramètres!$A$1:$I$89,5,0)</f>
        <v>420.88800000000009</v>
      </c>
      <c r="P195" s="13">
        <f t="shared" si="141"/>
        <v>95.998759891259041</v>
      </c>
      <c r="Q195" s="20">
        <f t="shared" si="162"/>
        <v>900.24444014394294</v>
      </c>
      <c r="R195" s="59">
        <f t="shared" ref="R195:R203" si="191">Q195+(I195+J195)*44/12</f>
        <v>1193.5777734772762</v>
      </c>
      <c r="S195" s="59">
        <f ca="1">AVERAGE(OFFSET($R$3,0,0,'Données projet'!$E$9+1,1))-AVERAGE(OFFSET($H$3,0,0,'Données projet'!$E$9+1,1))</f>
        <v>434.08297999735811</v>
      </c>
      <c r="T195" s="59">
        <f t="shared" si="142"/>
        <v>371.04090283546122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17.303941994527378</v>
      </c>
      <c r="AA195" s="21">
        <f>EXP(-LN(2)/25)*AA194+(1-EXP(-LN(2)/25))/(LN(2)/25)*Calculateur!V195*Calculateur!X195*VLOOKUP('Données projet'!$B$9,Paramètres!$A$1:$I$89,3,0)*0.475*44/12</f>
        <v>0.57928254460044082</v>
      </c>
      <c r="AB195" s="21">
        <f>EXP(-LN(2)/2)*AB194+(1-EXP(-LN(2)/2))/(LN(2)/2)*V195*Y195*VLOOKUP('Données projet'!$B$9,Paramètres!$A$1:$I$89,3,0)*0.475*44/12</f>
        <v>3.1085031844276952E-25</v>
      </c>
      <c r="AC195" s="22">
        <f t="shared" si="163"/>
        <v>17.88322453912782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292.78079999999977</v>
      </c>
      <c r="AK195" s="13">
        <f t="shared" si="164"/>
        <v>69.660903052386217</v>
      </c>
      <c r="AL195" s="20">
        <f t="shared" si="165"/>
        <v>631.25263281623893</v>
      </c>
      <c r="AM195" s="59">
        <f t="shared" si="113"/>
        <v>924.58596614957219</v>
      </c>
      <c r="AN195" s="59">
        <f ca="1">AVERAGE(OFFSET($AM$3,0,0,'Données projet'!$E$10+1,1))-AVERAGE(OFFSET($H$3,0,0,'Données projet'!$E$10+1,1))</f>
        <v>331.52724290297675</v>
      </c>
      <c r="AO195" s="59">
        <f t="shared" si="144"/>
        <v>322.79102610158054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6.7067965319989833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6.7067965319989833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246.8543999999998</v>
      </c>
      <c r="BF195" s="13">
        <f t="shared" si="167"/>
        <v>59.911862368716115</v>
      </c>
      <c r="BG195" s="20">
        <f t="shared" si="168"/>
        <v>534.28457362551353</v>
      </c>
      <c r="BH195" s="59">
        <f t="shared" si="116"/>
        <v>827.61790695884679</v>
      </c>
      <c r="BI195" s="59">
        <f ca="1">AVERAGE(OFFSET($BH$3,0,0,'Données projet'!$E$11+1,1))-AVERAGE(OFFSET($H$3,0,0,'Données projet'!$E$11+1,1))</f>
        <v>273.84349636755343</v>
      </c>
      <c r="BJ195" s="59">
        <f t="shared" si="146"/>
        <v>268.10688874775451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5.654750017175612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5.654750017175612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401</v>
      </c>
      <c r="BZ195" s="13">
        <f>BY195*VLOOKUP('Données projet'!$B$12,Paramètres!$A$1:$I$89,3,0)*VLOOKUP('Données projet'!$B$12,Paramètres!$A$1:$I$89,5,0)</f>
        <v>250.22399999999999</v>
      </c>
      <c r="CA195" s="13">
        <f t="shared" si="170"/>
        <v>60.633904580527918</v>
      </c>
      <c r="CB195" s="20">
        <f t="shared" si="171"/>
        <v>541.41085047775289</v>
      </c>
      <c r="CC195" s="59">
        <f t="shared" si="119"/>
        <v>834.74418381108626</v>
      </c>
      <c r="CD195" s="59">
        <f ca="1">AVERAGE(OFFSET($CC$3,0,0,'Données projet'!$E$12+1,1))-AVERAGE(OFFSET($H$3,0,0,'Données projet'!$E$12+1,1))</f>
        <v>269.77739619445515</v>
      </c>
      <c r="CE195" s="59">
        <f t="shared" si="148"/>
        <v>347.56964743629885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5.6078048052348155</v>
      </c>
      <c r="CL195" s="21">
        <f>EXP(-LN(2)/25)*CL194+(1-EXP(-LN(2)/25))/(LN(2)/25)*Calculateur!CG195*Calculateur!CI195*VLOOKUP('Données projet'!$B$12,Paramètres!$A$1:$I$89,3,0)*0.475*44/12</f>
        <v>1.0277671689643262</v>
      </c>
      <c r="CM195" s="21">
        <f>EXP(-LN(2)/2)*CM194+(1-EXP(-LN(2)/2))/(LN(2)/2)*CG195*CJ195*VLOOKUP('Données projet'!$B$12,Paramètres!$A$1:$I$89,3,0)*0.475*44/12</f>
        <v>1.0272899140703524E-26</v>
      </c>
      <c r="CN195" s="22">
        <f t="shared" si="172"/>
        <v>6.6355719741991415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852.00000000000011</v>
      </c>
      <c r="O196" s="13">
        <f>N196*VLOOKUP('Données projet'!$B$9,Paramètres!$A$1:$I$89,3,0)*VLOOKUP('Données projet'!$B$9,Paramètres!$A$1:$I$89,5,0)</f>
        <v>420.88800000000009</v>
      </c>
      <c r="P196" s="13">
        <f t="shared" si="141"/>
        <v>95.998759891259041</v>
      </c>
      <c r="Q196" s="20">
        <f t="shared" si="162"/>
        <v>900.24444014394294</v>
      </c>
      <c r="R196" s="59">
        <f t="shared" si="191"/>
        <v>1193.5777734772762</v>
      </c>
      <c r="S196" s="59">
        <f ca="1">AVERAGE(OFFSET($R$3,0,0,'Données projet'!$E$9+1,1))-AVERAGE(OFFSET($H$3,0,0,'Données projet'!$E$9+1,1))</f>
        <v>434.08297999735811</v>
      </c>
      <c r="T196" s="59">
        <f t="shared" si="142"/>
        <v>371.04090283546122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16.964622246377157</v>
      </c>
      <c r="AA196" s="21">
        <f>EXP(-LN(2)/25)*AA195+(1-EXP(-LN(2)/25))/(LN(2)/25)*Calculateur!V196*Calculateur!X196*VLOOKUP('Données projet'!$B$9,Paramètres!$A$1:$I$89,3,0)*0.475*44/12</f>
        <v>0.56344203295519668</v>
      </c>
      <c r="AB196" s="21">
        <f>EXP(-LN(2)/2)*AB195+(1-EXP(-LN(2)/2))/(LN(2)/2)*V196*Y196*VLOOKUP('Données projet'!$B$9,Paramètres!$A$1:$I$89,3,0)*0.475*44/12</f>
        <v>2.1980436810488004E-25</v>
      </c>
      <c r="AC196" s="22">
        <f t="shared" si="163"/>
        <v>17.528064279332355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292.78079999999977</v>
      </c>
      <c r="AK196" s="13">
        <f t="shared" si="164"/>
        <v>69.660903052386217</v>
      </c>
      <c r="AL196" s="20">
        <f t="shared" si="165"/>
        <v>631.25263281623893</v>
      </c>
      <c r="AM196" s="59">
        <f t="shared" ref="AM196:AM203" si="193">AL196+(AD196+AE196)*44/12</f>
        <v>924.58596614957219</v>
      </c>
      <c r="AN196" s="59">
        <f ca="1">AVERAGE(OFFSET($AM$3,0,0,'Données projet'!$E$10+1,1))-AVERAGE(OFFSET($H$3,0,0,'Données projet'!$E$10+1,1))</f>
        <v>331.52724290297675</v>
      </c>
      <c r="AO196" s="59">
        <f t="shared" si="144"/>
        <v>322.79102610158054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6.5752803427484405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6.5752803427484405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246.8543999999998</v>
      </c>
      <c r="BF196" s="13">
        <f t="shared" si="167"/>
        <v>59.911862368716115</v>
      </c>
      <c r="BG196" s="20">
        <f t="shared" si="168"/>
        <v>534.28457362551353</v>
      </c>
      <c r="BH196" s="59">
        <f t="shared" ref="BH196:BH203" si="194">BG196+(AY196+AZ196)*44/12</f>
        <v>827.61790695884679</v>
      </c>
      <c r="BI196" s="59">
        <f ca="1">AVERAGE(OFFSET($BH$3,0,0,'Données projet'!$E$11+1,1))-AVERAGE(OFFSET($H$3,0,0,'Données projet'!$E$11+1,1))</f>
        <v>273.84349636755343</v>
      </c>
      <c r="BJ196" s="59">
        <f t="shared" si="146"/>
        <v>268.10688874775451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5.5438638183957423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5.5438638183957423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401</v>
      </c>
      <c r="BZ196" s="13">
        <f>BY196*VLOOKUP('Données projet'!$B$12,Paramètres!$A$1:$I$89,3,0)*VLOOKUP('Données projet'!$B$12,Paramètres!$A$1:$I$89,5,0)</f>
        <v>250.22399999999999</v>
      </c>
      <c r="CA196" s="13">
        <f t="shared" si="170"/>
        <v>60.633904580527918</v>
      </c>
      <c r="CB196" s="20">
        <f t="shared" si="171"/>
        <v>541.41085047775289</v>
      </c>
      <c r="CC196" s="59">
        <f t="shared" ref="CC196:CC203" si="195">CB196+(BT196+BU196)*44/12</f>
        <v>834.74418381108626</v>
      </c>
      <c r="CD196" s="59">
        <f ca="1">AVERAGE(OFFSET($CC$3,0,0,'Données projet'!$E$12+1,1))-AVERAGE(OFFSET($H$3,0,0,'Données projet'!$E$12+1,1))</f>
        <v>269.77739619445515</v>
      </c>
      <c r="CE196" s="59">
        <f t="shared" si="148"/>
        <v>347.56964743629885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5.4978391734273533</v>
      </c>
      <c r="CL196" s="21">
        <f>EXP(-LN(2)/25)*CL195+(1-EXP(-LN(2)/25))/(LN(2)/25)*Calculateur!CG196*Calculateur!CI196*VLOOKUP('Données projet'!$B$12,Paramètres!$A$1:$I$89,3,0)*0.475*44/12</f>
        <v>0.99966282168107023</v>
      </c>
      <c r="CM196" s="21">
        <f>EXP(-LN(2)/2)*CM195+(1-EXP(-LN(2)/2))/(LN(2)/2)*CG196*CJ196*VLOOKUP('Données projet'!$B$12,Paramètres!$A$1:$I$89,3,0)*0.475*44/12</f>
        <v>7.2640366448369185E-27</v>
      </c>
      <c r="CN196" s="22">
        <f t="shared" si="172"/>
        <v>6.4975019951084239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852.00000000000011</v>
      </c>
      <c r="O197" s="13">
        <f>N197*VLOOKUP('Données projet'!$B$9,Paramètres!$A$1:$I$89,3,0)*VLOOKUP('Données projet'!$B$9,Paramètres!$A$1:$I$89,5,0)</f>
        <v>420.88800000000009</v>
      </c>
      <c r="P197" s="13">
        <f t="shared" ref="P197:P203" si="203">EXP(-1.0587+0.8836*LN(O197)+0.284)</f>
        <v>95.998759891259041</v>
      </c>
      <c r="Q197" s="20">
        <f t="shared" si="162"/>
        <v>900.24444014394294</v>
      </c>
      <c r="R197" s="59">
        <f t="shared" si="191"/>
        <v>1193.5777734772762</v>
      </c>
      <c r="S197" s="59">
        <f ca="1">AVERAGE(OFFSET($R$3,0,0,'Données projet'!$E$9+1,1))-AVERAGE(OFFSET($H$3,0,0,'Données projet'!$E$9+1,1))</f>
        <v>434.08297999735811</v>
      </c>
      <c r="T197" s="59">
        <f t="shared" ref="T197:T203" si="204">$T$3</f>
        <v>371.04090283546122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16.631956351523552</v>
      </c>
      <c r="AA197" s="21">
        <f>EXP(-LN(2)/25)*AA196+(1-EXP(-LN(2)/25))/(LN(2)/25)*Calculateur!V197*Calculateur!X197*VLOOKUP('Données projet'!$B$9,Paramètres!$A$1:$I$89,3,0)*0.475*44/12</f>
        <v>0.54803468093390806</v>
      </c>
      <c r="AB197" s="21">
        <f>EXP(-LN(2)/2)*AB196+(1-EXP(-LN(2)/2))/(LN(2)/2)*V197*Y197*VLOOKUP('Données projet'!$B$9,Paramètres!$A$1:$I$89,3,0)*0.475*44/12</f>
        <v>1.5542515922138476E-25</v>
      </c>
      <c r="AC197" s="22">
        <f t="shared" si="163"/>
        <v>17.179991032457462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292.78079999999977</v>
      </c>
      <c r="AK197" s="13">
        <f t="shared" si="164"/>
        <v>69.660903052386217</v>
      </c>
      <c r="AL197" s="20">
        <f t="shared" si="165"/>
        <v>631.25263281623893</v>
      </c>
      <c r="AM197" s="59">
        <f t="shared" si="193"/>
        <v>924.58596614957219</v>
      </c>
      <c r="AN197" s="59">
        <f ca="1">AVERAGE(OFFSET($AM$3,0,0,'Données projet'!$E$10+1,1))-AVERAGE(OFFSET($H$3,0,0,'Données projet'!$E$10+1,1))</f>
        <v>331.52724290297675</v>
      </c>
      <c r="AO197" s="59">
        <f t="shared" ref="AO197:AO203" si="205">$AO$3</f>
        <v>322.79102610158054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6.4463431057521463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6.4463431057521463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246.8543999999998</v>
      </c>
      <c r="BF197" s="13">
        <f t="shared" si="167"/>
        <v>59.911862368716115</v>
      </c>
      <c r="BG197" s="20">
        <f t="shared" si="168"/>
        <v>534.28457362551353</v>
      </c>
      <c r="BH197" s="59">
        <f t="shared" si="194"/>
        <v>827.61790695884679</v>
      </c>
      <c r="BI197" s="59">
        <f ca="1">AVERAGE(OFFSET($BH$3,0,0,'Données projet'!$E$11+1,1))-AVERAGE(OFFSET($H$3,0,0,'Données projet'!$E$11+1,1))</f>
        <v>273.84349636755343</v>
      </c>
      <c r="BJ197" s="59">
        <f t="shared" ref="BJ197:BJ203" si="206">$BJ$3</f>
        <v>268.10688874775451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5.4351520303400429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5.4351520303400429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401</v>
      </c>
      <c r="BZ197" s="13">
        <f>BY197*VLOOKUP('Données projet'!$B$12,Paramètres!$A$1:$I$89,3,0)*VLOOKUP('Données projet'!$B$12,Paramètres!$A$1:$I$89,5,0)</f>
        <v>250.22399999999999</v>
      </c>
      <c r="CA197" s="13">
        <f t="shared" si="170"/>
        <v>60.633904580527918</v>
      </c>
      <c r="CB197" s="20">
        <f t="shared" si="171"/>
        <v>541.41085047775289</v>
      </c>
      <c r="CC197" s="59">
        <f t="shared" si="195"/>
        <v>834.74418381108626</v>
      </c>
      <c r="CD197" s="59">
        <f ca="1">AVERAGE(OFFSET($CC$3,0,0,'Données projet'!$E$12+1,1))-AVERAGE(OFFSET($H$3,0,0,'Données projet'!$E$12+1,1))</f>
        <v>269.77739619445515</v>
      </c>
      <c r="CE197" s="59">
        <f t="shared" ref="CE197:CE203" si="207">$CE$3</f>
        <v>347.56964743629885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5.3900299005872228</v>
      </c>
      <c r="CL197" s="21">
        <f>EXP(-LN(2)/25)*CL196+(1-EXP(-LN(2)/25))/(LN(2)/25)*Calculateur!CG197*Calculateur!CI197*VLOOKUP('Données projet'!$B$12,Paramètres!$A$1:$I$89,3,0)*0.475*44/12</f>
        <v>0.97232698925221839</v>
      </c>
      <c r="CM197" s="21">
        <f>EXP(-LN(2)/2)*CM196+(1-EXP(-LN(2)/2))/(LN(2)/2)*CG197*CJ197*VLOOKUP('Données projet'!$B$12,Paramètres!$A$1:$I$89,3,0)*0.475*44/12</f>
        <v>5.1364495703517619E-27</v>
      </c>
      <c r="CN197" s="22">
        <f t="shared" si="172"/>
        <v>6.3623568898394414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852.00000000000011</v>
      </c>
      <c r="O198" s="13">
        <f>N198*VLOOKUP('Données projet'!$B$9,Paramètres!$A$1:$I$89,3,0)*VLOOKUP('Données projet'!$B$9,Paramètres!$A$1:$I$89,5,0)</f>
        <v>420.88800000000009</v>
      </c>
      <c r="P198" s="13">
        <f t="shared" si="203"/>
        <v>95.998759891259041</v>
      </c>
      <c r="Q198" s="20">
        <f t="shared" si="162"/>
        <v>900.24444014394294</v>
      </c>
      <c r="R198" s="59">
        <f t="shared" si="191"/>
        <v>1193.5777734772762</v>
      </c>
      <c r="S198" s="59">
        <f ca="1">AVERAGE(OFFSET($R$3,0,0,'Données projet'!$E$9+1,1))-AVERAGE(OFFSET($H$3,0,0,'Données projet'!$E$9+1,1))</f>
        <v>434.08297999735811</v>
      </c>
      <c r="T198" s="59">
        <f t="shared" si="204"/>
        <v>371.04090283546122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16.305813831961864</v>
      </c>
      <c r="AA198" s="21">
        <f>EXP(-LN(2)/25)*AA197+(1-EXP(-LN(2)/25))/(LN(2)/25)*Calculateur!V198*Calculateur!X198*VLOOKUP('Données projet'!$B$9,Paramètres!$A$1:$I$89,3,0)*0.475*44/12</f>
        <v>0.53304864376387906</v>
      </c>
      <c r="AB198" s="21">
        <f>EXP(-LN(2)/2)*AB197+(1-EXP(-LN(2)/2))/(LN(2)/2)*V198*Y198*VLOOKUP('Données projet'!$B$9,Paramètres!$A$1:$I$89,3,0)*0.475*44/12</f>
        <v>1.0990218405244002E-25</v>
      </c>
      <c r="AC198" s="22">
        <f t="shared" si="163"/>
        <v>16.838862475725744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292.78079999999977</v>
      </c>
      <c r="AK198" s="13">
        <f t="shared" si="164"/>
        <v>69.660903052386217</v>
      </c>
      <c r="AL198" s="20">
        <f t="shared" si="165"/>
        <v>631.25263281623893</v>
      </c>
      <c r="AM198" s="59">
        <f t="shared" si="193"/>
        <v>924.58596614957219</v>
      </c>
      <c r="AN198" s="59">
        <f ca="1">AVERAGE(OFFSET($AM$3,0,0,'Données projet'!$E$10+1,1))-AVERAGE(OFFSET($H$3,0,0,'Données projet'!$E$10+1,1))</f>
        <v>331.52724290297675</v>
      </c>
      <c r="AO198" s="59">
        <f t="shared" si="205"/>
        <v>322.79102610158054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6.3199342493294006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6.3199342493294006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246.8543999999998</v>
      </c>
      <c r="BF198" s="13">
        <f t="shared" si="167"/>
        <v>59.911862368716115</v>
      </c>
      <c r="BG198" s="20">
        <f t="shared" si="168"/>
        <v>534.28457362551353</v>
      </c>
      <c r="BH198" s="59">
        <f t="shared" si="194"/>
        <v>827.61790695884679</v>
      </c>
      <c r="BI198" s="59">
        <f ca="1">AVERAGE(OFFSET($BH$3,0,0,'Données projet'!$E$11+1,1))-AVERAGE(OFFSET($H$3,0,0,'Données projet'!$E$11+1,1))</f>
        <v>273.84349636755343</v>
      </c>
      <c r="BJ198" s="59">
        <f t="shared" si="206"/>
        <v>268.10688874775451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5.3285720141404731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5.3285720141404731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401</v>
      </c>
      <c r="BZ198" s="13">
        <f>BY198*VLOOKUP('Données projet'!$B$12,Paramètres!$A$1:$I$89,3,0)*VLOOKUP('Données projet'!$B$12,Paramètres!$A$1:$I$89,5,0)</f>
        <v>250.22399999999999</v>
      </c>
      <c r="CA198" s="13">
        <f t="shared" si="170"/>
        <v>60.633904580527918</v>
      </c>
      <c r="CB198" s="20">
        <f t="shared" si="171"/>
        <v>541.41085047775289</v>
      </c>
      <c r="CC198" s="59">
        <f t="shared" si="195"/>
        <v>834.74418381108626</v>
      </c>
      <c r="CD198" s="59">
        <f ca="1">AVERAGE(OFFSET($CC$3,0,0,'Données projet'!$E$12+1,1))-AVERAGE(OFFSET($H$3,0,0,'Données projet'!$E$12+1,1))</f>
        <v>269.77739619445515</v>
      </c>
      <c r="CE198" s="59">
        <f t="shared" si="207"/>
        <v>347.56964743629885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5.2843347018303239</v>
      </c>
      <c r="CL198" s="21">
        <f>EXP(-LN(2)/25)*CL197+(1-EXP(-LN(2)/25))/(LN(2)/25)*Calculateur!CG198*Calculateur!CI198*VLOOKUP('Données projet'!$B$12,Paramètres!$A$1:$I$89,3,0)*0.475*44/12</f>
        <v>0.94573865659866241</v>
      </c>
      <c r="CM198" s="21">
        <f>EXP(-LN(2)/2)*CM197+(1-EXP(-LN(2)/2))/(LN(2)/2)*CG198*CJ198*VLOOKUP('Données projet'!$B$12,Paramètres!$A$1:$I$89,3,0)*0.475*44/12</f>
        <v>3.6320183224184593E-27</v>
      </c>
      <c r="CN198" s="22">
        <f t="shared" si="172"/>
        <v>6.230073358428986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852.00000000000011</v>
      </c>
      <c r="O199" s="13">
        <f>N199*VLOOKUP('Données projet'!$B$9,Paramètres!$A$1:$I$89,3,0)*VLOOKUP('Données projet'!$B$9,Paramètres!$A$1:$I$89,5,0)</f>
        <v>420.88800000000009</v>
      </c>
      <c r="P199" s="13">
        <f t="shared" si="203"/>
        <v>95.998759891259041</v>
      </c>
      <c r="Q199" s="20">
        <f t="shared" si="162"/>
        <v>900.24444014394294</v>
      </c>
      <c r="R199" s="59">
        <f t="shared" si="191"/>
        <v>1193.5777734772762</v>
      </c>
      <c r="S199" s="59">
        <f ca="1">AVERAGE(OFFSET($R$3,0,0,'Données projet'!$E$9+1,1))-AVERAGE(OFFSET($H$3,0,0,'Données projet'!$E$9+1,1))</f>
        <v>434.08297999735811</v>
      </c>
      <c r="T199" s="59">
        <f t="shared" si="204"/>
        <v>371.04090283546122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15.986066768281486</v>
      </c>
      <c r="AA199" s="21">
        <f>EXP(-LN(2)/25)*AA198+(1-EXP(-LN(2)/25))/(LN(2)/25)*Calculateur!V199*Calculateur!X199*VLOOKUP('Données projet'!$B$9,Paramètres!$A$1:$I$89,3,0)*0.475*44/12</f>
        <v>0.51847240056834587</v>
      </c>
      <c r="AB199" s="21">
        <f>EXP(-LN(2)/2)*AB198+(1-EXP(-LN(2)/2))/(LN(2)/2)*V199*Y199*VLOOKUP('Données projet'!$B$9,Paramètres!$A$1:$I$89,3,0)*0.475*44/12</f>
        <v>7.771257961069238E-26</v>
      </c>
      <c r="AC199" s="22">
        <f t="shared" si="163"/>
        <v>16.504539168849831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292.78079999999977</v>
      </c>
      <c r="AK199" s="13">
        <f t="shared" si="164"/>
        <v>69.660903052386217</v>
      </c>
      <c r="AL199" s="20">
        <f t="shared" si="165"/>
        <v>631.25263281623893</v>
      </c>
      <c r="AM199" s="59">
        <f t="shared" si="193"/>
        <v>924.58596614957219</v>
      </c>
      <c r="AN199" s="59">
        <f ca="1">AVERAGE(OFFSET($AM$3,0,0,'Données projet'!$E$10+1,1))-AVERAGE(OFFSET($H$3,0,0,'Données projet'!$E$10+1,1))</f>
        <v>331.52724290297675</v>
      </c>
      <c r="AO199" s="59">
        <f t="shared" si="205"/>
        <v>322.79102610158054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6.1960041934793155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6.1960041934793155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246.8543999999998</v>
      </c>
      <c r="BF199" s="13">
        <f t="shared" si="167"/>
        <v>59.911862368716115</v>
      </c>
      <c r="BG199" s="20">
        <f t="shared" si="168"/>
        <v>534.28457362551353</v>
      </c>
      <c r="BH199" s="59">
        <f t="shared" si="194"/>
        <v>827.61790695884679</v>
      </c>
      <c r="BI199" s="59">
        <f ca="1">AVERAGE(OFFSET($BH$3,0,0,'Données projet'!$E$11+1,1))-AVERAGE(OFFSET($H$3,0,0,'Données projet'!$E$11+1,1))</f>
        <v>273.84349636755343</v>
      </c>
      <c r="BJ199" s="59">
        <f t="shared" si="206"/>
        <v>268.10688874775451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5.2240819670511858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5.2240819670511858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401</v>
      </c>
      <c r="BZ199" s="13">
        <f>BY199*VLOOKUP('Données projet'!$B$12,Paramètres!$A$1:$I$89,3,0)*VLOOKUP('Données projet'!$B$12,Paramètres!$A$1:$I$89,5,0)</f>
        <v>250.22399999999999</v>
      </c>
      <c r="CA199" s="13">
        <f t="shared" si="170"/>
        <v>60.633904580527918</v>
      </c>
      <c r="CB199" s="20">
        <f t="shared" si="171"/>
        <v>541.41085047775289</v>
      </c>
      <c r="CC199" s="59">
        <f t="shared" si="195"/>
        <v>834.74418381108626</v>
      </c>
      <c r="CD199" s="59">
        <f ca="1">AVERAGE(OFFSET($CC$3,0,0,'Données projet'!$E$12+1,1))-AVERAGE(OFFSET($H$3,0,0,'Données projet'!$E$12+1,1))</f>
        <v>269.77739619445515</v>
      </c>
      <c r="CE199" s="59">
        <f t="shared" si="207"/>
        <v>347.56964743629885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5.1807121214533423</v>
      </c>
      <c r="CL199" s="21">
        <f>EXP(-LN(2)/25)*CL198+(1-EXP(-LN(2)/25))/(LN(2)/25)*Calculateur!CG199*Calculateur!CI199*VLOOKUP('Données projet'!$B$12,Paramètres!$A$1:$I$89,3,0)*0.475*44/12</f>
        <v>0.91987738329973756</v>
      </c>
      <c r="CM199" s="21">
        <f>EXP(-LN(2)/2)*CM198+(1-EXP(-LN(2)/2))/(LN(2)/2)*CG199*CJ199*VLOOKUP('Données projet'!$B$12,Paramètres!$A$1:$I$89,3,0)*0.475*44/12</f>
        <v>2.5682247851758809E-27</v>
      </c>
      <c r="CN199" s="22">
        <f t="shared" si="172"/>
        <v>6.1005895047530796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852.00000000000011</v>
      </c>
      <c r="O200" s="13">
        <f>N200*VLOOKUP('Données projet'!$B$9,Paramètres!$A$1:$I$89,3,0)*VLOOKUP('Données projet'!$B$9,Paramètres!$A$1:$I$89,5,0)</f>
        <v>420.88800000000009</v>
      </c>
      <c r="P200" s="13">
        <f t="shared" si="203"/>
        <v>95.998759891259041</v>
      </c>
      <c r="Q200" s="20">
        <f t="shared" si="162"/>
        <v>900.24444014394294</v>
      </c>
      <c r="R200" s="59">
        <f t="shared" si="191"/>
        <v>1193.5777734772762</v>
      </c>
      <c r="S200" s="59">
        <f ca="1">AVERAGE(OFFSET($R$3,0,0,'Données projet'!$E$9+1,1))-AVERAGE(OFFSET($H$3,0,0,'Données projet'!$E$9+1,1))</f>
        <v>434.08297999735811</v>
      </c>
      <c r="T200" s="59">
        <f t="shared" si="204"/>
        <v>371.04090283546122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15.672589749493429</v>
      </c>
      <c r="AA200" s="21">
        <f>EXP(-LN(2)/25)*AA199+(1-EXP(-LN(2)/25))/(LN(2)/25)*Calculateur!V200*Calculateur!X200*VLOOKUP('Données projet'!$B$9,Paramètres!$A$1:$I$89,3,0)*0.475*44/12</f>
        <v>0.50429474550952591</v>
      </c>
      <c r="AB200" s="21">
        <f>EXP(-LN(2)/2)*AB199+(1-EXP(-LN(2)/2))/(LN(2)/2)*V200*Y200*VLOOKUP('Données projet'!$B$9,Paramètres!$A$1:$I$89,3,0)*0.475*44/12</f>
        <v>5.4951092026220009E-26</v>
      </c>
      <c r="AC200" s="22">
        <f t="shared" si="163"/>
        <v>16.176884495002955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292.78079999999977</v>
      </c>
      <c r="AK200" s="13">
        <f t="shared" si="164"/>
        <v>69.660903052386217</v>
      </c>
      <c r="AL200" s="20">
        <f t="shared" si="165"/>
        <v>631.25263281623893</v>
      </c>
      <c r="AM200" s="59">
        <f t="shared" si="193"/>
        <v>924.58596614957219</v>
      </c>
      <c r="AN200" s="59">
        <f ca="1">AVERAGE(OFFSET($AM$3,0,0,'Données projet'!$E$10+1,1))-AVERAGE(OFFSET($H$3,0,0,'Données projet'!$E$10+1,1))</f>
        <v>331.52724290297675</v>
      </c>
      <c r="AO200" s="59">
        <f t="shared" si="205"/>
        <v>322.79102610158054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6.0745043304345803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6.0745043304345803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246.8543999999998</v>
      </c>
      <c r="BF200" s="13">
        <f t="shared" si="167"/>
        <v>59.911862368716115</v>
      </c>
      <c r="BG200" s="20">
        <f t="shared" si="168"/>
        <v>534.28457362551353</v>
      </c>
      <c r="BH200" s="59">
        <f t="shared" si="194"/>
        <v>827.61790695884679</v>
      </c>
      <c r="BI200" s="59">
        <f ca="1">AVERAGE(OFFSET($BH$3,0,0,'Données projet'!$E$11+1,1))-AVERAGE(OFFSET($H$3,0,0,'Données projet'!$E$11+1,1))</f>
        <v>273.84349636755343</v>
      </c>
      <c r="BJ200" s="59">
        <f t="shared" si="206"/>
        <v>268.10688874775451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5.1216409060526837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5.1216409060526837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401</v>
      </c>
      <c r="BZ200" s="13">
        <f>BY200*VLOOKUP('Données projet'!$B$12,Paramètres!$A$1:$I$89,3,0)*VLOOKUP('Données projet'!$B$12,Paramètres!$A$1:$I$89,5,0)</f>
        <v>250.22399999999999</v>
      </c>
      <c r="CA200" s="13">
        <f t="shared" si="170"/>
        <v>60.633904580527918</v>
      </c>
      <c r="CB200" s="20">
        <f t="shared" si="171"/>
        <v>541.41085047775289</v>
      </c>
      <c r="CC200" s="59">
        <f t="shared" si="195"/>
        <v>834.74418381108626</v>
      </c>
      <c r="CD200" s="59">
        <f ca="1">AVERAGE(OFFSET($CC$3,0,0,'Données projet'!$E$12+1,1))-AVERAGE(OFFSET($H$3,0,0,'Données projet'!$E$12+1,1))</f>
        <v>269.77739619445515</v>
      </c>
      <c r="CE200" s="59">
        <f t="shared" si="207"/>
        <v>347.56964743629885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5.0791215166740198</v>
      </c>
      <c r="CL200" s="21">
        <f>EXP(-LN(2)/25)*CL199+(1-EXP(-LN(2)/25))/(LN(2)/25)*Calculateur!CG200*Calculateur!CI200*VLOOKUP('Données projet'!$B$12,Paramètres!$A$1:$I$89,3,0)*0.475*44/12</f>
        <v>0.894723287879157</v>
      </c>
      <c r="CM200" s="21">
        <f>EXP(-LN(2)/2)*CM199+(1-EXP(-LN(2)/2))/(LN(2)/2)*CG200*CJ200*VLOOKUP('Données projet'!$B$12,Paramètres!$A$1:$I$89,3,0)*0.475*44/12</f>
        <v>1.8160091612092296E-27</v>
      </c>
      <c r="CN200" s="22">
        <f t="shared" si="172"/>
        <v>5.9738448045531767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852.00000000000011</v>
      </c>
      <c r="O201" s="13">
        <f>N201*VLOOKUP('Données projet'!$B$9,Paramètres!$A$1:$I$89,3,0)*VLOOKUP('Données projet'!$B$9,Paramètres!$A$1:$I$89,5,0)</f>
        <v>420.88800000000009</v>
      </c>
      <c r="P201" s="13">
        <f t="shared" si="203"/>
        <v>95.998759891259041</v>
      </c>
      <c r="Q201" s="20">
        <f t="shared" si="162"/>
        <v>900.24444014394294</v>
      </c>
      <c r="R201" s="59">
        <f t="shared" si="191"/>
        <v>1193.5777734772762</v>
      </c>
      <c r="S201" s="59">
        <f ca="1">AVERAGE(OFFSET($R$3,0,0,'Données projet'!$E$9+1,1))-AVERAGE(OFFSET($H$3,0,0,'Données projet'!$E$9+1,1))</f>
        <v>434.08297999735811</v>
      </c>
      <c r="T201" s="59">
        <f t="shared" si="204"/>
        <v>371.04090283546122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15.365259823841704</v>
      </c>
      <c r="AA201" s="21">
        <f>EXP(-LN(2)/25)*AA200+(1-EXP(-LN(2)/25))/(LN(2)/25)*Calculateur!V201*Calculateur!X201*VLOOKUP('Données projet'!$B$9,Paramètres!$A$1:$I$89,3,0)*0.475*44/12</f>
        <v>0.49050477917385982</v>
      </c>
      <c r="AB201" s="21">
        <f>EXP(-LN(2)/2)*AB200+(1-EXP(-LN(2)/2))/(LN(2)/2)*V201*Y201*VLOOKUP('Données projet'!$B$9,Paramètres!$A$1:$I$89,3,0)*0.475*44/12</f>
        <v>3.885628980534619E-26</v>
      </c>
      <c r="AC201" s="22">
        <f t="shared" si="163"/>
        <v>15.855764603015563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292.78079999999977</v>
      </c>
      <c r="AK201" s="13">
        <f t="shared" si="164"/>
        <v>69.660903052386217</v>
      </c>
      <c r="AL201" s="20">
        <f t="shared" si="165"/>
        <v>631.25263281623893</v>
      </c>
      <c r="AM201" s="59">
        <f t="shared" si="193"/>
        <v>924.58596614957219</v>
      </c>
      <c r="AN201" s="59">
        <f ca="1">AVERAGE(OFFSET($AM$3,0,0,'Données projet'!$E$10+1,1))-AVERAGE(OFFSET($H$3,0,0,'Données projet'!$E$10+1,1))</f>
        <v>331.52724290297675</v>
      </c>
      <c r="AO201" s="59">
        <f t="shared" si="205"/>
        <v>322.79102610158054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5.9553870055965534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5.9553870055965534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246.8543999999998</v>
      </c>
      <c r="BF201" s="13">
        <f t="shared" si="167"/>
        <v>59.911862368716115</v>
      </c>
      <c r="BG201" s="20">
        <f t="shared" si="168"/>
        <v>534.28457362551353</v>
      </c>
      <c r="BH201" s="59">
        <f t="shared" si="194"/>
        <v>827.61790695884679</v>
      </c>
      <c r="BI201" s="59">
        <f ca="1">AVERAGE(OFFSET($BH$3,0,0,'Données projet'!$E$11+1,1))-AVERAGE(OFFSET($H$3,0,0,'Données projet'!$E$11+1,1))</f>
        <v>273.84349636755343</v>
      </c>
      <c r="BJ201" s="59">
        <f t="shared" si="206"/>
        <v>268.10688874775451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5.0212086517774841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5.0212086517774841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401</v>
      </c>
      <c r="BZ201" s="13">
        <f>BY201*VLOOKUP('Données projet'!$B$12,Paramètres!$A$1:$I$89,3,0)*VLOOKUP('Données projet'!$B$12,Paramètres!$A$1:$I$89,5,0)</f>
        <v>250.22399999999999</v>
      </c>
      <c r="CA201" s="13">
        <f t="shared" si="170"/>
        <v>60.633904580527918</v>
      </c>
      <c r="CB201" s="20">
        <f t="shared" si="171"/>
        <v>541.41085047775289</v>
      </c>
      <c r="CC201" s="59">
        <f t="shared" si="195"/>
        <v>834.74418381108626</v>
      </c>
      <c r="CD201" s="59">
        <f ca="1">AVERAGE(OFFSET($CC$3,0,0,'Données projet'!$E$12+1,1))-AVERAGE(OFFSET($H$3,0,0,'Données projet'!$E$12+1,1))</f>
        <v>269.77739619445515</v>
      </c>
      <c r="CE201" s="59">
        <f t="shared" si="207"/>
        <v>347.56964743629885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4.9795230416902694</v>
      </c>
      <c r="CL201" s="21">
        <f>EXP(-LN(2)/25)*CL200+(1-EXP(-LN(2)/25))/(LN(2)/25)*Calculateur!CG201*Calculateur!CI201*VLOOKUP('Données projet'!$B$12,Paramètres!$A$1:$I$89,3,0)*0.475*44/12</f>
        <v>0.87025703252064868</v>
      </c>
      <c r="CM201" s="21">
        <f>EXP(-LN(2)/2)*CM200+(1-EXP(-LN(2)/2))/(LN(2)/2)*CG201*CJ201*VLOOKUP('Données projet'!$B$12,Paramètres!$A$1:$I$89,3,0)*0.475*44/12</f>
        <v>1.2841123925879405E-27</v>
      </c>
      <c r="CN201" s="22">
        <f t="shared" si="172"/>
        <v>5.8497800742109183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852.00000000000011</v>
      </c>
      <c r="O202" s="13">
        <f>N202*VLOOKUP('Données projet'!$B$9,Paramètres!$A$1:$I$89,3,0)*VLOOKUP('Données projet'!$B$9,Paramètres!$A$1:$I$89,5,0)</f>
        <v>420.88800000000009</v>
      </c>
      <c r="P202" s="13">
        <f t="shared" si="203"/>
        <v>95.998759891259041</v>
      </c>
      <c r="Q202" s="20">
        <f t="shared" si="162"/>
        <v>900.24444014394294</v>
      </c>
      <c r="R202" s="59">
        <f t="shared" si="191"/>
        <v>1193.5777734772762</v>
      </c>
      <c r="S202" s="59">
        <f ca="1">AVERAGE(OFFSET($R$3,0,0,'Données projet'!$E$9+1,1))-AVERAGE(OFFSET($H$3,0,0,'Données projet'!$E$9+1,1))</f>
        <v>434.08297999735811</v>
      </c>
      <c r="T202" s="59">
        <f t="shared" si="204"/>
        <v>371.04090283546122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15.063956450579264</v>
      </c>
      <c r="AA202" s="21">
        <f>EXP(-LN(2)/25)*AA201+(1-EXP(-LN(2)/25))/(LN(2)/25)*Calculateur!V202*Calculateur!X202*VLOOKUP('Données projet'!$B$9,Paramètres!$A$1:$I$89,3,0)*0.475*44/12</f>
        <v>0.47709190019282532</v>
      </c>
      <c r="AB202" s="21">
        <f>EXP(-LN(2)/2)*AB201+(1-EXP(-LN(2)/2))/(LN(2)/2)*V202*Y202*VLOOKUP('Données projet'!$B$9,Paramètres!$A$1:$I$89,3,0)*0.475*44/12</f>
        <v>2.7475546013110005E-26</v>
      </c>
      <c r="AC202" s="22">
        <f t="shared" si="163"/>
        <v>15.541048350772089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292.78079999999977</v>
      </c>
      <c r="AK202" s="13">
        <f t="shared" si="164"/>
        <v>69.660903052386217</v>
      </c>
      <c r="AL202" s="20">
        <f t="shared" si="165"/>
        <v>631.25263281623893</v>
      </c>
      <c r="AM202" s="59">
        <f t="shared" si="193"/>
        <v>924.58596614957219</v>
      </c>
      <c r="AN202" s="59">
        <f ca="1">AVERAGE(OFFSET($AM$3,0,0,'Données projet'!$E$10+1,1))-AVERAGE(OFFSET($H$3,0,0,'Données projet'!$E$10+1,1))</f>
        <v>331.52724290297675</v>
      </c>
      <c r="AO202" s="59">
        <f t="shared" si="205"/>
        <v>322.79102610158054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5.8386054988442062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5.8386054988442062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246.8543999999998</v>
      </c>
      <c r="BF202" s="13">
        <f t="shared" si="167"/>
        <v>59.911862368716115</v>
      </c>
      <c r="BG202" s="20">
        <f t="shared" si="168"/>
        <v>534.28457362551353</v>
      </c>
      <c r="BH202" s="59">
        <f t="shared" si="194"/>
        <v>827.61790695884679</v>
      </c>
      <c r="BI202" s="59">
        <f ca="1">AVERAGE(OFFSET($BH$3,0,0,'Données projet'!$E$11+1,1))-AVERAGE(OFFSET($H$3,0,0,'Données projet'!$E$11+1,1))</f>
        <v>273.84349636755343</v>
      </c>
      <c r="BJ202" s="59">
        <f t="shared" si="206"/>
        <v>268.10688874775451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4.9227458127509953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4.9227458127509953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401</v>
      </c>
      <c r="BZ202" s="13">
        <f>BY202*VLOOKUP('Données projet'!$B$12,Paramètres!$A$1:$I$89,3,0)*VLOOKUP('Données projet'!$B$12,Paramètres!$A$1:$I$89,5,0)</f>
        <v>250.22399999999999</v>
      </c>
      <c r="CA202" s="13">
        <f t="shared" si="170"/>
        <v>60.633904580527918</v>
      </c>
      <c r="CB202" s="20">
        <f t="shared" si="171"/>
        <v>541.41085047775289</v>
      </c>
      <c r="CC202" s="59">
        <f t="shared" si="195"/>
        <v>834.74418381108626</v>
      </c>
      <c r="CD202" s="59">
        <f ca="1">AVERAGE(OFFSET($CC$3,0,0,'Données projet'!$E$12+1,1))-AVERAGE(OFFSET($H$3,0,0,'Données projet'!$E$12+1,1))</f>
        <v>269.77739619445515</v>
      </c>
      <c r="CE202" s="59">
        <f t="shared" si="207"/>
        <v>347.56964743629885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4.8818776320518795</v>
      </c>
      <c r="CL202" s="21">
        <f>EXP(-LN(2)/25)*CL201+(1-EXP(-LN(2)/25))/(LN(2)/25)*Calculateur!CG202*Calculateur!CI202*VLOOKUP('Données projet'!$B$12,Paramètres!$A$1:$I$89,3,0)*0.475*44/12</f>
        <v>0.84645980820154321</v>
      </c>
      <c r="CM202" s="21">
        <f>EXP(-LN(2)/2)*CM201+(1-EXP(-LN(2)/2))/(LN(2)/2)*CG202*CJ202*VLOOKUP('Données projet'!$B$12,Paramètres!$A$1:$I$89,3,0)*0.475*44/12</f>
        <v>9.0800458060461481E-28</v>
      </c>
      <c r="CN202" s="22">
        <f t="shared" si="172"/>
        <v>5.7283374402534228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852.00000000000011</v>
      </c>
      <c r="O203" s="13">
        <f>N203*VLOOKUP('Données projet'!$B$9,Paramètres!$A$1:$I$89,3,0)*VLOOKUP('Données projet'!$B$9,Paramètres!$A$1:$I$89,5,0)</f>
        <v>420.88800000000009</v>
      </c>
      <c r="P203" s="13">
        <f t="shared" si="203"/>
        <v>95.998759891259041</v>
      </c>
      <c r="Q203" s="20">
        <f t="shared" si="162"/>
        <v>900.24444014394294</v>
      </c>
      <c r="R203" s="59">
        <f t="shared" si="191"/>
        <v>1193.5777734772762</v>
      </c>
      <c r="S203" s="59">
        <f ca="1">AVERAGE(OFFSET($R$3,0,0,'Données projet'!$E$9+1,1))-AVERAGE(OFFSET($H$3,0,0,'Données projet'!$E$9+1,1))</f>
        <v>434.08297999735811</v>
      </c>
      <c r="T203" s="59">
        <f t="shared" si="204"/>
        <v>371.04090283546122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14.768561452689589</v>
      </c>
      <c r="AA203" s="21">
        <f>EXP(-LN(2)/25)*AA202+(1-EXP(-LN(2)/25))/(LN(2)/25)*Calculateur!V203*Calculateur!X203*VLOOKUP('Données projet'!$B$9,Paramètres!$A$1:$I$89,3,0)*0.475*44/12</f>
        <v>0.46404579709287991</v>
      </c>
      <c r="AB203" s="21">
        <f>EXP(-LN(2)/2)*AB202+(1-EXP(-LN(2)/2))/(LN(2)/2)*V203*Y203*VLOOKUP('Données projet'!$B$9,Paramètres!$A$1:$I$89,3,0)*0.475*44/12</f>
        <v>1.9428144902673095E-26</v>
      </c>
      <c r="AC203" s="22">
        <f t="shared" si="163"/>
        <v>15.232607249782468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292.78079999999977</v>
      </c>
      <c r="AK203" s="13">
        <f t="shared" si="164"/>
        <v>69.660903052386217</v>
      </c>
      <c r="AL203" s="20">
        <f t="shared" si="165"/>
        <v>631.25263281623893</v>
      </c>
      <c r="AM203" s="59">
        <f t="shared" si="193"/>
        <v>924.58596614957219</v>
      </c>
      <c r="AN203" s="59">
        <f ca="1">AVERAGE(OFFSET($AM$3,0,0,'Données projet'!$E$10+1,1))-AVERAGE(OFFSET($H$3,0,0,'Données projet'!$E$10+1,1))</f>
        <v>331.52724290297675</v>
      </c>
      <c r="AO203" s="59">
        <f t="shared" si="205"/>
        <v>322.79102610158054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5.7241140062095868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5.7241140062095868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246.8543999999998</v>
      </c>
      <c r="BF203" s="13">
        <f t="shared" si="167"/>
        <v>59.911862368716115</v>
      </c>
      <c r="BG203" s="20">
        <f t="shared" si="168"/>
        <v>534.28457362551353</v>
      </c>
      <c r="BH203" s="59">
        <f t="shared" si="194"/>
        <v>827.61790695884679</v>
      </c>
      <c r="BI203" s="59">
        <f ca="1">AVERAGE(OFFSET($BH$3,0,0,'Données projet'!$E$11+1,1))-AVERAGE(OFFSET($H$3,0,0,'Données projet'!$E$11+1,1))</f>
        <v>273.84349636755343</v>
      </c>
      <c r="BJ203" s="59">
        <f t="shared" si="206"/>
        <v>268.10688874775451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4.8262137699414138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4.8262137699414138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401</v>
      </c>
      <c r="BZ203" s="13">
        <f>BY203*VLOOKUP('Données projet'!$B$12,Paramètres!$A$1:$I$89,3,0)*VLOOKUP('Données projet'!$B$12,Paramètres!$A$1:$I$89,5,0)</f>
        <v>250.22399999999999</v>
      </c>
      <c r="CA203" s="13">
        <f t="shared" si="170"/>
        <v>60.633904580527918</v>
      </c>
      <c r="CB203" s="20">
        <f t="shared" si="171"/>
        <v>541.41085047775289</v>
      </c>
      <c r="CC203" s="59">
        <f t="shared" si="195"/>
        <v>834.74418381108626</v>
      </c>
      <c r="CD203" s="59">
        <f ca="1">AVERAGE(OFFSET($CC$3,0,0,'Données projet'!$E$12+1,1))-AVERAGE(OFFSET($H$3,0,0,'Données projet'!$E$12+1,1))</f>
        <v>269.77739619445515</v>
      </c>
      <c r="CE203" s="59">
        <f t="shared" si="207"/>
        <v>347.56964743629885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4.786146989338679</v>
      </c>
      <c r="CL203" s="21">
        <f>EXP(-LN(2)/25)*CL202+(1-EXP(-LN(2)/25))/(LN(2)/25)*Calculateur!CG203*Calculateur!CI203*VLOOKUP('Données projet'!$B$12,Paramètres!$A$1:$I$89,3,0)*0.475*44/12</f>
        <v>0.82331332023288528</v>
      </c>
      <c r="CM203" s="21">
        <f>EXP(-LN(2)/2)*CM202+(1-EXP(-LN(2)/2))/(LN(2)/2)*CG203*CJ203*VLOOKUP('Données projet'!$B$12,Paramètres!$A$1:$I$89,3,0)*0.475*44/12</f>
        <v>6.4205619629397024E-28</v>
      </c>
      <c r="CN203" s="22">
        <f t="shared" si="172"/>
        <v>5.6094603095715643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1.3078136577370625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1.3423796509621049</v>
      </c>
      <c r="BA205" s="81">
        <f>EXP(LN('Données projet'!B88)/'Données projet'!A88)</f>
        <v>1.3423796509621049</v>
      </c>
      <c r="BV205" s="81">
        <f>EXP(LN('Données projet'!B114)/'Données projet'!A114)</f>
        <v>1.4714192565876152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L24" sqref="L2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Sapin pectiné</v>
      </c>
      <c r="B6" s="144">
        <f>'Données projet'!D9</f>
        <v>0.53100000000000003</v>
      </c>
      <c r="C6" s="145">
        <f ca="1">IF(OR('Données projet'!B9="",'Données projet'!C9="",'Données projet'!C9=0%),0,Calculateur!S3)</f>
        <v>434.08297999735811</v>
      </c>
      <c r="D6" s="145">
        <f>IF(OR('Données projet'!B9="",'Données projet'!C9="",'Données projet'!C9=0%),0,Calculateur!T3)</f>
        <v>371.04090283546122</v>
      </c>
      <c r="E6" s="145">
        <f ca="1">MIN(C6,D6)</f>
        <v>371.04090283546122</v>
      </c>
      <c r="F6" s="145">
        <f ca="1">E6*B6</f>
        <v>197.02271940562991</v>
      </c>
      <c r="G6" s="145">
        <f ca="1">F6*(100%-'Données projet'!$C$24)*(100%-'Données projet'!$C$25)*(100%-'Données projet'!$C$26)*(100%-'Données projet'!$C$27)</f>
        <v>177.32044746506693</v>
      </c>
      <c r="H6" s="146">
        <f>IF(OR('Données projet'!B9="",'Données projet'!C9="",'Données projet'!C9=0%),0,AVERAGE(Calculateur!$AC$3:$AC$33)*B6)</f>
        <v>4.5027454757095473</v>
      </c>
      <c r="I6" s="147">
        <f>H6*(100%-'Données projet'!$C$24)*(100%-'Données projet'!$C$25)*(100%-'Données projet'!$C$26)*(100%-'Données projet'!$C$27)</f>
        <v>4.0524709281385931</v>
      </c>
      <c r="J6" s="148">
        <f>IF(OR('Données projet'!B9="",'Données projet'!C9="",'Données projet'!C9=0%),0,SUM(Calculateur!$V$3:$V$33)*VLOOKUP('Données projet'!$B$9,Paramètres!$A$1:$I$89,9,0)*B6)</f>
        <v>44.981009999999998</v>
      </c>
      <c r="K6" s="149">
        <f>J6*(100%-'Données projet'!$C$24)*(100%-'Données projet'!$C$25)*(100%-'Données projet'!$C$26)*(100%-'Données projet'!$C$27)</f>
        <v>40.482908999999999</v>
      </c>
      <c r="L6" s="150">
        <f ca="1">G6+I6+K6</f>
        <v>221.85582739320554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sycomore</v>
      </c>
      <c r="B7" s="152">
        <f>'Données projet'!D10</f>
        <v>0.53100000000000003</v>
      </c>
      <c r="C7" s="145">
        <f ca="1">IF(OR('Données projet'!B10="",'Données projet'!C10="",'Données projet'!C10=0%),0,Calculateur!AN3)</f>
        <v>331.52724290297675</v>
      </c>
      <c r="D7" s="145">
        <f>IF(OR('Données projet'!B10="",'Données projet'!C10="",'Données projet'!C10=0%),0,Calculateur!AO3)</f>
        <v>322.79102610158054</v>
      </c>
      <c r="E7" s="145">
        <f t="shared" ref="E7:E15" ca="1" si="0">MIN(C7,D7)</f>
        <v>322.79102610158054</v>
      </c>
      <c r="F7" s="145">
        <f t="shared" ref="F7:F15" ca="1" si="1">E7*B7</f>
        <v>171.40203485993928</v>
      </c>
      <c r="G7" s="145">
        <f ca="1">F7*(100%-'Données projet'!$C$24)*(100%-'Données projet'!$C$25)*(100%-'Données projet'!$C$26)*(100%-'Données projet'!$C$27)</f>
        <v>154.26183137394534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23.231250000000003</v>
      </c>
      <c r="K7" s="149">
        <f>J7*(100%-'Données projet'!$C$24)*(100%-'Données projet'!$C$25)*(100%-'Données projet'!$C$26)*(100%-'Données projet'!$C$27)</f>
        <v>20.908125000000002</v>
      </c>
      <c r="L7" s="150">
        <f t="shared" ref="L7:L15" ca="1" si="2">G7+I7+K7</f>
        <v>175.16995637394535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Tilleul</v>
      </c>
      <c r="B8" s="152">
        <f>'Données projet'!D11</f>
        <v>0.35400000000000004</v>
      </c>
      <c r="C8" s="145">
        <f ca="1">IF(OR('Données projet'!B11="",'Données projet'!C11="",'Données projet'!C11=0%),0,Calculateur!BI3)</f>
        <v>273.84349636755343</v>
      </c>
      <c r="D8" s="145">
        <f>IF(OR('Données projet'!B11="",'Données projet'!C11="",'Données projet'!C11=0%),0,Calculateur!BJ3)</f>
        <v>268.10688874775451</v>
      </c>
      <c r="E8" s="145">
        <f t="shared" ca="1" si="0"/>
        <v>268.10688874775451</v>
      </c>
      <c r="F8" s="145">
        <f t="shared" ca="1" si="1"/>
        <v>94.909838616705102</v>
      </c>
      <c r="G8" s="145">
        <f ca="1">F8*(100%-'Données projet'!$C$24)*(100%-'Données projet'!$C$25)*(100%-'Données projet'!$C$26)*(100%-'Données projet'!$C$27)</f>
        <v>85.418854755034587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15.487500000000002</v>
      </c>
      <c r="K8" s="149">
        <f>J8*(100%-'Données projet'!$C$24)*(100%-'Données projet'!$C$25)*(100%-'Données projet'!$C$26)*(100%-'Données projet'!$C$27)</f>
        <v>13.938750000000002</v>
      </c>
      <c r="L8" s="150">
        <f t="shared" ca="1" si="2"/>
        <v>99.357604755034586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Mélèze d'Europe</v>
      </c>
      <c r="B9" s="152">
        <f>'Données projet'!D12</f>
        <v>0.35400000000000004</v>
      </c>
      <c r="C9" s="145">
        <f ca="1">IF(OR('Données projet'!B12="",'Données projet'!C12="",'Données projet'!C12=0%),0,Calculateur!CD3)</f>
        <v>269.77739619445515</v>
      </c>
      <c r="D9" s="145">
        <f>IF(OR('Données projet'!B12="",'Données projet'!C12="",'Données projet'!C12=0%),0,Calculateur!CE3)</f>
        <v>347.56964743629885</v>
      </c>
      <c r="E9" s="145">
        <f t="shared" ca="1" si="0"/>
        <v>269.77739619445515</v>
      </c>
      <c r="F9" s="145">
        <f t="shared" ca="1" si="1"/>
        <v>95.501198252837128</v>
      </c>
      <c r="G9" s="145">
        <f ca="1">F9*(100%-'Données projet'!$C$24)*(100%-'Données projet'!$C$25)*(100%-'Données projet'!$C$26)*(100%-'Données projet'!$C$27)</f>
        <v>85.951078427553412</v>
      </c>
      <c r="H9" s="153">
        <f>IF(OR('Données projet'!B12="",'Données projet'!C12="",'Données projet'!C12=0%),0,AVERAGE(Calculateur!$CN$3:$CN$33)*B9)</f>
        <v>8.8052395071326561</v>
      </c>
      <c r="I9" s="147">
        <f>H9*(100%-'Données projet'!$C$24)*(100%-'Données projet'!$C$25)*(100%-'Données projet'!$C$26)*(100%-'Données projet'!$C$27)</f>
        <v>7.9247155564193905</v>
      </c>
      <c r="J9" s="148">
        <f>IF(OR('Données projet'!B12="",'Données projet'!C12="",'Données projet'!C12=0%),0,SUM(Calculateur!$CG$3:$CG$33)*VLOOKUP('Données projet'!$B$12,Paramètres!$A$1:$I$89,9,0)*B9)</f>
        <v>36.319692000000003</v>
      </c>
      <c r="K9" s="149">
        <f>J9*(100%-'Données projet'!$C$24)*(100%-'Données projet'!$C$25)*(100%-'Données projet'!$C$26)*(100%-'Données projet'!$C$27)</f>
        <v>32.687722800000003</v>
      </c>
      <c r="L9" s="150">
        <f t="shared" ca="1" si="2"/>
        <v>126.5635167839728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558.83579113511132</v>
      </c>
      <c r="G16" s="164">
        <f t="shared" ca="1" si="3"/>
        <v>502.95221202160025</v>
      </c>
      <c r="H16" s="165">
        <f t="shared" si="3"/>
        <v>13.307984982842203</v>
      </c>
      <c r="I16" s="165">
        <f t="shared" si="3"/>
        <v>11.977186484557983</v>
      </c>
      <c r="J16" s="166">
        <f t="shared" si="3"/>
        <v>120.019452</v>
      </c>
      <c r="K16" s="166">
        <f t="shared" si="3"/>
        <v>108.01750680000001</v>
      </c>
      <c r="L16" s="167">
        <f t="shared" ca="1" si="3"/>
        <v>622.94690530615821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Sapin pectiné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Mélèze d'Europe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5" sqref="I1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Sapin pectiné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-2507.6354994766143</v>
      </c>
      <c r="U10" s="176">
        <f>'Données projet'!D9</f>
        <v>0.53100000000000003</v>
      </c>
      <c r="V10" s="175">
        <f>U10*T10</f>
        <v>-1331.5544502220823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sycomore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-2701.0523061090485</v>
      </c>
      <c r="U11" s="176">
        <f>'Données projet'!D10</f>
        <v>0.53100000000000003</v>
      </c>
      <c r="V11" s="175">
        <f t="shared" ref="V11" si="0">U11*T11</f>
        <v>-1434.2587745439048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Tilleul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-2867.5184274501148</v>
      </c>
      <c r="U12" s="176">
        <f>'Données projet'!D11</f>
        <v>0.35400000000000004</v>
      </c>
      <c r="V12" s="175">
        <f t="shared" ref="V12:V19" si="1">U12*T12</f>
        <v>-1015.1015233173407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Mélèze d'Europe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-2610.9961666978161</v>
      </c>
      <c r="U13" s="176">
        <f>'Données projet'!D12</f>
        <v>0.35400000000000004</v>
      </c>
      <c r="V13" s="175">
        <f t="shared" si="1"/>
        <v>-924.29264301102694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Sapin pectiné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f>10542.19/1.77</f>
        <v>5956.0395480225989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80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2827.68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80.000000000000156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13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1040.000000000002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4790.51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708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>
        <v>5</v>
      </c>
      <c r="D23" s="180">
        <f>B23*C23</f>
        <v>0</v>
      </c>
      <c r="E23" s="191"/>
      <c r="F23" s="228"/>
      <c r="H23" s="188">
        <v>3</v>
      </c>
      <c r="I23" s="189">
        <v>708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-8143.5633481433124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43</v>
      </c>
      <c r="C24" s="191">
        <v>5</v>
      </c>
      <c r="D24" s="180">
        <f t="shared" ref="D24:D42" si="2">B24*C24</f>
        <v>215</v>
      </c>
      <c r="E24" s="191"/>
      <c r="F24" s="231"/>
      <c r="H24" s="188">
        <v>4</v>
      </c>
      <c r="I24" s="189">
        <v>708</v>
      </c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54.413087576597555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77</v>
      </c>
      <c r="C25" s="191">
        <v>5</v>
      </c>
      <c r="D25" s="180">
        <f t="shared" si="2"/>
        <v>385</v>
      </c>
      <c r="E25" s="191"/>
      <c r="F25" s="231"/>
      <c r="H25" s="188">
        <v>5</v>
      </c>
      <c r="I25" s="189">
        <v>708</v>
      </c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-8197.9764357199092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77</v>
      </c>
      <c r="C26" s="191">
        <v>5</v>
      </c>
      <c r="D26" s="180">
        <f t="shared" si="2"/>
        <v>385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73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66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62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60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58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57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sycomore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3407.72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7</v>
      </c>
      <c r="C54" s="189">
        <v>15</v>
      </c>
      <c r="D54" s="177">
        <f>B54*C54</f>
        <v>105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42</v>
      </c>
      <c r="C55" s="189">
        <v>15</v>
      </c>
      <c r="D55" s="177">
        <f t="shared" ref="D55:D73" si="4">B55*C55</f>
        <v>630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42</v>
      </c>
      <c r="C56" s="189">
        <v>15</v>
      </c>
      <c r="D56" s="177">
        <f t="shared" si="4"/>
        <v>630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42</v>
      </c>
      <c r="C57" s="189">
        <v>15</v>
      </c>
      <c r="D57" s="177">
        <f t="shared" si="4"/>
        <v>630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42</v>
      </c>
      <c r="C58" s="189">
        <v>15</v>
      </c>
      <c r="D58" s="177">
        <f t="shared" si="4"/>
        <v>630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42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40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17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15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14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13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Tilleul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3899.72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7</v>
      </c>
      <c r="C85" s="189">
        <v>15</v>
      </c>
      <c r="D85" s="177">
        <f>B85*C85</f>
        <v>105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42</v>
      </c>
      <c r="C86" s="189">
        <v>15</v>
      </c>
      <c r="D86" s="177">
        <f t="shared" ref="D86:D104" si="6">B86*C86</f>
        <v>630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42</v>
      </c>
      <c r="C87" s="189">
        <v>15</v>
      </c>
      <c r="D87" s="177">
        <f t="shared" si="6"/>
        <v>630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42</v>
      </c>
      <c r="C88" s="189">
        <v>15</v>
      </c>
      <c r="D88" s="177">
        <f t="shared" si="6"/>
        <v>630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42</v>
      </c>
      <c r="C89" s="189">
        <v>15</v>
      </c>
      <c r="D89" s="177">
        <f t="shared" si="6"/>
        <v>630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42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40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16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15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14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13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Mélèze d'Europe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2983.05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12</v>
      </c>
      <c r="B116" s="179">
        <f>'Données projet'!D114</f>
        <v>18</v>
      </c>
      <c r="C116" s="189">
        <v>5</v>
      </c>
      <c r="D116" s="177">
        <f>B116*C116</f>
        <v>90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18</v>
      </c>
      <c r="B117" s="179">
        <f>'Données projet'!D115</f>
        <v>84.3</v>
      </c>
      <c r="C117" s="189">
        <v>5</v>
      </c>
      <c r="D117" s="177">
        <f t="shared" ref="D117:D135" si="8">B117*C117</f>
        <v>421.5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24</v>
      </c>
      <c r="B118" s="179">
        <f>'Données projet'!D116</f>
        <v>73.7</v>
      </c>
      <c r="C118" s="189">
        <v>5</v>
      </c>
      <c r="D118" s="177">
        <f t="shared" si="8"/>
        <v>368.5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62.6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36</v>
      </c>
      <c r="B120" s="179">
        <f>'Données projet'!D118</f>
        <v>58.4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42</v>
      </c>
      <c r="B121" s="179">
        <f>'Données projet'!D119</f>
        <v>54.6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48</v>
      </c>
      <c r="B122" s="179">
        <f>'Données projet'!D120</f>
        <v>48.2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54</v>
      </c>
      <c r="B123" s="179">
        <f>'Données projet'!D121</f>
        <v>46.9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2022-11-08T14:49:38Z</dcterms:modified>
</cp:coreProperties>
</file>