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Raymond\Dossier labellisation\"/>
    </mc:Choice>
  </mc:AlternateContent>
  <bookViews>
    <workbookView xWindow="0" yWindow="0" windowWidth="28800" windowHeight="1183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" l="1"/>
  <c r="D4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51" i="2" a="1"/>
  <c r="AH151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<sst xmlns="http://schemas.openxmlformats.org/spreadsheetml/2006/main" count="1171" uniqueCount="324">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</sst>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1.717976552924626</c:v>
                </c:pt>
                <c:pt idx="2">
                  <c:v>2.2240299440090214</c:v>
                </c:pt>
                <c:pt idx="3">
                  <c:v>2.8797580405780443</c:v>
                </c:pt>
                <c:pt idx="4">
                  <c:v>3.7296002679201314</c:v>
                </c:pt>
                <c:pt idx="5">
                  <c:v>4.83123780824004</c:v>
                </c:pt>
                <c:pt idx="6">
                  <c:v>6.2595524240560687</c:v>
                </c:pt>
                <c:pt idx="7">
                  <c:v>34.340499100461251</c:v>
                </c:pt>
                <c:pt idx="8">
                  <c:v>69.596399363316891</c:v>
                </c:pt>
                <c:pt idx="9">
                  <c:v>111.06781871657756</c:v>
                </c:pt>
                <c:pt idx="10">
                  <c:v>151.04486212599508</c:v>
                </c:pt>
                <c:pt idx="11">
                  <c:v>197.36812151889237</c:v>
                </c:pt>
                <c:pt idx="12">
                  <c:v>240.1539339323198</c:v>
                </c:pt>
                <c:pt idx="13">
                  <c:v>286.03728369813439</c:v>
                </c:pt>
                <c:pt idx="14">
                  <c:v>325.23346359087509</c:v>
                </c:pt>
                <c:pt idx="15">
                  <c:v>365.40973944635829</c:v>
                </c:pt>
                <c:pt idx="16">
                  <c:v>402.24312155367915</c:v>
                </c:pt>
                <c:pt idx="17">
                  <c:v>439.00354443929672</c:v>
                </c:pt>
                <c:pt idx="18">
                  <c:v>470.30563199351877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2620416"/>
        <c:axId val="-342619328"/>
      </c:scatterChart>
      <c:valAx>
        <c:axId val="-342620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2619328"/>
        <c:crosses val="autoZero"/>
        <c:crossBetween val="midCat"/>
      </c:valAx>
      <c:valAx>
        <c:axId val="-34261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2620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34896064"/>
        <c:axId val="-334895520"/>
      </c:scatterChart>
      <c:valAx>
        <c:axId val="-334896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5520"/>
        <c:crosses val="autoZero"/>
        <c:crossBetween val="midCat"/>
      </c:valAx>
      <c:valAx>
        <c:axId val="-3348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6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1.8622602085336706</c:v>
                </c:pt>
                <c:pt idx="2">
                  <c:v>2.6370694208669541</c:v>
                </c:pt>
                <c:pt idx="3">
                  <c:v>3.7356687340076569</c:v>
                </c:pt>
                <c:pt idx="4">
                  <c:v>5.2939291352560494</c:v>
                </c:pt>
                <c:pt idx="5">
                  <c:v>7.5049561202229311</c:v>
                </c:pt>
                <c:pt idx="6">
                  <c:v>10.643284822883542</c:v>
                </c:pt>
                <c:pt idx="7">
                  <c:v>15.099336565545547</c:v>
                </c:pt>
                <c:pt idx="8">
                  <c:v>21.428501682252747</c:v>
                </c:pt>
                <c:pt idx="9">
                  <c:v>54.397784215317607</c:v>
                </c:pt>
                <c:pt idx="10">
                  <c:v>86.80544208820244</c:v>
                </c:pt>
                <c:pt idx="11">
                  <c:v>124.41341515522238</c:v>
                </c:pt>
                <c:pt idx="12">
                  <c:v>163.93096561124847</c:v>
                </c:pt>
                <c:pt idx="13">
                  <c:v>204.31059479444636</c:v>
                </c:pt>
                <c:pt idx="14">
                  <c:v>243.42070829798624</c:v>
                </c:pt>
                <c:pt idx="15">
                  <c:v>283.4682862254009</c:v>
                </c:pt>
                <c:pt idx="16">
                  <c:v>320.15645259386019</c:v>
                </c:pt>
                <c:pt idx="17">
                  <c:v>353.52601555163727</c:v>
                </c:pt>
                <c:pt idx="18">
                  <c:v>384.68008240792892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2618784"/>
        <c:axId val="-342622048"/>
      </c:scatterChart>
      <c:valAx>
        <c:axId val="-342618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2622048"/>
        <c:crosses val="autoZero"/>
        <c:crossBetween val="midCat"/>
      </c:valAx>
      <c:valAx>
        <c:axId val="-34262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261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2619872"/>
        <c:axId val="-342621504"/>
      </c:scatterChart>
      <c:valAx>
        <c:axId val="-342619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2621504"/>
        <c:crosses val="autoZero"/>
        <c:crossBetween val="midCat"/>
      </c:valAx>
      <c:valAx>
        <c:axId val="-3426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2619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2620960"/>
        <c:axId val="-334894432"/>
      </c:scatterChart>
      <c:valAx>
        <c:axId val="-342620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4432"/>
        <c:crosses val="autoZero"/>
        <c:crossBetween val="midCat"/>
      </c:valAx>
      <c:valAx>
        <c:axId val="-33489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2620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34892800"/>
        <c:axId val="-334897152"/>
      </c:scatterChart>
      <c:valAx>
        <c:axId val="-334892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7152"/>
        <c:crosses val="autoZero"/>
        <c:crossBetween val="midCat"/>
      </c:valAx>
      <c:valAx>
        <c:axId val="-33489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2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34893888"/>
        <c:axId val="-334891168"/>
      </c:scatterChart>
      <c:valAx>
        <c:axId val="-334893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1168"/>
        <c:crosses val="autoZero"/>
        <c:crossBetween val="midCat"/>
      </c:valAx>
      <c:valAx>
        <c:axId val="-3348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3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34893344"/>
        <c:axId val="-334891712"/>
      </c:scatterChart>
      <c:valAx>
        <c:axId val="-334893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1712"/>
        <c:crosses val="autoZero"/>
        <c:crossBetween val="midCat"/>
      </c:valAx>
      <c:valAx>
        <c:axId val="-33489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3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34892256"/>
        <c:axId val="-334897696"/>
      </c:scatterChart>
      <c:valAx>
        <c:axId val="-334892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7696"/>
        <c:crosses val="autoZero"/>
        <c:crossBetween val="midCat"/>
      </c:valAx>
      <c:valAx>
        <c:axId val="-33489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2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34898240"/>
        <c:axId val="-334896608"/>
      </c:scatterChart>
      <c:valAx>
        <c:axId val="-334898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6608"/>
        <c:crosses val="autoZero"/>
        <c:crossBetween val="midCat"/>
      </c:valAx>
      <c:valAx>
        <c:axId val="-3348966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34898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0" zoomScale="80" zoomScaleNormal="80" workbookViewId="0">
      <selection activeCell="B10" sqref="B1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0.75</v>
      </c>
      <c r="D9" s="36">
        <f t="shared" ref="D9:D18" si="0">C9*$C$5</f>
        <v>3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128</v>
      </c>
      <c r="C10" s="35">
        <v>0.25</v>
      </c>
      <c r="D10" s="36">
        <f t="shared" si="0"/>
        <v>1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6</v>
      </c>
      <c r="B36" s="63">
        <v>5</v>
      </c>
      <c r="C36" s="63"/>
      <c r="D36" s="63"/>
      <c r="E36" s="54"/>
      <c r="F36" s="54"/>
      <c r="G36" s="54"/>
      <c r="H36" s="54"/>
      <c r="I36" s="52">
        <f>IFERROR(B36/A36,"")</f>
        <v>0.83333333333333337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7</v>
      </c>
      <c r="B37" s="63">
        <v>29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8</v>
      </c>
      <c r="B38" s="63">
        <v>60</v>
      </c>
      <c r="C38" s="63"/>
      <c r="D38" s="63"/>
      <c r="E38" s="54"/>
      <c r="F38" s="54"/>
      <c r="G38" s="54"/>
      <c r="H38" s="54"/>
      <c r="I38" s="56">
        <f t="shared" si="1"/>
        <v>31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9</v>
      </c>
      <c r="B39" s="63">
        <v>97</v>
      </c>
      <c r="C39" s="63"/>
      <c r="D39" s="63"/>
      <c r="E39" s="54"/>
      <c r="F39" s="54"/>
      <c r="G39" s="54"/>
      <c r="H39" s="54"/>
      <c r="I39" s="52">
        <f t="shared" si="1"/>
        <v>37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10</v>
      </c>
      <c r="B40" s="63">
        <v>133</v>
      </c>
      <c r="C40" s="63"/>
      <c r="D40" s="63"/>
      <c r="E40" s="54"/>
      <c r="F40" s="54"/>
      <c r="G40" s="54"/>
      <c r="H40" s="54"/>
      <c r="I40" s="52">
        <f t="shared" si="1"/>
        <v>36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11</v>
      </c>
      <c r="B41" s="63">
        <v>175</v>
      </c>
      <c r="C41" s="63"/>
      <c r="D41" s="63"/>
      <c r="E41" s="54"/>
      <c r="F41" s="54"/>
      <c r="G41" s="54"/>
      <c r="H41" s="54"/>
      <c r="I41" s="56">
        <f t="shared" si="1"/>
        <v>42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12</v>
      </c>
      <c r="B42" s="63">
        <v>214</v>
      </c>
      <c r="C42" s="63"/>
      <c r="D42" s="63"/>
      <c r="E42" s="54"/>
      <c r="F42" s="54"/>
      <c r="G42" s="54"/>
      <c r="H42" s="54"/>
      <c r="I42" s="56">
        <f t="shared" si="1"/>
        <v>39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13</v>
      </c>
      <c r="B43" s="63">
        <v>256</v>
      </c>
      <c r="C43" s="63"/>
      <c r="D43" s="63"/>
      <c r="E43" s="54"/>
      <c r="F43" s="54"/>
      <c r="G43" s="54"/>
      <c r="H43" s="54"/>
      <c r="I43" s="52">
        <f t="shared" si="1"/>
        <v>42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14</v>
      </c>
      <c r="B44" s="63">
        <v>292</v>
      </c>
      <c r="C44" s="63"/>
      <c r="D44" s="63"/>
      <c r="E44" s="54"/>
      <c r="F44" s="54"/>
      <c r="G44" s="54"/>
      <c r="H44" s="54"/>
      <c r="I44" s="52">
        <f t="shared" si="1"/>
        <v>36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15</v>
      </c>
      <c r="B45" s="63">
        <v>329</v>
      </c>
      <c r="C45" s="63"/>
      <c r="D45" s="63"/>
      <c r="E45" s="54"/>
      <c r="F45" s="54"/>
      <c r="G45" s="54"/>
      <c r="H45" s="54"/>
      <c r="I45" s="52">
        <f t="shared" si="1"/>
        <v>37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16</v>
      </c>
      <c r="B46" s="63">
        <v>363</v>
      </c>
      <c r="C46" s="63"/>
      <c r="D46" s="63"/>
      <c r="E46" s="54"/>
      <c r="F46" s="54"/>
      <c r="G46" s="54"/>
      <c r="H46" s="54"/>
      <c r="I46" s="52">
        <f t="shared" si="1"/>
        <v>34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17</v>
      </c>
      <c r="B47" s="63">
        <v>397</v>
      </c>
      <c r="C47" s="63"/>
      <c r="D47" s="63"/>
      <c r="E47" s="54"/>
      <c r="F47" s="54"/>
      <c r="G47" s="54"/>
      <c r="H47" s="54"/>
      <c r="I47" s="52">
        <f t="shared" si="1"/>
        <v>34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18</v>
      </c>
      <c r="B48" s="63">
        <v>426</v>
      </c>
      <c r="C48" s="63">
        <v>1</v>
      </c>
      <c r="D48" s="63">
        <f>B48</f>
        <v>426</v>
      </c>
      <c r="E48" s="54">
        <v>0.72</v>
      </c>
      <c r="F48" s="54"/>
      <c r="G48" s="54"/>
      <c r="H48" s="54">
        <v>0.28000000000000003</v>
      </c>
      <c r="I48" s="52">
        <f t="shared" si="1"/>
        <v>29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Raspalje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8</v>
      </c>
      <c r="B62" s="63">
        <v>18</v>
      </c>
      <c r="C62" s="63"/>
      <c r="D62" s="63"/>
      <c r="E62" s="54"/>
      <c r="F62" s="54"/>
      <c r="G62" s="54"/>
      <c r="H62" s="54"/>
      <c r="I62" s="56">
        <f>IFERROR(B62/A62,"")</f>
        <v>2.25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9</v>
      </c>
      <c r="B63" s="63">
        <v>47</v>
      </c>
      <c r="C63" s="63"/>
      <c r="D63" s="63"/>
      <c r="E63" s="54"/>
      <c r="F63" s="54"/>
      <c r="G63" s="54"/>
      <c r="H63" s="54"/>
      <c r="I63" s="52">
        <f>IF(A63&lt;&gt;0,(B63-(B62-D62))/(A63-A62),"")</f>
        <v>29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10</v>
      </c>
      <c r="B64" s="63">
        <v>76</v>
      </c>
      <c r="C64" s="63"/>
      <c r="D64" s="63"/>
      <c r="E64" s="54"/>
      <c r="F64" s="54"/>
      <c r="G64" s="54"/>
      <c r="H64" s="54"/>
      <c r="I64" s="52">
        <f>IF(A64&lt;&gt;0,(B64-(B63-D63))/(A64-A63),"")</f>
        <v>29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11</v>
      </c>
      <c r="B65" s="63">
        <v>110</v>
      </c>
      <c r="C65" s="63"/>
      <c r="D65" s="63"/>
      <c r="E65" s="54"/>
      <c r="F65" s="54"/>
      <c r="G65" s="54"/>
      <c r="H65" s="54"/>
      <c r="I65" s="52">
        <f>IF(A65&lt;&gt;0,(B65-(B64-D64))/(A65-A64),"")</f>
        <v>34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12</v>
      </c>
      <c r="B66" s="63">
        <v>146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36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13</v>
      </c>
      <c r="B67" s="63">
        <v>183</v>
      </c>
      <c r="C67" s="63"/>
      <c r="D67" s="63"/>
      <c r="E67" s="54"/>
      <c r="F67" s="54"/>
      <c r="G67" s="54"/>
      <c r="H67" s="54"/>
      <c r="I67" s="52">
        <f t="shared" si="2"/>
        <v>37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14</v>
      </c>
      <c r="B68" s="63">
        <v>219</v>
      </c>
      <c r="C68" s="63"/>
      <c r="D68" s="63"/>
      <c r="E68" s="54"/>
      <c r="F68" s="54"/>
      <c r="G68" s="54"/>
      <c r="H68" s="54"/>
      <c r="I68" s="52">
        <f t="shared" si="2"/>
        <v>36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15</v>
      </c>
      <c r="B69" s="53">
        <v>256</v>
      </c>
      <c r="C69" s="53"/>
      <c r="D69" s="53"/>
      <c r="E69" s="54"/>
      <c r="F69" s="54"/>
      <c r="G69" s="54"/>
      <c r="H69" s="54"/>
      <c r="I69" s="52">
        <f t="shared" si="2"/>
        <v>37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16</v>
      </c>
      <c r="B70" s="53">
        <v>290</v>
      </c>
      <c r="C70" s="53"/>
      <c r="D70" s="53"/>
      <c r="E70" s="54"/>
      <c r="F70" s="54"/>
      <c r="G70" s="54"/>
      <c r="H70" s="54"/>
      <c r="I70" s="52">
        <f t="shared" si="2"/>
        <v>34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17</v>
      </c>
      <c r="B71" s="53">
        <v>321</v>
      </c>
      <c r="C71" s="53"/>
      <c r="D71" s="53"/>
      <c r="E71" s="54"/>
      <c r="F71" s="54"/>
      <c r="G71" s="54"/>
      <c r="H71" s="54"/>
      <c r="I71" s="52">
        <f t="shared" si="2"/>
        <v>31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18</v>
      </c>
      <c r="B72" s="53">
        <v>350</v>
      </c>
      <c r="C72" s="53">
        <v>1</v>
      </c>
      <c r="D72" s="53">
        <f>B72</f>
        <v>350</v>
      </c>
      <c r="E72" s="54">
        <v>0.72</v>
      </c>
      <c r="F72" s="54"/>
      <c r="G72" s="54"/>
      <c r="H72" s="54">
        <v>0.28000000000000003</v>
      </c>
      <c r="I72" s="52">
        <f t="shared" si="2"/>
        <v>29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26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Raspalje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145.32658437453324</v>
      </c>
      <c r="T3" s="62">
        <f>IF('Données projet'!E9&gt;30,$R$33-$H$33,LOOKUP('Données projet'!$E$9,$A$3:$A$203,R3:R203)-LOOKUP('Données projet'!$E$9,$A$3:$A$203,$H$3:$H$203))</f>
        <v>433.75986949528095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101.84596222262093</v>
      </c>
      <c r="AO3" s="62">
        <f>IF('Données projet'!E10&gt;30,$AM$33-$H$33,LOOKUP('Données projet'!$E$10,$A$3:$A$203,AM3:AM203)-LOOKUP('Données projet'!$E$10,$A$3:$A$203,$H$3:$H$203))</f>
        <v>348.1343199096911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2">
        <f>IFERROR(EXP(-1.0587+0.8836*LN(C4)+0.284),0)</f>
        <v>0.40897418972440713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70">
        <f t="shared" ref="H4:H67" si="1">(B4+E4+F4)*44/12+(C4+D4)*0.475*44/12</f>
        <v>295.56715004710333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0.83333333333333337</v>
      </c>
      <c r="N4" s="14">
        <f>IF('Données projet'!$A$36&gt;35,N3+M4-V3,IF(A4&lt;'Données projet'!$A$36,$K$205^A4,IF(A4='Données projet'!$A$36,'Données projet'!$B$36,N3+M4-V3)))</f>
        <v>1.3076604860118306</v>
      </c>
      <c r="O4" s="14">
        <f>N4*VLOOKUP('Données projet'!$B$9,Paramètres!$A$1:$I$89,3,0)*VLOOKUP('Données projet'!$B$9,Paramètres!$A$1:$I$89,5,0)</f>
        <v>0.66502381676617661</v>
      </c>
      <c r="P4" s="14">
        <f>EXP(-1.0587+0.8836*LN(O4)+0.284)</f>
        <v>0.32137420405179057</v>
      </c>
      <c r="Q4" s="22">
        <f t="shared" ref="Q4:Q34" si="2">(O4+P4)*0.475*44/12</f>
        <v>1.717976552924626</v>
      </c>
      <c r="R4" s="62">
        <f t="shared" si="0"/>
        <v>295.05130988625797</v>
      </c>
      <c r="S4" s="62">
        <f ca="1">AVERAGE(OFFSET($R$3,0,0,'Données projet'!$E$9+1,1))-AVERAGE(OFFSET($H$3,0,0,'Données projet'!$E$9+1,1))</f>
        <v>145.32658437453324</v>
      </c>
      <c r="T4" s="62">
        <f>$T$3</f>
        <v>433.75986949528095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2.25</v>
      </c>
      <c r="AI4" s="14">
        <f>IF('Données projet'!$A$62&gt;35,AI3+AH4-AQ3,IF(A4&lt;'Données projet'!$A$62,$AF$205^A4,IF(A4='Données projet'!$A$62,'Données projet'!$B$62,AI3+AH4-AQ3)))</f>
        <v>1.4351888878844894</v>
      </c>
      <c r="AJ4" s="14">
        <f>AI4*VLOOKUP('Données projet'!$B$10,Paramètres!$A$1:$I$89,3,0)*VLOOKUP('Données projet'!$B$10,Paramètres!$A$1:$I$89,5,0)</f>
        <v>0.72316297682723651</v>
      </c>
      <c r="AK4" s="14">
        <f>EXP(-1.0587+0.8836*LN(AJ4)+0.284)</f>
        <v>0.34607733429257453</v>
      </c>
      <c r="AL4" s="22">
        <f t="shared" ref="AL4:AL67" si="4">(AJ4+AK4)*0.475*44/12</f>
        <v>1.8622602085336706</v>
      </c>
      <c r="AM4" s="62">
        <f t="shared" ref="AM4:AM67" si="5">AL4+(AD4+AE4)*44/12</f>
        <v>295.19559354186697</v>
      </c>
      <c r="AN4" s="62">
        <f ca="1">AVERAGE(OFFSET($AM$3,0,0,'Données projet'!$E$10+1,1))-AVERAGE(OFFSET($H$3,0,0,'Données projet'!$E$10+1,1))</f>
        <v>101.84596222262093</v>
      </c>
      <c r="AO4" s="62">
        <f>$AO$3</f>
        <v>348.1343199096911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2">
        <f t="shared" ref="D5:D68" si="32">IFERROR(EXP(-1.0587+0.8836*LN(C5)+0.284),0)</f>
        <v>0.75454649280048791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70">
        <f t="shared" si="1"/>
        <v>297.69054180829414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0.83333333333333337</v>
      </c>
      <c r="N5" s="14">
        <f>IF('Données projet'!$A$36&gt;35,N4+M5-V4,IF(A5&lt;'Données projet'!$A$36,$K$205^A5,IF(A5='Données projet'!$A$36,'Données projet'!$B$36,N4+M5-V4)))</f>
        <v>1.7099759466766971</v>
      </c>
      <c r="O5" s="14">
        <f>N5*VLOOKUP('Données projet'!$B$9,Paramètres!$A$1:$I$89,3,0)*VLOOKUP('Données projet'!$B$9,Paramètres!$A$1:$I$89,5,0)</f>
        <v>0.86962536744190111</v>
      </c>
      <c r="P5" s="14">
        <f t="shared" ref="P5:P68" si="33">EXP(-1.0587+0.8836*LN(O5)+0.284)</f>
        <v>0.4073296243336133</v>
      </c>
      <c r="Q5" s="22">
        <f t="shared" si="2"/>
        <v>2.2240299440090214</v>
      </c>
      <c r="R5" s="62">
        <f t="shared" si="0"/>
        <v>295.55736327734235</v>
      </c>
      <c r="S5" s="62">
        <f ca="1">AVERAGE(OFFSET($R$3,0,0,'Données projet'!$E$9+1,1))-AVERAGE(OFFSET($H$3,0,0,'Données projet'!$E$9+1,1))</f>
        <v>145.32658437453324</v>
      </c>
      <c r="T5" s="62">
        <f t="shared" ref="T5:T68" si="34">$T$3</f>
        <v>433.75986949528095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2.25</v>
      </c>
      <c r="AI5" s="14">
        <f>IF('Données projet'!$A$62&gt;35,AI4+AH5-AQ4,IF(A5&lt;'Données projet'!$A$62,$AF$205^A5,IF(A5='Données projet'!$A$62,'Données projet'!$B$62,AI4+AH5-AQ4)))</f>
        <v>2.0597671439071177</v>
      </c>
      <c r="AJ5" s="14">
        <f>AI5*VLOOKUP('Données projet'!$B$10,Paramètres!$A$1:$I$89,3,0)*VLOOKUP('Données projet'!$B$10,Paramètres!$A$1:$I$89,5,0)</f>
        <v>1.0378754684719185</v>
      </c>
      <c r="AK5" s="14">
        <f t="shared" ref="AK5:AK68" si="35">EXP(-1.0587+0.8836*LN(AJ5)+0.284)</f>
        <v>0.47623137604499294</v>
      </c>
      <c r="AL5" s="22">
        <f t="shared" si="4"/>
        <v>2.6370694208669541</v>
      </c>
      <c r="AM5" s="62">
        <f t="shared" si="5"/>
        <v>295.97040275420028</v>
      </c>
      <c r="AN5" s="62">
        <f ca="1">AVERAGE(OFFSET($AM$3,0,0,'Données projet'!$E$10+1,1))-AVERAGE(OFFSET($H$3,0,0,'Données projet'!$E$10+1,1))</f>
        <v>101.84596222262093</v>
      </c>
      <c r="AO5" s="62">
        <f t="shared" ref="AO5:AO68" si="36">$AO$3</f>
        <v>348.1343199096911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2">
        <f t="shared" si="32"/>
        <v>1.0796431690647796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70">
        <f t="shared" si="1"/>
        <v>299.77827185278778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0.83333333333333337</v>
      </c>
      <c r="N6" s="14">
        <f>IF('Données projet'!$A$36&gt;35,N5+M6-V5,IF(A6&lt;'Données projet'!$A$36,$K$205^A6,IF(A6='Données projet'!$A$36,'Données projet'!$B$36,N5+M6-V5)))</f>
        <v>2.2360679774997898</v>
      </c>
      <c r="O6" s="14">
        <f>N6*VLOOKUP('Données projet'!$B$9,Paramètres!$A$1:$I$89,3,0)*VLOOKUP('Données projet'!$B$9,Paramètres!$A$1:$I$89,5,0)</f>
        <v>1.137174730637293</v>
      </c>
      <c r="P6" s="14">
        <f t="shared" si="33"/>
        <v>0.51627486203909612</v>
      </c>
      <c r="Q6" s="22">
        <f t="shared" si="2"/>
        <v>2.8797580405780443</v>
      </c>
      <c r="R6" s="62">
        <f t="shared" si="0"/>
        <v>296.21309137391137</v>
      </c>
      <c r="S6" s="62">
        <f ca="1">AVERAGE(OFFSET($R$3,0,0,'Données projet'!$E$9+1,1))-AVERAGE(OFFSET($H$3,0,0,'Données projet'!$E$9+1,1))</f>
        <v>145.32658437453324</v>
      </c>
      <c r="T6" s="62">
        <f t="shared" si="34"/>
        <v>433.75986949528095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2.25</v>
      </c>
      <c r="AI6" s="14">
        <f>IF('Données projet'!$A$62&gt;35,AI5+AH6-AQ5,IF(A6&lt;'Données projet'!$A$62,$AF$205^A6,IF(A6='Données projet'!$A$62,'Données projet'!$B$62,AI5+AH6-AQ5)))</f>
        <v>2.9561549165650671</v>
      </c>
      <c r="AJ6" s="14">
        <f>AI6*VLOOKUP('Données projet'!$B$10,Paramètres!$A$1:$I$89,3,0)*VLOOKUP('Données projet'!$B$10,Paramètres!$A$1:$I$89,5,0)</f>
        <v>1.4895473393588061</v>
      </c>
      <c r="AK6" s="14">
        <f t="shared" si="35"/>
        <v>0.65533423040635586</v>
      </c>
      <c r="AL6" s="22">
        <f t="shared" si="4"/>
        <v>3.7356687340076569</v>
      </c>
      <c r="AM6" s="62">
        <f t="shared" si="5"/>
        <v>297.06900206734099</v>
      </c>
      <c r="AN6" s="62">
        <f ca="1">AVERAGE(OFFSET($AM$3,0,0,'Données projet'!$E$10+1,1))-AVERAGE(OFFSET($H$3,0,0,'Données projet'!$E$10+1,1))</f>
        <v>101.84596222262093</v>
      </c>
      <c r="AO6" s="62">
        <f t="shared" si="36"/>
        <v>348.1343199096911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2">
        <f t="shared" si="32"/>
        <v>1.392118192547003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70">
        <f t="shared" si="1"/>
        <v>301.84401918535269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0.83333333333333337</v>
      </c>
      <c r="N7" s="14">
        <f>IF('Données projet'!$A$36&gt;35,N6+M7-V6,IF(A7&lt;'Données projet'!$A$36,$K$205^A7,IF(A7='Données projet'!$A$36,'Données projet'!$B$36,N6+M7-V6)))</f>
        <v>2.9240177382128665</v>
      </c>
      <c r="O7" s="14">
        <f>N7*VLOOKUP('Données projet'!$B$9,Paramètres!$A$1:$I$89,3,0)*VLOOKUP('Données projet'!$B$9,Paramètres!$A$1:$I$89,5,0)</f>
        <v>1.4870384609455356</v>
      </c>
      <c r="P7" s="14">
        <f t="shared" si="33"/>
        <v>0.65435882207080776</v>
      </c>
      <c r="Q7" s="22">
        <f t="shared" si="2"/>
        <v>3.7296002679201314</v>
      </c>
      <c r="R7" s="62">
        <f t="shared" si="0"/>
        <v>297.06293360125346</v>
      </c>
      <c r="S7" s="62">
        <f ca="1">AVERAGE(OFFSET($R$3,0,0,'Données projet'!$E$9+1,1))-AVERAGE(OFFSET($H$3,0,0,'Données projet'!$E$9+1,1))</f>
        <v>145.32658437453324</v>
      </c>
      <c r="T7" s="62">
        <f t="shared" si="34"/>
        <v>433.75986949528095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2.25</v>
      </c>
      <c r="AI7" s="14">
        <f>IF('Données projet'!$A$62&gt;35,AI6+AH7-AQ6,IF(A7&lt;'Données projet'!$A$62,$AF$205^A7,IF(A7='Données projet'!$A$62,'Données projet'!$B$62,AI6+AH7-AQ6)))</f>
        <v>4.2426406871192848</v>
      </c>
      <c r="AJ7" s="14">
        <f>AI7*VLOOKUP('Données projet'!$B$10,Paramètres!$A$1:$I$89,3,0)*VLOOKUP('Données projet'!$B$10,Paramètres!$A$1:$I$89,5,0)</f>
        <v>2.1377817894256652</v>
      </c>
      <c r="AK7" s="14">
        <f t="shared" si="35"/>
        <v>0.90179474756345401</v>
      </c>
      <c r="AL7" s="22">
        <f t="shared" si="4"/>
        <v>5.2939291352560494</v>
      </c>
      <c r="AM7" s="62">
        <f t="shared" si="5"/>
        <v>298.62726246858938</v>
      </c>
      <c r="AN7" s="62">
        <f ca="1">AVERAGE(OFFSET($AM$3,0,0,'Données projet'!$E$10+1,1))-AVERAGE(OFFSET($H$3,0,0,'Données projet'!$E$10+1,1))</f>
        <v>101.84596222262093</v>
      </c>
      <c r="AO7" s="62">
        <f t="shared" si="36"/>
        <v>348.1343199096911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2">
        <f t="shared" si="32"/>
        <v>1.6955312417477204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70">
        <f t="shared" si="1"/>
        <v>303.89398357937728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0.83333333333333337</v>
      </c>
      <c r="N8" s="14">
        <f>IF('Données projet'!$A$36&gt;35,N7+M8-V7,IF(A8&lt;'Données projet'!$A$36,$K$205^A8,IF(A8='Données projet'!$A$36,'Données projet'!$B$36,N7+M8-V7)))</f>
        <v>3.8236224566586507</v>
      </c>
      <c r="O8" s="14">
        <f>N8*VLOOKUP('Données projet'!$B$9,Paramètres!$A$1:$I$89,3,0)*VLOOKUP('Données projet'!$B$9,Paramètres!$A$1:$I$89,5,0)</f>
        <v>1.9445414365583238</v>
      </c>
      <c r="P8" s="14">
        <f t="shared" si="33"/>
        <v>0.82937500836418721</v>
      </c>
      <c r="Q8" s="22">
        <f t="shared" si="2"/>
        <v>4.83123780824004</v>
      </c>
      <c r="R8" s="62">
        <f t="shared" si="0"/>
        <v>298.16457114157333</v>
      </c>
      <c r="S8" s="62">
        <f ca="1">AVERAGE(OFFSET($R$3,0,0,'Données projet'!$E$9+1,1))-AVERAGE(OFFSET($H$3,0,0,'Données projet'!$E$9+1,1))</f>
        <v>145.32658437453324</v>
      </c>
      <c r="T8" s="62">
        <f t="shared" si="34"/>
        <v>433.75986949528095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2.25</v>
      </c>
      <c r="AI8" s="14">
        <f>IF('Données projet'!$A$62&gt;35,AI7+AH8-AQ7,IF(A8&lt;'Données projet'!$A$62,$AF$205^A8,IF(A8='Données projet'!$A$62,'Données projet'!$B$62,AI7+AH8-AQ7)))</f>
        <v>6.0889907694402119</v>
      </c>
      <c r="AJ8" s="14">
        <f>AI8*VLOOKUP('Données projet'!$B$10,Paramètres!$A$1:$I$89,3,0)*VLOOKUP('Données projet'!$B$10,Paramètres!$A$1:$I$89,5,0)</f>
        <v>3.068120668905534</v>
      </c>
      <c r="AK8" s="14">
        <f t="shared" si="35"/>
        <v>1.2409450460550007</v>
      </c>
      <c r="AL8" s="22">
        <f t="shared" si="4"/>
        <v>7.5049561202229311</v>
      </c>
      <c r="AM8" s="62">
        <f t="shared" si="5"/>
        <v>300.83828945355623</v>
      </c>
      <c r="AN8" s="62">
        <f ca="1">AVERAGE(OFFSET($AM$3,0,0,'Données projet'!$E$10+1,1))-AVERAGE(OFFSET($H$3,0,0,'Données projet'!$E$10+1,1))</f>
        <v>101.84596222262093</v>
      </c>
      <c r="AO8" s="62">
        <f t="shared" si="36"/>
        <v>348.1343199096911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2">
        <f t="shared" si="32"/>
        <v>1.9919129059043814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70">
        <f t="shared" si="1"/>
        <v>305.93170164445013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>
        <f>VLOOKUP(A9,'Données projet'!$A$35:$I$55,2,0)</f>
        <v>5</v>
      </c>
      <c r="L9" s="13">
        <f>VLOOKUP(A9,'Données projet'!$A$35:$I$55,9,0)</f>
        <v>0.83333333333333337</v>
      </c>
      <c r="M9" s="13">
        <f t="array" ref="M9">INDEX(L:L,MIN(IF(ISNUMBER(L9:L205),ROW(L9:L205),"")))</f>
        <v>0.83333333333333337</v>
      </c>
      <c r="N9" s="14">
        <f>IF('Données projet'!$A$36&gt;35,N8+M9-V8,IF(A9&lt;'Données projet'!$A$36,$K$205^A9,IF(A9='Données projet'!$A$36,'Données projet'!$B$36,N8+M9-V8)))</f>
        <v>5</v>
      </c>
      <c r="O9" s="14">
        <f>N9*VLOOKUP('Données projet'!$B$9,Paramètres!$A$1:$I$89,3,0)*VLOOKUP('Données projet'!$B$9,Paramètres!$A$1:$I$89,5,0)</f>
        <v>2.5428000000000002</v>
      </c>
      <c r="P9" s="14">
        <f t="shared" si="33"/>
        <v>1.0512013918025274</v>
      </c>
      <c r="Q9" s="22">
        <f t="shared" si="2"/>
        <v>6.2595524240560687</v>
      </c>
      <c r="R9" s="62">
        <f t="shared" si="0"/>
        <v>299.59288575738941</v>
      </c>
      <c r="S9" s="62">
        <f ca="1">AVERAGE(OFFSET($R$3,0,0,'Données projet'!$E$9+1,1))-AVERAGE(OFFSET($H$3,0,0,'Données projet'!$E$9+1,1))</f>
        <v>145.32658437453324</v>
      </c>
      <c r="T9" s="62">
        <f t="shared" si="34"/>
        <v>433.75986949528095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2.25</v>
      </c>
      <c r="AI9" s="14">
        <f>IF('Données projet'!$A$62&gt;35,AI8+AH9-AQ8,IF(A9&lt;'Données projet'!$A$62,$AF$205^A9,IF(A9='Données projet'!$A$62,'Données projet'!$B$62,AI8+AH9-AQ8)))</f>
        <v>8.7388518907318211</v>
      </c>
      <c r="AJ9" s="14">
        <f>AI9*VLOOKUP('Données projet'!$B$10,Paramètres!$A$1:$I$89,3,0)*VLOOKUP('Données projet'!$B$10,Paramètres!$A$1:$I$89,5,0)</f>
        <v>4.4033326907019497</v>
      </c>
      <c r="AK9" s="14">
        <f t="shared" si="35"/>
        <v>1.7076442410972139</v>
      </c>
      <c r="AL9" s="22">
        <f t="shared" si="4"/>
        <v>10.643284822883542</v>
      </c>
      <c r="AM9" s="62">
        <f t="shared" si="5"/>
        <v>303.97661815621683</v>
      </c>
      <c r="AN9" s="62">
        <f ca="1">AVERAGE(OFFSET($AM$3,0,0,'Données projet'!$E$10+1,1))-AVERAGE(OFFSET($H$3,0,0,'Données projet'!$E$10+1,1))</f>
        <v>101.84596222262093</v>
      </c>
      <c r="AO9" s="62">
        <f t="shared" si="36"/>
        <v>348.1343199096911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2">
        <f t="shared" si="32"/>
        <v>2.2825722273844922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70">
        <f t="shared" si="1"/>
        <v>307.95945329602796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>
        <f>VLOOKUP(A10,'Données projet'!$A$35:$I$55,2,0)</f>
        <v>29</v>
      </c>
      <c r="L10" s="13">
        <f>VLOOKUP(A10,'Données projet'!$A$35:$I$55,9,0)</f>
        <v>24</v>
      </c>
      <c r="M10" s="13">
        <f t="array" ref="M10">INDEX(L:L,MIN(IF(ISNUMBER(L10:L206),ROW(L10:L206),"")))</f>
        <v>24</v>
      </c>
      <c r="N10" s="14">
        <f>IF('Données projet'!$A$36&gt;35,N9+M10-V9,IF(A10&lt;'Données projet'!$A$36,$K$205^A10,IF(A10='Données projet'!$A$36,'Données projet'!$B$36,N9+M10-V9)))</f>
        <v>29</v>
      </c>
      <c r="O10" s="14">
        <f>N10*VLOOKUP('Données projet'!$B$9,Paramètres!$A$1:$I$89,3,0)*VLOOKUP('Données projet'!$B$9,Paramètres!$A$1:$I$89,5,0)</f>
        <v>14.748240000000001</v>
      </c>
      <c r="P10" s="14">
        <f t="shared" si="33"/>
        <v>4.9687929763413896</v>
      </c>
      <c r="Q10" s="22">
        <f t="shared" si="2"/>
        <v>34.340499100461251</v>
      </c>
      <c r="R10" s="62">
        <f t="shared" si="0"/>
        <v>327.67383243379459</v>
      </c>
      <c r="S10" s="62">
        <f ca="1">AVERAGE(OFFSET($R$3,0,0,'Données projet'!$E$9+1,1))-AVERAGE(OFFSET($H$3,0,0,'Données projet'!$E$9+1,1))</f>
        <v>145.32658437453324</v>
      </c>
      <c r="T10" s="62">
        <f t="shared" si="34"/>
        <v>433.75986949528095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2.25</v>
      </c>
      <c r="AI10" s="14">
        <f>IF('Données projet'!$A$62&gt;35,AI9+AH10-AQ9,IF(A10&lt;'Données projet'!$A$62,$AF$205^A10,IF(A10='Données projet'!$A$62,'Données projet'!$B$62,AI9+AH10-AQ9)))</f>
        <v>12.541903126446668</v>
      </c>
      <c r="AJ10" s="14">
        <f>AI10*VLOOKUP('Données projet'!$B$10,Paramètres!$A$1:$I$89,3,0)*VLOOKUP('Données projet'!$B$10,Paramètres!$A$1:$I$89,5,0)</f>
        <v>6.3196141473539464</v>
      </c>
      <c r="AK10" s="14">
        <f t="shared" si="35"/>
        <v>2.3498613926722061</v>
      </c>
      <c r="AL10" s="22">
        <f t="shared" si="4"/>
        <v>15.099336565545547</v>
      </c>
      <c r="AM10" s="62">
        <f t="shared" si="5"/>
        <v>308.43266989887888</v>
      </c>
      <c r="AN10" s="62">
        <f ca="1">AVERAGE(OFFSET($AM$3,0,0,'Données projet'!$E$10+1,1))-AVERAGE(OFFSET($H$3,0,0,'Données projet'!$E$10+1,1))</f>
        <v>101.84596222262093</v>
      </c>
      <c r="AO10" s="62">
        <f t="shared" si="36"/>
        <v>348.1343199096911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2">
        <f t="shared" si="32"/>
        <v>2.5684210058779833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70">
        <f t="shared" si="1"/>
        <v>309.97882658523747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>
        <f>VLOOKUP(A11,'Données projet'!$A$35:$I$55,2,0)</f>
        <v>60</v>
      </c>
      <c r="L11" s="13">
        <f>VLOOKUP(A11,'Données projet'!$A$35:$I$55,9,0)</f>
        <v>31</v>
      </c>
      <c r="M11" s="13">
        <f t="array" ref="M11">INDEX(L:L,MIN(IF(ISNUMBER(L11:L207),ROW(L11:L207),"")))</f>
        <v>31</v>
      </c>
      <c r="N11" s="14">
        <f>IF('Données projet'!$A$36&gt;35,N10+M11-V10,IF(A11&lt;'Données projet'!$A$36,$K$205^A11,IF(A11='Données projet'!$A$36,'Données projet'!$B$36,N10+M11-V10)))</f>
        <v>60</v>
      </c>
      <c r="O11" s="14">
        <f>N11*VLOOKUP('Données projet'!$B$9,Paramètres!$A$1:$I$89,3,0)*VLOOKUP('Données projet'!$B$9,Paramètres!$A$1:$I$89,5,0)</f>
        <v>30.513600000000004</v>
      </c>
      <c r="P11" s="14">
        <f t="shared" si="33"/>
        <v>9.4460551368326602</v>
      </c>
      <c r="Q11" s="22">
        <f t="shared" si="2"/>
        <v>69.596399363316891</v>
      </c>
      <c r="R11" s="62">
        <f t="shared" si="0"/>
        <v>362.92973269665021</v>
      </c>
      <c r="S11" s="62">
        <f ca="1">AVERAGE(OFFSET($R$3,0,0,'Données projet'!$E$9+1,1))-AVERAGE(OFFSET($H$3,0,0,'Données projet'!$E$9+1,1))</f>
        <v>145.32658437453324</v>
      </c>
      <c r="T11" s="62">
        <f t="shared" si="34"/>
        <v>433.75986949528095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>
        <f>VLOOKUP(A11,'Données projet'!$A$61:$I$81,2,0)</f>
        <v>18</v>
      </c>
      <c r="AG11" s="13">
        <f>VLOOKUP(A11,'Données projet'!$A$61:$I$81,9,0)</f>
        <v>2.25</v>
      </c>
      <c r="AH11" s="13">
        <f t="array" ref="AH11">INDEX(AG:AG,MIN(IF(ISNUMBER(AG11:AG207),ROW(AG11:AG207),"")))</f>
        <v>2.25</v>
      </c>
      <c r="AI11" s="14">
        <f>IF('Données projet'!$A$62&gt;35,AI10+AH11-AQ10,IF(A11&lt;'Données projet'!$A$62,$AF$205^A11,IF(A11='Données projet'!$A$62,'Données projet'!$B$62,AI10+AH11-AQ10)))</f>
        <v>18</v>
      </c>
      <c r="AJ11" s="14">
        <f>AI11*VLOOKUP('Données projet'!$B$10,Paramètres!$A$1:$I$89,3,0)*VLOOKUP('Données projet'!$B$10,Paramètres!$A$1:$I$89,5,0)</f>
        <v>9.069840000000001</v>
      </c>
      <c r="AK11" s="14">
        <f t="shared" si="35"/>
        <v>3.2336059419633014</v>
      </c>
      <c r="AL11" s="22">
        <f t="shared" si="4"/>
        <v>21.428501682252747</v>
      </c>
      <c r="AM11" s="62">
        <f t="shared" si="5"/>
        <v>314.76183501558609</v>
      </c>
      <c r="AN11" s="62">
        <f ca="1">AVERAGE(OFFSET($AM$3,0,0,'Données projet'!$E$10+1,1))-AVERAGE(OFFSET($H$3,0,0,'Données projet'!$E$10+1,1))</f>
        <v>101.84596222262093</v>
      </c>
      <c r="AO11" s="62">
        <f t="shared" si="36"/>
        <v>348.1343199096911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2">
        <f t="shared" si="32"/>
        <v>2.8501294257559762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70">
        <f t="shared" si="1"/>
        <v>311.99098874985827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>
        <f>VLOOKUP(A12,'Données projet'!$A$35:$I$55,2,0)</f>
        <v>97</v>
      </c>
      <c r="L12" s="13">
        <f>VLOOKUP(A12,'Données projet'!$A$35:$I$55,9,0)</f>
        <v>37</v>
      </c>
      <c r="M12" s="13">
        <f t="array" ref="M12">INDEX(L:L,MIN(IF(ISNUMBER(L12:L208),ROW(L12:L208),"")))</f>
        <v>37</v>
      </c>
      <c r="N12" s="14">
        <f>IF('Données projet'!$A$36&gt;35,N11+M12-V11,IF(A12&lt;'Données projet'!$A$36,$K$205^A12,IF(A12='Données projet'!$A$36,'Données projet'!$B$36,N11+M12-V11)))</f>
        <v>97</v>
      </c>
      <c r="O12" s="14">
        <f>N12*VLOOKUP('Données projet'!$B$9,Paramètres!$A$1:$I$89,3,0)*VLOOKUP('Données projet'!$B$9,Paramètres!$A$1:$I$89,5,0)</f>
        <v>49.33032</v>
      </c>
      <c r="P12" s="14">
        <f t="shared" si="33"/>
        <v>14.440676392293337</v>
      </c>
      <c r="Q12" s="22">
        <f t="shared" si="2"/>
        <v>111.06781871657756</v>
      </c>
      <c r="R12" s="62">
        <f t="shared" si="0"/>
        <v>404.40115204991088</v>
      </c>
      <c r="S12" s="62">
        <f ca="1">AVERAGE(OFFSET($R$3,0,0,'Données projet'!$E$9+1,1))-AVERAGE(OFFSET($H$3,0,0,'Données projet'!$E$9+1,1))</f>
        <v>145.32658437453324</v>
      </c>
      <c r="T12" s="62">
        <f t="shared" si="34"/>
        <v>433.75986949528095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>
        <f>VLOOKUP(A12,'Données projet'!$A$61:$I$81,2,0)</f>
        <v>47</v>
      </c>
      <c r="AG12" s="13">
        <f>VLOOKUP(A12,'Données projet'!$A$61:$I$81,9,0)</f>
        <v>29</v>
      </c>
      <c r="AH12" s="13">
        <f t="array" ref="AH12">INDEX(AG:AG,MIN(IF(ISNUMBER(AG12:AG208),ROW(AG12:AG208),"")))</f>
        <v>29</v>
      </c>
      <c r="AI12" s="14">
        <f>IF('Données projet'!$A$62&gt;35,AI11+AH12-AQ11,IF(A12&lt;'Données projet'!$A$62,$AF$205^A12,IF(A12='Données projet'!$A$62,'Données projet'!$B$62,AI11+AH12-AQ11)))</f>
        <v>47</v>
      </c>
      <c r="AJ12" s="14">
        <f>AI12*VLOOKUP('Données projet'!$B$10,Paramètres!$A$1:$I$89,3,0)*VLOOKUP('Données projet'!$B$10,Paramètres!$A$1:$I$89,5,0)</f>
        <v>23.682360000000003</v>
      </c>
      <c r="AK12" s="14">
        <f t="shared" si="35"/>
        <v>7.5508175398952782</v>
      </c>
      <c r="AL12" s="22">
        <f t="shared" si="4"/>
        <v>54.397784215317607</v>
      </c>
      <c r="AM12" s="62">
        <f t="shared" si="5"/>
        <v>347.7311175486509</v>
      </c>
      <c r="AN12" s="62">
        <f ca="1">AVERAGE(OFFSET($AM$3,0,0,'Données projet'!$E$10+1,1))-AVERAGE(OFFSET($H$3,0,0,'Données projet'!$E$10+1,1))</f>
        <v>101.84596222262093</v>
      </c>
      <c r="AO12" s="62">
        <f t="shared" si="36"/>
        <v>348.1343199096911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2">
        <f t="shared" si="32"/>
        <v>3.1282100045396772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70">
        <f t="shared" si="1"/>
        <v>313.99683242457326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133</v>
      </c>
      <c r="L13" s="13">
        <f>VLOOKUP(A13,'Données projet'!$A$35:$I$55,9,0)</f>
        <v>36</v>
      </c>
      <c r="M13" s="13">
        <f t="array" ref="M13">INDEX(L:L,MIN(IF(ISNUMBER(L13:L209),ROW(L13:L209),"")))</f>
        <v>36</v>
      </c>
      <c r="N13" s="14">
        <f>IF('Données projet'!$A$36&gt;35,N12+M13-V12,IF(A13&lt;'Données projet'!$A$36,$K$205^A13,IF(A13='Données projet'!$A$36,'Données projet'!$B$36,N12+M13-V12)))</f>
        <v>133</v>
      </c>
      <c r="O13" s="14">
        <f>N13*VLOOKUP('Données projet'!$B$9,Paramètres!$A$1:$I$89,3,0)*VLOOKUP('Données projet'!$B$9,Paramètres!$A$1:$I$89,5,0)</f>
        <v>67.638480000000015</v>
      </c>
      <c r="P13" s="14">
        <f t="shared" si="33"/>
        <v>19.085842751767505</v>
      </c>
      <c r="Q13" s="22">
        <f t="shared" si="2"/>
        <v>151.04486212599508</v>
      </c>
      <c r="R13" s="62">
        <f t="shared" si="0"/>
        <v>444.37819545932837</v>
      </c>
      <c r="S13" s="62">
        <f ca="1">AVERAGE(OFFSET($R$3,0,0,'Données projet'!$E$9+1,1))-AVERAGE(OFFSET($H$3,0,0,'Données projet'!$E$9+1,1))</f>
        <v>145.32658437453324</v>
      </c>
      <c r="T13" s="62">
        <f t="shared" si="34"/>
        <v>433.75986949528095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76</v>
      </c>
      <c r="AG13" s="13">
        <f>VLOOKUP(A13,'Données projet'!$A$61:$I$81,9,0)</f>
        <v>29</v>
      </c>
      <c r="AH13" s="13">
        <f t="array" ref="AH13">INDEX(AG:AG,MIN(IF(ISNUMBER(AG13:AG209),ROW(AG13:AG209),"")))</f>
        <v>29</v>
      </c>
      <c r="AI13" s="14">
        <f>IF('Données projet'!$A$62&gt;35,AI12+AH13-AQ12,IF(A13&lt;'Données projet'!$A$62,$AF$205^A13,IF(A13='Données projet'!$A$62,'Données projet'!$B$62,AI12+AH13-AQ12)))</f>
        <v>76</v>
      </c>
      <c r="AJ13" s="14">
        <f>AI13*VLOOKUP('Données projet'!$B$10,Paramètres!$A$1:$I$89,3,0)*VLOOKUP('Données projet'!$B$10,Paramètres!$A$1:$I$89,5,0)</f>
        <v>38.294880000000006</v>
      </c>
      <c r="AK13" s="14">
        <f t="shared" si="35"/>
        <v>11.54556521810666</v>
      </c>
      <c r="AL13" s="22">
        <f t="shared" si="4"/>
        <v>86.80544208820244</v>
      </c>
      <c r="AM13" s="62">
        <f t="shared" si="5"/>
        <v>380.13877542153574</v>
      </c>
      <c r="AN13" s="62">
        <f ca="1">AVERAGE(OFFSET($AM$3,0,0,'Données projet'!$E$10+1,1))-AVERAGE(OFFSET($H$3,0,0,'Données projet'!$E$10+1,1))</f>
        <v>101.84596222262093</v>
      </c>
      <c r="AO13" s="62">
        <f t="shared" si="36"/>
        <v>348.1343199096911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2">
        <f t="shared" si="32"/>
        <v>3.4030668246422189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70">
        <f t="shared" si="1"/>
        <v>315.99706138625186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175</v>
      </c>
      <c r="L14" s="13">
        <f>VLOOKUP(A14,'Données projet'!$A$35:$I$55,9,0)</f>
        <v>42</v>
      </c>
      <c r="M14" s="13">
        <f t="array" ref="M14">INDEX(L:L,MIN(IF(ISNUMBER(L14:L210),ROW(L14:L210),"")))</f>
        <v>42</v>
      </c>
      <c r="N14" s="14">
        <f>IF('Données projet'!$A$36&gt;35,N13+M14-V13,IF(A14&lt;'Données projet'!$A$36,$K$205^A14,IF(A14='Données projet'!$A$36,'Données projet'!$B$36,N13+M14-V13)))</f>
        <v>175</v>
      </c>
      <c r="O14" s="14">
        <f>N14*VLOOKUP('Données projet'!$B$9,Paramètres!$A$1:$I$89,3,0)*VLOOKUP('Données projet'!$B$9,Paramètres!$A$1:$I$89,5,0)</f>
        <v>88.998000000000005</v>
      </c>
      <c r="P14" s="14">
        <f t="shared" si="33"/>
        <v>24.323409484531489</v>
      </c>
      <c r="Q14" s="22">
        <f t="shared" si="2"/>
        <v>197.36812151889237</v>
      </c>
      <c r="R14" s="62">
        <f t="shared" si="0"/>
        <v>490.70145485222565</v>
      </c>
      <c r="S14" s="62">
        <f ca="1">AVERAGE(OFFSET($R$3,0,0,'Données projet'!$E$9+1,1))-AVERAGE(OFFSET($H$3,0,0,'Données projet'!$E$9+1,1))</f>
        <v>145.32658437453324</v>
      </c>
      <c r="T14" s="62">
        <f t="shared" si="34"/>
        <v>433.75986949528095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>
        <f>VLOOKUP(A14,'Données projet'!$A$61:$I$81,2,0)</f>
        <v>110</v>
      </c>
      <c r="AG14" s="13">
        <f>VLOOKUP(A14,'Données projet'!$A$61:$I$81,9,0)</f>
        <v>34</v>
      </c>
      <c r="AH14" s="13">
        <f t="array" ref="AH14">INDEX(AG:AG,MIN(IF(ISNUMBER(AG14:AG210),ROW(AG14:AG210),"")))</f>
        <v>34</v>
      </c>
      <c r="AI14" s="14">
        <f>IF('Données projet'!$A$62&gt;35,AI13+AH14-AQ13,IF(A14&lt;'Données projet'!$A$62,$AF$205^A14,IF(A14='Données projet'!$A$62,'Données projet'!$B$62,AI13+AH14-AQ13)))</f>
        <v>110</v>
      </c>
      <c r="AJ14" s="14">
        <f>AI14*VLOOKUP('Données projet'!$B$10,Paramètres!$A$1:$I$89,3,0)*VLOOKUP('Données projet'!$B$10,Paramètres!$A$1:$I$89,5,0)</f>
        <v>55.426800000000007</v>
      </c>
      <c r="AK14" s="14">
        <f t="shared" si="35"/>
        <v>16.006739802041551</v>
      </c>
      <c r="AL14" s="22">
        <f t="shared" si="4"/>
        <v>124.41341515522238</v>
      </c>
      <c r="AM14" s="62">
        <f t="shared" si="5"/>
        <v>417.74674848855568</v>
      </c>
      <c r="AN14" s="62">
        <f ca="1">AVERAGE(OFFSET($AM$3,0,0,'Données projet'!$E$10+1,1))-AVERAGE(OFFSET($H$3,0,0,'Données projet'!$E$10+1,1))</f>
        <v>101.84596222262093</v>
      </c>
      <c r="AO14" s="62">
        <f t="shared" si="36"/>
        <v>348.1343199096911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2">
        <f t="shared" si="32"/>
        <v>3.6750262849765409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70">
        <f t="shared" si="1"/>
        <v>317.99224411300077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214</v>
      </c>
      <c r="L15" s="13">
        <f>VLOOKUP(A15,'Données projet'!$A$35:$I$55,9,0)</f>
        <v>39</v>
      </c>
      <c r="M15" s="13">
        <f t="array" ref="M15">INDEX(L:L,MIN(IF(ISNUMBER(L15:L211),ROW(L15:L211),"")))</f>
        <v>39</v>
      </c>
      <c r="N15" s="14">
        <f>IF('Données projet'!$A$36&gt;35,N14+M15-V14,IF(A15&lt;'Données projet'!$A$36,$K$205^A15,IF(A15='Données projet'!$A$36,'Données projet'!$B$36,N14+M15-V14)))</f>
        <v>214</v>
      </c>
      <c r="O15" s="14">
        <f>N15*VLOOKUP('Données projet'!$B$9,Paramètres!$A$1:$I$89,3,0)*VLOOKUP('Données projet'!$B$9,Paramètres!$A$1:$I$89,5,0)</f>
        <v>108.83184</v>
      </c>
      <c r="P15" s="14">
        <f t="shared" si="33"/>
        <v>29.055586181236279</v>
      </c>
      <c r="Q15" s="22">
        <f t="shared" si="2"/>
        <v>240.1539339323198</v>
      </c>
      <c r="R15" s="62">
        <f t="shared" si="0"/>
        <v>533.48726726565314</v>
      </c>
      <c r="S15" s="62">
        <f ca="1">AVERAGE(OFFSET($R$3,0,0,'Données projet'!$E$9+1,1))-AVERAGE(OFFSET($H$3,0,0,'Données projet'!$E$9+1,1))</f>
        <v>145.32658437453324</v>
      </c>
      <c r="T15" s="62">
        <f t="shared" si="34"/>
        <v>433.75986949528095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146</v>
      </c>
      <c r="AG15" s="13">
        <f>VLOOKUP(A15,'Données projet'!$A$61:$I$81,9,0)</f>
        <v>36</v>
      </c>
      <c r="AH15" s="13">
        <f t="array" ref="AH15">INDEX(AG:AG,MIN(IF(ISNUMBER(AG15:AG211),ROW(AG15:AG211),"")))</f>
        <v>36</v>
      </c>
      <c r="AI15" s="14">
        <f>IF('Données projet'!$A$62&gt;35,AI14+AH15-AQ14,IF(A15&lt;'Données projet'!$A$62,$AF$205^A15,IF(A15='Données projet'!$A$62,'Données projet'!$B$62,AI14+AH15-AQ14)))</f>
        <v>146</v>
      </c>
      <c r="AJ15" s="14">
        <f>AI15*VLOOKUP('Données projet'!$B$10,Paramètres!$A$1:$I$89,3,0)*VLOOKUP('Données projet'!$B$10,Paramètres!$A$1:$I$89,5,0)</f>
        <v>73.566479999999999</v>
      </c>
      <c r="AK15" s="14">
        <f t="shared" si="35"/>
        <v>20.556562456219229</v>
      </c>
      <c r="AL15" s="22">
        <f t="shared" si="4"/>
        <v>163.93096561124847</v>
      </c>
      <c r="AM15" s="62">
        <f t="shared" si="5"/>
        <v>457.26429894458181</v>
      </c>
      <c r="AN15" s="62">
        <f ca="1">AVERAGE(OFFSET($AM$3,0,0,'Données projet'!$E$10+1,1))-AVERAGE(OFFSET($H$3,0,0,'Données projet'!$E$10+1,1))</f>
        <v>101.84596222262093</v>
      </c>
      <c r="AO15" s="62">
        <f t="shared" si="36"/>
        <v>348.1343199096911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2">
        <f t="shared" si="32"/>
        <v>3.9443572825295607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70">
        <f t="shared" si="1"/>
        <v>319.98284893373898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256</v>
      </c>
      <c r="L16" s="13">
        <f>VLOOKUP(A16,'Données projet'!$A$35:$I$55,9,0)</f>
        <v>42</v>
      </c>
      <c r="M16" s="13">
        <f t="array" ref="M16">INDEX(L:L,MIN(IF(ISNUMBER(L16:L212),ROW(L16:L212),"")))</f>
        <v>42</v>
      </c>
      <c r="N16" s="14">
        <f>IF('Données projet'!$A$36&gt;35,N15+M16-V15,IF(A16&lt;'Données projet'!$A$36,$K$205^A16,IF(A16='Données projet'!$A$36,'Données projet'!$B$36,N15+M16-V15)))</f>
        <v>256</v>
      </c>
      <c r="O16" s="14">
        <f>N16*VLOOKUP('Données projet'!$B$9,Paramètres!$A$1:$I$89,3,0)*VLOOKUP('Données projet'!$B$9,Paramètres!$A$1:$I$89,5,0)</f>
        <v>130.19136</v>
      </c>
      <c r="P16" s="14">
        <f t="shared" si="33"/>
        <v>34.040573223809218</v>
      </c>
      <c r="Q16" s="22">
        <f t="shared" si="2"/>
        <v>286.03728369813439</v>
      </c>
      <c r="R16" s="62">
        <f t="shared" si="0"/>
        <v>579.37061703146765</v>
      </c>
      <c r="S16" s="62">
        <f ca="1">AVERAGE(OFFSET($R$3,0,0,'Données projet'!$E$9+1,1))-AVERAGE(OFFSET($H$3,0,0,'Données projet'!$E$9+1,1))</f>
        <v>145.32658437453324</v>
      </c>
      <c r="T16" s="62">
        <f t="shared" si="34"/>
        <v>433.75986949528095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183</v>
      </c>
      <c r="AG16" s="13">
        <f>VLOOKUP(A16,'Données projet'!$A$61:$I$81,9,0)</f>
        <v>37</v>
      </c>
      <c r="AH16" s="13">
        <f t="array" ref="AH16">INDEX(AG:AG,MIN(IF(ISNUMBER(AG16:AG212),ROW(AG16:AG212),"")))</f>
        <v>37</v>
      </c>
      <c r="AI16" s="14">
        <f>IF('Données projet'!$A$62&gt;35,AI15+AH16-AQ15,IF(A16&lt;'Données projet'!$A$62,$AF$205^A16,IF(A16='Données projet'!$A$62,'Données projet'!$B$62,AI15+AH16-AQ15)))</f>
        <v>183</v>
      </c>
      <c r="AJ16" s="14">
        <f>AI16*VLOOKUP('Données projet'!$B$10,Paramètres!$A$1:$I$89,3,0)*VLOOKUP('Données projet'!$B$10,Paramètres!$A$1:$I$89,5,0)</f>
        <v>92.210040000000006</v>
      </c>
      <c r="AK16" s="14">
        <f t="shared" si="35"/>
        <v>25.097478542265865</v>
      </c>
      <c r="AL16" s="22">
        <f t="shared" si="4"/>
        <v>204.31059479444636</v>
      </c>
      <c r="AM16" s="62">
        <f t="shared" si="5"/>
        <v>497.64392812777965</v>
      </c>
      <c r="AN16" s="62">
        <f ca="1">AVERAGE(OFFSET($AM$3,0,0,'Données projet'!$E$10+1,1))-AVERAGE(OFFSET($H$3,0,0,'Données projet'!$E$10+1,1))</f>
        <v>101.84596222262093</v>
      </c>
      <c r="AO16" s="62">
        <f t="shared" si="36"/>
        <v>348.1343199096911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2">
        <f t="shared" si="32"/>
        <v>4.2112849955088034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70">
        <f t="shared" si="1"/>
        <v>321.96926803384446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292</v>
      </c>
      <c r="L17" s="13">
        <f>VLOOKUP(A17,'Données projet'!$A$35:$I$55,9,0)</f>
        <v>36</v>
      </c>
      <c r="M17" s="13">
        <f t="array" ref="M17">INDEX(L:L,MIN(IF(ISNUMBER(L17:L213),ROW(L17:L213),"")))</f>
        <v>36</v>
      </c>
      <c r="N17" s="14">
        <f>IF('Données projet'!$A$36&gt;35,N16+M17-V16,IF(A17&lt;'Données projet'!$A$36,$K$205^A17,IF(A17='Données projet'!$A$36,'Données projet'!$B$36,N16+M17-V16)))</f>
        <v>292</v>
      </c>
      <c r="O17" s="14">
        <f>N17*VLOOKUP('Données projet'!$B$9,Paramètres!$A$1:$I$89,3,0)*VLOOKUP('Données projet'!$B$9,Paramètres!$A$1:$I$89,5,0)</f>
        <v>148.49952000000002</v>
      </c>
      <c r="P17" s="14">
        <f t="shared" si="33"/>
        <v>38.237396894282334</v>
      </c>
      <c r="Q17" s="22">
        <f t="shared" si="2"/>
        <v>325.23346359087509</v>
      </c>
      <c r="R17" s="62">
        <f t="shared" si="0"/>
        <v>618.56679692420835</v>
      </c>
      <c r="S17" s="62">
        <f ca="1">AVERAGE(OFFSET($R$3,0,0,'Données projet'!$E$9+1,1))-AVERAGE(OFFSET($H$3,0,0,'Données projet'!$E$9+1,1))</f>
        <v>145.32658437453324</v>
      </c>
      <c r="T17" s="62">
        <f t="shared" si="34"/>
        <v>433.75986949528095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>
        <f>VLOOKUP(A17,'Données projet'!$A$61:$I$81,2,0)</f>
        <v>219</v>
      </c>
      <c r="AG17" s="13">
        <f>VLOOKUP(A17,'Données projet'!$A$61:$I$81,9,0)</f>
        <v>36</v>
      </c>
      <c r="AH17" s="13">
        <f t="array" ref="AH17">INDEX(AG:AG,MIN(IF(ISNUMBER(AG17:AG213),ROW(AG17:AG213),"")))</f>
        <v>36</v>
      </c>
      <c r="AI17" s="14">
        <f>IF('Données projet'!$A$62&gt;35,AI16+AH17-AQ16,IF(A17&lt;'Données projet'!$A$62,$AF$205^A17,IF(A17='Données projet'!$A$62,'Données projet'!$B$62,AI16+AH17-AQ16)))</f>
        <v>219</v>
      </c>
      <c r="AJ17" s="14">
        <f>AI17*VLOOKUP('Données projet'!$B$10,Paramètres!$A$1:$I$89,3,0)*VLOOKUP('Données projet'!$B$10,Paramètres!$A$1:$I$89,5,0)</f>
        <v>110.34972000000002</v>
      </c>
      <c r="AK17" s="14">
        <f t="shared" si="35"/>
        <v>29.413366104106903</v>
      </c>
      <c r="AL17" s="22">
        <f t="shared" si="4"/>
        <v>243.42070829798624</v>
      </c>
      <c r="AM17" s="62">
        <f t="shared" si="5"/>
        <v>536.75404163131952</v>
      </c>
      <c r="AN17" s="62">
        <f ca="1">AVERAGE(OFFSET($AM$3,0,0,'Données projet'!$E$10+1,1))-AVERAGE(OFFSET($H$3,0,0,'Données projet'!$E$10+1,1))</f>
        <v>101.84596222262093</v>
      </c>
      <c r="AO17" s="62">
        <f t="shared" si="36"/>
        <v>348.1343199096911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2">
        <f t="shared" si="32"/>
        <v>4.4760006109979766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70">
        <f t="shared" si="1"/>
        <v>323.95183439748814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329</v>
      </c>
      <c r="L18" s="13">
        <f>VLOOKUP(A18,'Données projet'!$A$35:$I$55,9,0)</f>
        <v>37</v>
      </c>
      <c r="M18" s="13">
        <f t="array" ref="M18">INDEX(L:L,MIN(IF(ISNUMBER(L18:L214),ROW(L18:L214),"")))</f>
        <v>37</v>
      </c>
      <c r="N18" s="14">
        <f>IF('Données projet'!$A$36&gt;35,N17+M18-V17,IF(A18&lt;'Données projet'!$A$36,$K$205^A18,IF(A18='Données projet'!$A$36,'Données projet'!$B$36,N17+M18-V17)))</f>
        <v>329</v>
      </c>
      <c r="O18" s="14">
        <f>N18*VLOOKUP('Données projet'!$B$9,Paramètres!$A$1:$I$89,3,0)*VLOOKUP('Données projet'!$B$9,Paramètres!$A$1:$I$89,5,0)</f>
        <v>167.31624000000002</v>
      </c>
      <c r="P18" s="14">
        <f t="shared" si="33"/>
        <v>42.488395088818137</v>
      </c>
      <c r="Q18" s="22">
        <f t="shared" si="2"/>
        <v>365.40973944635829</v>
      </c>
      <c r="R18" s="62">
        <f t="shared" si="0"/>
        <v>658.7430727796916</v>
      </c>
      <c r="S18" s="62">
        <f ca="1">AVERAGE(OFFSET($R$3,0,0,'Données projet'!$E$9+1,1))-AVERAGE(OFFSET($H$3,0,0,'Données projet'!$E$9+1,1))</f>
        <v>145.32658437453324</v>
      </c>
      <c r="T18" s="62">
        <f t="shared" si="34"/>
        <v>433.75986949528095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256</v>
      </c>
      <c r="AG18" s="13">
        <f>VLOOKUP(A18,'Données projet'!$A$61:$I$81,9,0)</f>
        <v>37</v>
      </c>
      <c r="AH18" s="13">
        <f t="array" ref="AH18">INDEX(AG:AG,MIN(IF(ISNUMBER(AG18:AG214),ROW(AG18:AG214),"")))</f>
        <v>37</v>
      </c>
      <c r="AI18" s="14">
        <f>IF('Données projet'!$A$62&gt;35,AI17+AH18-AQ17,IF(A18&lt;'Données projet'!$A$62,$AF$205^A18,IF(A18='Données projet'!$A$62,'Données projet'!$B$62,AI17+AH18-AQ17)))</f>
        <v>256</v>
      </c>
      <c r="AJ18" s="14">
        <f>AI18*VLOOKUP('Données projet'!$B$10,Paramètres!$A$1:$I$89,3,0)*VLOOKUP('Données projet'!$B$10,Paramètres!$A$1:$I$89,5,0)</f>
        <v>128.99328</v>
      </c>
      <c r="AK18" s="14">
        <f t="shared" si="35"/>
        <v>33.763630751426383</v>
      </c>
      <c r="AL18" s="22">
        <f t="shared" si="4"/>
        <v>283.4682862254009</v>
      </c>
      <c r="AM18" s="62">
        <f t="shared" si="5"/>
        <v>576.80161955873427</v>
      </c>
      <c r="AN18" s="62">
        <f ca="1">AVERAGE(OFFSET($AM$3,0,0,'Données projet'!$E$10+1,1))-AVERAGE(OFFSET($H$3,0,0,'Données projet'!$E$10+1,1))</f>
        <v>101.84596222262093</v>
      </c>
      <c r="AO18" s="62">
        <f t="shared" si="36"/>
        <v>348.1343199096911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2">
        <f t="shared" si="32"/>
        <v>4.7386683822915021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70">
        <f t="shared" si="1"/>
        <v>325.93083409915766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363</v>
      </c>
      <c r="L19" s="13">
        <f>VLOOKUP(A19,'Données projet'!$A$35:$I$55,9,0)</f>
        <v>34</v>
      </c>
      <c r="M19" s="13">
        <f t="array" ref="M19">INDEX(L:L,MIN(IF(ISNUMBER(L19:L215),ROW(L19:L215),"")))</f>
        <v>34</v>
      </c>
      <c r="N19" s="14">
        <f>IF('Données projet'!$A$36&gt;35,N18+M19-V18,IF(A19&lt;'Données projet'!$A$36,$K$205^A19,IF(A19='Données projet'!$A$36,'Données projet'!$B$36,N18+M19-V18)))</f>
        <v>363</v>
      </c>
      <c r="O19" s="14">
        <f>N19*VLOOKUP('Données projet'!$B$9,Paramètres!$A$1:$I$89,3,0)*VLOOKUP('Données projet'!$B$9,Paramètres!$A$1:$I$89,5,0)</f>
        <v>184.60728000000003</v>
      </c>
      <c r="P19" s="14">
        <f t="shared" si="33"/>
        <v>46.345708451873151</v>
      </c>
      <c r="Q19" s="22">
        <f t="shared" si="2"/>
        <v>402.24312155367915</v>
      </c>
      <c r="R19" s="62">
        <f t="shared" si="0"/>
        <v>695.57645488701246</v>
      </c>
      <c r="S19" s="62">
        <f ca="1">AVERAGE(OFFSET($R$3,0,0,'Données projet'!$E$9+1,1))-AVERAGE(OFFSET($H$3,0,0,'Données projet'!$E$9+1,1))</f>
        <v>145.32658437453324</v>
      </c>
      <c r="T19" s="62">
        <f t="shared" si="34"/>
        <v>433.75986949528095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>
        <f>VLOOKUP(A19,'Données projet'!$A$61:$I$81,2,0)</f>
        <v>290</v>
      </c>
      <c r="AG19" s="13">
        <f>VLOOKUP(A19,'Données projet'!$A$61:$I$81,9,0)</f>
        <v>34</v>
      </c>
      <c r="AH19" s="13">
        <f t="array" ref="AH19">INDEX(AG:AG,MIN(IF(ISNUMBER(AG19:AG215),ROW(AG19:AG215),"")))</f>
        <v>34</v>
      </c>
      <c r="AI19" s="14">
        <f>IF('Données projet'!$A$62&gt;35,AI18+AH19-AQ18,IF(A19&lt;'Données projet'!$A$62,$AF$205^A19,IF(A19='Données projet'!$A$62,'Données projet'!$B$62,AI18+AH19-AQ18)))</f>
        <v>290</v>
      </c>
      <c r="AJ19" s="14">
        <f>AI19*VLOOKUP('Données projet'!$B$10,Paramètres!$A$1:$I$89,3,0)*VLOOKUP('Données projet'!$B$10,Paramètres!$A$1:$I$89,5,0)</f>
        <v>146.12520000000001</v>
      </c>
      <c r="AK19" s="14">
        <f t="shared" si="35"/>
        <v>37.696686656761841</v>
      </c>
      <c r="AL19" s="22">
        <f t="shared" si="4"/>
        <v>320.15645259386019</v>
      </c>
      <c r="AM19" s="62">
        <f t="shared" si="5"/>
        <v>613.48978592719345</v>
      </c>
      <c r="AN19" s="62">
        <f ca="1">AVERAGE(OFFSET($AM$3,0,0,'Données projet'!$E$10+1,1))-AVERAGE(OFFSET($H$3,0,0,'Données projet'!$E$10+1,1))</f>
        <v>101.84596222262093</v>
      </c>
      <c r="AO19" s="62">
        <f t="shared" si="36"/>
        <v>348.1343199096911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2">
        <f t="shared" si="32"/>
        <v>4.9994308705687178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70">
        <f t="shared" si="1"/>
        <v>327.90651543290716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397</v>
      </c>
      <c r="L20" s="13">
        <f>VLOOKUP(A20,'Données projet'!$A$35:$I$55,9,0)</f>
        <v>34</v>
      </c>
      <c r="M20" s="13">
        <f t="array" ref="M20">INDEX(L:L,MIN(IF(ISNUMBER(L20:L216),ROW(L20:L216),"")))</f>
        <v>34</v>
      </c>
      <c r="N20" s="14">
        <f>IF('Données projet'!$A$36&gt;35,N19+M20-V19,IF(A20&lt;'Données projet'!$A$36,$K$205^A20,IF(A20='Données projet'!$A$36,'Données projet'!$B$36,N19+M20-V19)))</f>
        <v>397</v>
      </c>
      <c r="O20" s="14">
        <f>N20*VLOOKUP('Données projet'!$B$9,Paramètres!$A$1:$I$89,3,0)*VLOOKUP('Données projet'!$B$9,Paramètres!$A$1:$I$89,5,0)</f>
        <v>201.89832000000001</v>
      </c>
      <c r="P20" s="14">
        <f t="shared" si="33"/>
        <v>50.161131352706278</v>
      </c>
      <c r="Q20" s="22">
        <f t="shared" si="2"/>
        <v>439.00354443929672</v>
      </c>
      <c r="R20" s="62">
        <f t="shared" si="0"/>
        <v>732.33687777263003</v>
      </c>
      <c r="S20" s="62">
        <f ca="1">AVERAGE(OFFSET($R$3,0,0,'Données projet'!$E$9+1,1))-AVERAGE(OFFSET($H$3,0,0,'Données projet'!$E$9+1,1))</f>
        <v>145.32658437453324</v>
      </c>
      <c r="T20" s="62">
        <f t="shared" si="34"/>
        <v>433.75986949528095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321</v>
      </c>
      <c r="AG20" s="13">
        <f>VLOOKUP(A20,'Données projet'!$A$61:$I$81,9,0)</f>
        <v>31</v>
      </c>
      <c r="AH20" s="13">
        <f t="array" ref="AH20">INDEX(AG:AG,MIN(IF(ISNUMBER(AG20:AG216),ROW(AG20:AG216),"")))</f>
        <v>31</v>
      </c>
      <c r="AI20" s="14">
        <f>IF('Données projet'!$A$62&gt;35,AI19+AH20-AQ19,IF(A20&lt;'Données projet'!$A$62,$AF$205^A20,IF(A20='Données projet'!$A$62,'Données projet'!$B$62,AI19+AH20-AQ19)))</f>
        <v>321</v>
      </c>
      <c r="AJ20" s="14">
        <f>AI20*VLOOKUP('Données projet'!$B$10,Paramètres!$A$1:$I$89,3,0)*VLOOKUP('Données projet'!$B$10,Paramètres!$A$1:$I$89,5,0)</f>
        <v>161.74548000000001</v>
      </c>
      <c r="AK20" s="14">
        <f t="shared" si="35"/>
        <v>41.235964335868282</v>
      </c>
      <c r="AL20" s="22">
        <f t="shared" si="4"/>
        <v>353.52601555163727</v>
      </c>
      <c r="AM20" s="62">
        <f t="shared" si="5"/>
        <v>646.85934888497059</v>
      </c>
      <c r="AN20" s="62">
        <f ca="1">AVERAGE(OFFSET($AM$3,0,0,'Données projet'!$E$10+1,1))-AVERAGE(OFFSET($H$3,0,0,'Données projet'!$E$10+1,1))</f>
        <v>101.84596222262093</v>
      </c>
      <c r="AO20" s="62">
        <f t="shared" si="36"/>
        <v>348.1343199096911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2">
        <f t="shared" si="32"/>
        <v>5.2584129176484726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70">
        <f t="shared" si="1"/>
        <v>329.87909583157108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426</v>
      </c>
      <c r="L21" s="13">
        <f>VLOOKUP(A21,'Données projet'!$A$35:$I$55,9,0)</f>
        <v>29</v>
      </c>
      <c r="M21" s="13">
        <f t="array" ref="M21">INDEX(L:L,MIN(IF(ISNUMBER(L21:L217),ROW(L21:L217),"")))</f>
        <v>29</v>
      </c>
      <c r="N21" s="14">
        <f>IF('Données projet'!$A$36&gt;35,N20+M21-V20,IF(A21&lt;'Données projet'!$A$36,$K$205^A21,IF(A21='Données projet'!$A$36,'Données projet'!$B$36,N20+M21-V20)))</f>
        <v>426</v>
      </c>
      <c r="O21" s="14">
        <f>N21*VLOOKUP('Données projet'!$B$9,Paramètres!$A$1:$I$89,3,0)*VLOOKUP('Données projet'!$B$9,Paramètres!$A$1:$I$89,5,0)</f>
        <v>216.64656000000002</v>
      </c>
      <c r="P21" s="14">
        <f t="shared" si="33"/>
        <v>53.385381814460594</v>
      </c>
      <c r="Q21" s="22">
        <f t="shared" si="2"/>
        <v>470.30563199351877</v>
      </c>
      <c r="R21" s="62">
        <f t="shared" si="0"/>
        <v>763.63896532685203</v>
      </c>
      <c r="S21" s="62">
        <f ca="1">AVERAGE(OFFSET($R$3,0,0,'Données projet'!$E$9+1,1))-AVERAGE(OFFSET($H$3,0,0,'Données projet'!$E$9+1,1))</f>
        <v>145.32658437453324</v>
      </c>
      <c r="T21" s="62">
        <f t="shared" si="34"/>
        <v>433.75986949528095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426</v>
      </c>
      <c r="W21" s="17">
        <f>IF(ISNA(VLOOKUP(A21,'Données projet'!$A$35:$I$55,5,0)),0%,VLOOKUP(A21,'Données projet'!$A$35:$I$55,5,0)*VLOOKUP('Données projet'!$B$9,Paramètres!$A$1:$I$89,7,0))</f>
        <v>0.432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103.46242532012987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103.46242532012987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350</v>
      </c>
      <c r="AG21" s="13">
        <f>VLOOKUP(A21,'Données projet'!$A$61:$I$81,9,0)</f>
        <v>29</v>
      </c>
      <c r="AH21" s="13">
        <f t="array" ref="AH21">INDEX(AG:AG,MIN(IF(ISNUMBER(AG21:AG217),ROW(AG21:AG217),"")))</f>
        <v>29</v>
      </c>
      <c r="AI21" s="14">
        <f>IF('Données projet'!$A$62&gt;35,AI20+AH21-AQ20,IF(A21&lt;'Données projet'!$A$62,$AF$205^A21,IF(A21='Données projet'!$A$62,'Données projet'!$B$62,AI20+AH21-AQ20)))</f>
        <v>350</v>
      </c>
      <c r="AJ21" s="14">
        <f>AI21*VLOOKUP('Données projet'!$B$10,Paramètres!$A$1:$I$89,3,0)*VLOOKUP('Données projet'!$B$10,Paramètres!$A$1:$I$89,5,0)</f>
        <v>176.358</v>
      </c>
      <c r="AK21" s="14">
        <f t="shared" si="35"/>
        <v>44.510946837088412</v>
      </c>
      <c r="AL21" s="22">
        <f t="shared" si="4"/>
        <v>384.68008240792892</v>
      </c>
      <c r="AM21" s="62">
        <f t="shared" si="5"/>
        <v>678.01341574126218</v>
      </c>
      <c r="AN21" s="62">
        <f ca="1">AVERAGE(OFFSET($AM$3,0,0,'Données projet'!$E$10+1,1))-AVERAGE(OFFSET($H$3,0,0,'Données projet'!$E$10+1,1))</f>
        <v>101.84596222262093</v>
      </c>
      <c r="AO21" s="62">
        <f t="shared" si="36"/>
        <v>348.1343199096911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350</v>
      </c>
      <c r="AR21" s="17">
        <f>IF(ISNA(VLOOKUP(A21,'Données projet'!$A$61:$I$81,5,0)),0%,VLOOKUP(A21,'Données projet'!$A$61:$I$81,5,0)*VLOOKUP('Données projet'!$B$10,Paramètres!$A$1:$I$89,7,0))</f>
        <v>0.432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84.222091523666307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84.222091523666307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2">
        <f t="shared" si="32"/>
        <v>5.5157247105992537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70">
        <f t="shared" si="1"/>
        <v>331.84876720429367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145.32658437453324</v>
      </c>
      <c r="T22" s="62">
        <f t="shared" si="34"/>
        <v>433.75986949528095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101.43359026545038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101.43359026545038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101.84596222262093</v>
      </c>
      <c r="AO22" s="62">
        <f t="shared" si="36"/>
        <v>348.1343199096911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82.570547679290641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82.570547679290641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2">
        <f t="shared" si="32"/>
        <v>5.7714641827626956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70">
        <f t="shared" si="1"/>
        <v>333.81570011831167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145.32658437453324</v>
      </c>
      <c r="T23" s="62">
        <f t="shared" si="34"/>
        <v>433.75986949528095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99.44453942872596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99.44453942872596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101.84596222262093</v>
      </c>
      <c r="AO23" s="62">
        <f t="shared" si="36"/>
        <v>348.1343199096911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80.951389602360891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80.951389602360891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2">
        <f t="shared" si="32"/>
        <v>6.0257189209257707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70">
        <f t="shared" si="1"/>
        <v>335.78004712061238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145.32658437453324</v>
      </c>
      <c r="T24" s="62">
        <f t="shared" si="34"/>
        <v>433.75986949528095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97.494492665708492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97.494492665708492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101.84596222262093</v>
      </c>
      <c r="AO24" s="62">
        <f t="shared" si="36"/>
        <v>348.1343199096911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79.36398222773083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79.36398222773083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2">
        <f t="shared" si="32"/>
        <v>6.2785676989293835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70">
        <f t="shared" si="1"/>
        <v>337.74194540896866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145.32658437453324</v>
      </c>
      <c r="T25" s="62">
        <f t="shared" si="34"/>
        <v>433.75986949528095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95.582685130302721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95.582685130302721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101.84596222262093</v>
      </c>
      <c r="AO25" s="62">
        <f t="shared" si="36"/>
        <v>348.1343199096911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77.807702943494363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77.807702943494363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2">
        <f t="shared" si="32"/>
        <v>6.5300817245569407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70">
        <f t="shared" si="1"/>
        <v>339.70151900360332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145.32658437453324</v>
      </c>
      <c r="T26" s="62">
        <f t="shared" si="34"/>
        <v>433.75986949528095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93.708366974578794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93.708366974578794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101.84596222262093</v>
      </c>
      <c r="AO26" s="62">
        <f t="shared" si="36"/>
        <v>348.1343199096911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76.281941346785146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76.281941346785146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2">
        <f t="shared" si="32"/>
        <v>6.7803256634538833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70">
        <f t="shared" si="1"/>
        <v>341.65888053051549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145.32658437453324</v>
      </c>
      <c r="T27" s="62">
        <f t="shared" si="34"/>
        <v>433.75986949528095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91.870803054667434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91.870803054667434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101.84596222262093</v>
      </c>
      <c r="AO27" s="62">
        <f t="shared" si="36"/>
        <v>348.1343199096911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74.786099004364715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74.786099004364715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2">
        <f t="shared" si="32"/>
        <v>7.0293584875852613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70">
        <f t="shared" si="1"/>
        <v>343.61413269921098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145.32658437453324</v>
      </c>
      <c r="T28" s="62">
        <f t="shared" si="34"/>
        <v>433.75986949528095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90.069272642422206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90.069272642422206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101.84596222262093</v>
      </c>
      <c r="AO28" s="62">
        <f t="shared" si="36"/>
        <v>348.1343199096911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73.319589217905403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73.319589217905403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2">
        <f t="shared" si="32"/>
        <v>7.2772341841187966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70">
        <f t="shared" si="1"/>
        <v>345.5673695373402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145.32658437453324</v>
      </c>
      <c r="T29" s="62">
        <f t="shared" si="34"/>
        <v>433.75986949528095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88.303069142736064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88.303069142736064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101.84596222262093</v>
      </c>
      <c r="AO29" s="62">
        <f t="shared" si="36"/>
        <v>348.1343199096911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71.88183679387592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71.88183679387592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2">
        <f t="shared" si="32"/>
        <v>7.5240023521814967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70">
        <f t="shared" si="1"/>
        <v>347.51867743004942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145.32658437453324</v>
      </c>
      <c r="T30" s="62">
        <f t="shared" si="34"/>
        <v>433.75986949528095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86.571499816401001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86.571499816401001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101.84596222262093</v>
      </c>
      <c r="AO30" s="62">
        <f t="shared" si="36"/>
        <v>348.1343199096911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70.472277817939258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70.472277817939258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2">
        <f t="shared" si="32"/>
        <v>7.7697087087225771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70">
        <f t="shared" si="1"/>
        <v>349.46813600102513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145.32658437453324</v>
      </c>
      <c r="T31" s="62">
        <f t="shared" si="34"/>
        <v>433.75986949528095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84.873885508402367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84.873885508402367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101.84596222262093</v>
      </c>
      <c r="AO31" s="62">
        <f t="shared" si="36"/>
        <v>348.1343199096911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69.090359433774637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69.090359433774637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2">
        <f t="shared" si="32"/>
        <v>8.0143955200794537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70">
        <f t="shared" si="1"/>
        <v>351.41581886413837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145.32658437453324</v>
      </c>
      <c r="T32" s="62">
        <f t="shared" si="34"/>
        <v>433.75986949528095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83.209560381541095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83.209560381541095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101.84596222262093</v>
      </c>
      <c r="AO32" s="62">
        <f t="shared" si="36"/>
        <v>348.1343199096911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67.735539626236502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67.735539626236502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2">
        <f t="shared" si="32"/>
        <v>8.258101972345095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70">
        <f t="shared" si="1"/>
        <v>353.361794268501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145.32658437453324</v>
      </c>
      <c r="T33" s="62">
        <f t="shared" si="34"/>
        <v>433.75986949528095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81.57787165527948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81.57787165527948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101.84596222262093</v>
      </c>
      <c r="AO33" s="62">
        <f t="shared" si="36"/>
        <v>348.1343199096911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66.407287008765692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66.407287008765692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2">
        <f t="shared" si="32"/>
        <v>8.5008644909657693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70">
        <f t="shared" si="1"/>
        <v>355.3061256550987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145.32658437453324</v>
      </c>
      <c r="T34" s="62">
        <f t="shared" si="34"/>
        <v>433.75986949528095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79.978179349708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79.978179349708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101.84596222262093</v>
      </c>
      <c r="AO34" s="62">
        <f t="shared" si="36"/>
        <v>348.1343199096911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65.105080614969395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65.105080614969395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2">
        <f t="shared" si="32"/>
        <v>8.7427170179419935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70">
        <f t="shared" si="1"/>
        <v>357.24887213958226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145.32658437453324</v>
      </c>
      <c r="T35" s="62">
        <f t="shared" si="34"/>
        <v>433.75986949528095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78.409856034532822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78.409856034532822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101.84596222262093</v>
      </c>
      <c r="AO35" s="62">
        <f t="shared" si="36"/>
        <v>348.1343199096911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63.828409694287963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63.828409694287963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2">
        <f t="shared" si="32"/>
        <v>8.9836912534059454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70">
        <f t="shared" si="1"/>
        <v>359.19008893301532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145.32658437453324</v>
      </c>
      <c r="T36" s="62">
        <f t="shared" si="34"/>
        <v>433.75986949528095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76.872286582985453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76.872286582985453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101.84596222262093</v>
      </c>
      <c r="AO36" s="62">
        <f t="shared" si="36"/>
        <v>348.1343199096911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62.576773511668726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62.576773511668726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2">
        <f t="shared" si="32"/>
        <v>9.223816867094067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70">
        <f t="shared" si="1"/>
        <v>361.12982771018881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145.32658437453324</v>
      </c>
      <c r="T37" s="62">
        <f t="shared" si="34"/>
        <v>433.75986949528095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75.364867930558177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75.364867930558177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101.84596222262093</v>
      </c>
      <c r="AO37" s="62">
        <f t="shared" si="36"/>
        <v>348.1343199096911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61.349681151167964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61.349681151167964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2">
        <f t="shared" si="32"/>
        <v>9.4631216842413828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70">
        <f t="shared" si="1"/>
        <v>363.06813693338705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145.32658437453324</v>
      </c>
      <c r="T38" s="62">
        <f t="shared" si="34"/>
        <v>433.75986949528095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73.887008838470408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73.887008838470408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101.84596222262093</v>
      </c>
      <c r="AO38" s="62">
        <f t="shared" si="36"/>
        <v>348.1343199096911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60.146651323404186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60.146651323404186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2">
        <f t="shared" si="32"/>
        <v>9.7016318496336797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70">
        <f t="shared" si="1"/>
        <v>365.00506213811195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145.32658437453324</v>
      </c>
      <c r="T39" s="62">
        <f t="shared" si="34"/>
        <v>433.75986949528095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72.438129661773431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72.438129661773431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101.84596222262093</v>
      </c>
      <c r="AO39" s="62">
        <f t="shared" si="36"/>
        <v>348.1343199096911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58.967212176787115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58.967212176787115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2">
        <f t="shared" si="32"/>
        <v>9.9393719729191492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70">
        <f t="shared" si="1"/>
        <v>366.9406461861675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145.32658437453324</v>
      </c>
      <c r="T40" s="62">
        <f t="shared" si="34"/>
        <v>433.75986949528095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71.017662122002449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71.017662122002449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101.84596222262093</v>
      </c>
      <c r="AO40" s="62">
        <f t="shared" si="36"/>
        <v>348.1343199096911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57.810901112448356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57.810901112448356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2">
        <f t="shared" si="32"/>
        <v>10.176365257768927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70">
        <f t="shared" si="1"/>
        <v>368.87492949061419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145.32658437453324</v>
      </c>
      <c r="T41" s="62">
        <f t="shared" si="34"/>
        <v>433.75986949528095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69.625049084286729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69.625049084286729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101.84596222262093</v>
      </c>
      <c r="AO41" s="62">
        <f t="shared" si="36"/>
        <v>348.1343199096911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56.677264602801174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56.677264602801174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2">
        <f t="shared" si="32"/>
        <v>10.412633617059315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70">
        <f t="shared" si="1"/>
        <v>370.80795021637829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145.32658437453324</v>
      </c>
      <c r="T42" s="62">
        <f t="shared" si="34"/>
        <v>433.75986949528095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68.259744338830529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68.259744338830529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101.84596222262093</v>
      </c>
      <c r="AO42" s="62">
        <f t="shared" si="36"/>
        <v>348.1343199096911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55.565858013658172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55.565858013658172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2">
        <f t="shared" si="32"/>
        <v>10.648197775908045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70">
        <f t="shared" si="1"/>
        <v>372.73974445970651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145.32658437453324</v>
      </c>
      <c r="T43" s="62">
        <f t="shared" si="34"/>
        <v>433.75986949528095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66.921212386679059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66.921212386679059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101.84596222262093</v>
      </c>
      <c r="AO43" s="62">
        <f t="shared" si="36"/>
        <v>348.1343199096911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54.476245429837185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54.476245429837185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2">
        <f t="shared" si="32"/>
        <v>10.883077364116859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70">
        <f t="shared" si="1"/>
        <v>374.67034640917018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145.32658437453324</v>
      </c>
      <c r="T44" s="62">
        <f t="shared" si="34"/>
        <v>433.75986949528095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65.608928229685404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65.608928229685404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101.84596222262093</v>
      </c>
      <c r="AO44" s="62">
        <f t="shared" si="36"/>
        <v>348.1343199096911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53.407999484186874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53.407999484186874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2">
        <f t="shared" si="32"/>
        <v>11.117290999341371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70">
        <f t="shared" si="1"/>
        <v>376.59978849051953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145.32658437453324</v>
      </c>
      <c r="T45" s="62">
        <f t="shared" si="34"/>
        <v>433.75986949528095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64.322377164596091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64.322377164596091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101.84596222262093</v>
      </c>
      <c r="AO45" s="62">
        <f t="shared" si="36"/>
        <v>348.1343199096911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52.360701189965077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52.360701189965077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2">
        <f t="shared" si="32"/>
        <v>11.350856362116874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70">
        <f t="shared" si="1"/>
        <v>378.52810149735353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145.32658437453324</v>
      </c>
      <c r="T46" s="62">
        <f t="shared" si="34"/>
        <v>433.75986949528095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63.061054581174517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63.061054581174517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101.84596222262093</v>
      </c>
      <c r="AO46" s="62">
        <f t="shared" si="36"/>
        <v>348.1343199096911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51.333939776504081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51.333939776504081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2">
        <f t="shared" si="32"/>
        <v>11.583790263708345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70">
        <f t="shared" si="1"/>
        <v>380.45531470929205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145.32658437453324</v>
      </c>
      <c r="T47" s="62">
        <f t="shared" si="34"/>
        <v>433.75986949528095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61.824465764283026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61.824465764283026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101.84596222262093</v>
      </c>
      <c r="AO47" s="62">
        <f t="shared" si="36"/>
        <v>348.1343199096911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50.327312528098432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50.327312528098432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2">
        <f t="shared" si="32"/>
        <v>11.816108707618405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70">
        <f t="shared" si="1"/>
        <v>382.38145599910206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145.32658437453324</v>
      </c>
      <c r="T48" s="62">
        <f t="shared" si="34"/>
        <v>433.75986949528095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60.612125699846075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60.612125699846075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101.84596222262093</v>
      </c>
      <c r="AO48" s="62">
        <f t="shared" si="36"/>
        <v>348.1343199096911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49.340424626052027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49.340424626052027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2">
        <f t="shared" si="32"/>
        <v>12.047826945473741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70">
        <f t="shared" si="1"/>
        <v>384.30655193003344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145.32658437453324</v>
      </c>
      <c r="T49" s="62">
        <f t="shared" si="34"/>
        <v>433.75986949528095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59.423558884618309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59.423558884618309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101.84596222262093</v>
      </c>
      <c r="AO49" s="62">
        <f t="shared" si="36"/>
        <v>348.1343199096911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48.372888993822563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48.372888993822563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2">
        <f t="shared" si="32"/>
        <v>12.278959527914754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70">
        <f t="shared" si="1"/>
        <v>386.23062784445153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145.32658437453324</v>
      </c>
      <c r="T50" s="62">
        <f t="shared" si="34"/>
        <v>433.75986949528095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58.25829913968299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58.25829913968299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101.84596222262093</v>
      </c>
      <c r="AO50" s="62">
        <f t="shared" si="36"/>
        <v>348.1343199096911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47.424326145202656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47.424326145202656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2">
        <f t="shared" si="32"/>
        <v>12.50952035103195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70">
        <f t="shared" si="1"/>
        <v>388.15370794471403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145.32658437453324</v>
      </c>
      <c r="T51" s="62">
        <f t="shared" si="34"/>
        <v>433.75986949528095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57.115889427607584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57.115889427607584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101.84596222262093</v>
      </c>
      <c r="AO51" s="62">
        <f t="shared" si="36"/>
        <v>348.1343199096911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46.494364035477979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46.494364035477979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2">
        <f t="shared" si="32"/>
        <v>12.739522698823436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70">
        <f t="shared" si="1"/>
        <v>390.07581536711751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145.32658437453324</v>
      </c>
      <c r="T52" s="62">
        <f t="shared" si="34"/>
        <v>433.75986949528095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55.995881673184854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55.995881673184854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101.84596222262093</v>
      </c>
      <c r="AO52" s="62">
        <f t="shared" si="36"/>
        <v>348.1343199096911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45.582637915504122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45.582637915504122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2">
        <f t="shared" si="32"/>
        <v>12.96897928208859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70">
        <f t="shared" si="1"/>
        <v>391.99697224963768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145.32658437453324</v>
      </c>
      <c r="T53" s="62">
        <f t="shared" si="34"/>
        <v>433.75986949528095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54.897836587689078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54.897836587689078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101.84596222262093</v>
      </c>
      <c r="AO53" s="62">
        <f t="shared" si="36"/>
        <v>348.1343199096911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44.68879018864493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44.68879018864493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2">
        <f t="shared" si="32"/>
        <v>13.19790227412237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70">
        <f t="shared" si="1"/>
        <v>393.91719979409652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145.32658437453324</v>
      </c>
      <c r="T54" s="62">
        <f t="shared" si="34"/>
        <v>433.75986949528095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53.821323496578508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53.821323496578508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101.84596222262093</v>
      </c>
      <c r="AO54" s="62">
        <f t="shared" si="36"/>
        <v>348.1343199096911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43.812470270516165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43.812470270516165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2">
        <f t="shared" si="32"/>
        <v>13.42630334353094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70">
        <f t="shared" si="1"/>
        <v>395.83651832331645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145.32658437453324</v>
      </c>
      <c r="T55" s="62">
        <f t="shared" si="34"/>
        <v>433.75986949528095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52.765920170576464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52.765920170576464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101.84596222262093</v>
      </c>
      <c r="AO55" s="62">
        <f t="shared" si="36"/>
        <v>348.1343199096911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42.953334451479535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42.953334451479535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2">
        <f t="shared" si="32"/>
        <v>13.654193684451673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70">
        <f t="shared" si="1"/>
        <v>397.75494733375336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145.32658437453324</v>
      </c>
      <c r="T56" s="62">
        <f t="shared" si="34"/>
        <v>433.75986949528095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51.731212660064855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51.731212660064855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101.84596222262093</v>
      </c>
      <c r="AO56" s="62">
        <f t="shared" si="36"/>
        <v>348.1343199096911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42.111045761833104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42.111045761833104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2">
        <f t="shared" si="32"/>
        <v>13.881584044427944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70">
        <f t="shared" si="1"/>
        <v>399.67250554404541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145.32658437453324</v>
      </c>
      <c r="T57" s="62">
        <f t="shared" si="34"/>
        <v>433.75986949528095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50.71679513272511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50.71679513272511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101.84596222262093</v>
      </c>
      <c r="AO57" s="62">
        <f t="shared" si="36"/>
        <v>348.1343199096911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41.285273839645271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41.285273839645271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2">
        <f t="shared" si="32"/>
        <v>14.108484750160635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70">
        <f t="shared" si="1"/>
        <v>401.58921093986316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145.32658437453324</v>
      </c>
      <c r="T58" s="62">
        <f t="shared" si="34"/>
        <v>433.75986949528095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49.722269714362902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49.722269714362902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101.84596222262093</v>
      </c>
      <c r="AO58" s="62">
        <f t="shared" si="36"/>
        <v>348.1343199096911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40.475694801180403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40.475694801180403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2">
        <f t="shared" si="32"/>
        <v>14.334905731333885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70">
        <f t="shared" si="1"/>
        <v>403.50508081540659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145.32658437453324</v>
      </c>
      <c r="T59" s="62">
        <f t="shared" si="34"/>
        <v>433.75986949528095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48.747246332854168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48.747246332854168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101.84596222262093</v>
      </c>
      <c r="AO59" s="62">
        <f t="shared" si="36"/>
        <v>348.1343199096911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39.681991113865372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39.681991113865372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2">
        <f t="shared" si="32"/>
        <v>14.560856542690793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70">
        <f t="shared" si="1"/>
        <v>405.4201318118532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145.32658437453324</v>
      </c>
      <c r="T60" s="62">
        <f t="shared" si="34"/>
        <v>433.75986949528095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47.791342565151282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47.791342565151282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101.84596222262093</v>
      </c>
      <c r="AO60" s="62">
        <f t="shared" si="36"/>
        <v>348.1343199096911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38.903851471747146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38.903851471747146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2">
        <f t="shared" si="32"/>
        <v>14.786346384516133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70">
        <f t="shared" si="1"/>
        <v>407.33437995303234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145.32658437453324</v>
      </c>
      <c r="T61" s="62">
        <f t="shared" si="34"/>
        <v>433.75986949528095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46.854183487289326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46.854183487289326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101.84596222262093</v>
      </c>
      <c r="AO61" s="62">
        <f t="shared" si="36"/>
        <v>348.1343199096911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38.140970673392538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38.140970673392538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2">
        <f t="shared" si="32"/>
        <v>15.011384121666367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70">
        <f t="shared" si="1"/>
        <v>409.24784067856899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145.32658437453324</v>
      </c>
      <c r="T62" s="62">
        <f t="shared" si="34"/>
        <v>433.75986949528095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45.935401527333646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45.935401527333646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101.84596222262093</v>
      </c>
      <c r="AO62" s="62">
        <f t="shared" si="36"/>
        <v>348.1343199096911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37.393049502182322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37.393049502182322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2">
        <f t="shared" si="32"/>
        <v>15.235978301273043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70">
        <f t="shared" si="1"/>
        <v>411.16052887471733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145.32658437453324</v>
      </c>
      <c r="T63" s="62">
        <f t="shared" si="34"/>
        <v>433.75986949528095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45.034636321211032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45.034636321211032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101.84596222262093</v>
      </c>
      <c r="AO63" s="62">
        <f t="shared" si="36"/>
        <v>348.1343199096911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36.659794608952666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36.659794608952666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2">
        <f t="shared" si="32"/>
        <v>15.460137169232445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70">
        <f t="shared" si="1"/>
        <v>413.07245890307996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145.32658437453324</v>
      </c>
      <c r="T64" s="62">
        <f t="shared" si="34"/>
        <v>433.75986949528095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44.151534571367961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44.151534571367961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101.84596222262093</v>
      </c>
      <c r="AO64" s="62">
        <f t="shared" si="36"/>
        <v>348.1343199096911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35.940918396937924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35.940918396937924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2">
        <f t="shared" si="32"/>
        <v>15.683868685583311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70">
        <f t="shared" si="1"/>
        <v>414.98364462739102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145.32658437453324</v>
      </c>
      <c r="T65" s="62">
        <f t="shared" si="34"/>
        <v>433.75986949528095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43.28574990820043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43.28574990820043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101.84596222262093</v>
      </c>
      <c r="AO65" s="62">
        <f t="shared" si="36"/>
        <v>348.1343199096911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35.236138908969593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35.236138908969593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2">
        <f t="shared" si="32"/>
        <v>15.90718053886436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70">
        <f t="shared" si="1"/>
        <v>416.89409943852223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145.32658437453324</v>
      </c>
      <c r="T66" s="62">
        <f t="shared" si="34"/>
        <v>433.75986949528095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42.436942754201112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42.436942754201112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101.84596222262093</v>
      </c>
      <c r="AO66" s="62">
        <f t="shared" si="36"/>
        <v>348.1343199096911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34.545179716887283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34.545179716887283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2">
        <f t="shared" si="32"/>
        <v>16.130080159534312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70">
        <f t="shared" si="1"/>
        <v>418.80383627785574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145.32658437453324</v>
      </c>
      <c r="T67" s="62">
        <f t="shared" si="34"/>
        <v>433.75986949528095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41.604780190770477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41.604780190770477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101.84596222262093</v>
      </c>
      <c r="AO67" s="62">
        <f t="shared" si="36"/>
        <v>348.1343199096911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33.867769813118215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33.867769813118215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2">
        <f t="shared" si="32"/>
        <v>16.352574732529369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70">
        <f t="shared" ref="H68:H131" si="56">(B68+E68+F68)*44/12+(C68+D68)*0.475*44/12</f>
        <v>420.71286765915545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145.32658437453324</v>
      </c>
      <c r="T68" s="62">
        <f t="shared" si="34"/>
        <v>433.75986949528095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40.788935827639669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40.788935827639669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101.84596222262093</v>
      </c>
      <c r="AO68" s="62">
        <f t="shared" si="36"/>
        <v>348.1343199096911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33.203643504382818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33.203643504382818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2">
        <f t="shared" ref="D69:D132" si="86">IFERROR(EXP(-1.0587+0.8836*LN(C69)+0.284),0)</f>
        <v>16.574671209026054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70">
        <f t="shared" si="56"/>
        <v>422.6212056890538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145.32658437453324</v>
      </c>
      <c r="T69" s="62">
        <f t="shared" ref="T69:T132" si="88">$T$3</f>
        <v>433.75986949528095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39.989089674853936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39.989089674853936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101.84596222262093</v>
      </c>
      <c r="AO69" s="62">
        <f t="shared" ref="AO69:AO132" si="90">$AO$3</f>
        <v>348.1343199096911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32.552540307484669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32.552540307484669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2">
        <f t="shared" si="86"/>
        <v>16.796376317470774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70">
        <f t="shared" si="56"/>
        <v>424.52886208626171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145.32658437453324</v>
      </c>
      <c r="T70" s="62">
        <f t="shared" si="88"/>
        <v>433.75986949528095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39.204928017266347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39.204928017266347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101.84596222262093</v>
      </c>
      <c r="AO70" s="62">
        <f t="shared" si="90"/>
        <v>348.1343199096911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31.914204847143957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31.914204847143957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2">
        <f t="shared" si="86"/>
        <v>17.017696573932405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70">
        <f t="shared" si="56"/>
        <v>426.43584819959909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145.32658437453324</v>
      </c>
      <c r="T71" s="62">
        <f t="shared" si="88"/>
        <v>433.75986949528095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38.43614329149267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38.43614329149267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101.84596222262093</v>
      </c>
      <c r="AO71" s="62">
        <f t="shared" si="90"/>
        <v>348.1343199096911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31.288386755834338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31.288386755834338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2">
        <f t="shared" si="86"/>
        <v>17.238638291828423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70">
        <f t="shared" si="56"/>
        <v>428.34217502493465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145.32658437453324</v>
      </c>
      <c r="T72" s="62">
        <f t="shared" si="88"/>
        <v>433.75986949528095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37.682433965279031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37.682433965279031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101.84596222262093</v>
      </c>
      <c r="AO72" s="62">
        <f t="shared" si="90"/>
        <v>348.1343199096911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30.674840575583957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30.674840575583957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2">
        <f t="shared" si="86"/>
        <v>17.45920759107128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70">
        <f t="shared" si="56"/>
        <v>430.24785322111597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145.32658437453324</v>
      </c>
      <c r="T73" s="62">
        <f t="shared" si="88"/>
        <v>433.75986949528095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36.943504419235147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36.943504419235147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101.84596222262093</v>
      </c>
      <c r="AO73" s="62">
        <f t="shared" si="90"/>
        <v>348.1343199096911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30.073325661702068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30.073325661702068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2">
        <f t="shared" si="86"/>
        <v>17.679410406677235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70">
        <f t="shared" si="56"/>
        <v>432.15289312496304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145.32658437453324</v>
      </c>
      <c r="T74" s="62">
        <f t="shared" si="88"/>
        <v>433.75986949528095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36.219064830886659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36.219064830886659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101.84596222262093</v>
      </c>
      <c r="AO74" s="62">
        <f t="shared" si="90"/>
        <v>348.1343199096911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29.483606088393532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29.483606088393532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2">
        <f t="shared" si="86"/>
        <v>17.899252496876439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70">
        <f t="shared" si="56"/>
        <v>434.05730476539327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145.32658437453324</v>
      </c>
      <c r="T75" s="62">
        <f t="shared" si="88"/>
        <v>433.75986949528095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35.508831061001167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35.508831061001167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101.84596222262093</v>
      </c>
      <c r="AO75" s="62">
        <f t="shared" si="90"/>
        <v>348.1343199096911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28.905450556224153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28.905450556224153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2">
        <f t="shared" si="86"/>
        <v>18.118739450759591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70">
        <f t="shared" si="56"/>
        <v>435.96109787673976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145.32658437453324</v>
      </c>
      <c r="T76" s="62">
        <f t="shared" si="88"/>
        <v>433.75986949528095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34.812524542143308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34.812524542143308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101.84596222262093</v>
      </c>
      <c r="AO76" s="62">
        <f t="shared" si="90"/>
        <v>348.1343199096911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28.338632301400562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28.338632301400562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2">
        <f t="shared" si="86"/>
        <v>18.337876695493698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70">
        <f t="shared" si="56"/>
        <v>437.86428191131836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145.32658437453324</v>
      </c>
      <c r="T77" s="62">
        <f t="shared" si="88"/>
        <v>433.75986949528095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34.129872169415208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34.129872169415208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101.84596222262093</v>
      </c>
      <c r="AO77" s="62">
        <f t="shared" si="90"/>
        <v>348.1343199096911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27.782929006829061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27.782929006829061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2">
        <f t="shared" si="86"/>
        <v>18.556669503136749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70">
        <f t="shared" si="56"/>
        <v>439.76686605129669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145.32658437453324</v>
      </c>
      <c r="T78" s="62">
        <f t="shared" si="88"/>
        <v>433.75986949528095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33.460606193339473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33.460606193339473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101.84596222262093</v>
      </c>
      <c r="AO78" s="62">
        <f t="shared" si="90"/>
        <v>348.1343199096911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27.238122714918568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27.238122714918568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2">
        <f t="shared" si="86"/>
        <v>18.775122997078551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70">
        <f t="shared" si="56"/>
        <v>441.66885921991195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145.32658437453324</v>
      </c>
      <c r="T79" s="62">
        <f t="shared" si="88"/>
        <v>433.75986949528095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32.804464114842645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32.804464114842645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101.84596222262093</v>
      </c>
      <c r="AO79" s="62">
        <f t="shared" si="90"/>
        <v>348.1343199096911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26.703999742093412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26.703999742093412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2">
        <f t="shared" si="86"/>
        <v>18.993242158132951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70">
        <f t="shared" si="56"/>
        <v>443.57027009208173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145.32658437453324</v>
      </c>
      <c r="T80" s="62">
        <f t="shared" si="88"/>
        <v>433.75986949528095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32.161188582297989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32.161188582297989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101.84596222262093</v>
      </c>
      <c r="AO80" s="62">
        <f t="shared" si="90"/>
        <v>348.1343199096911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26.180350594982514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26.180350594982514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2">
        <f t="shared" si="86"/>
        <v>19.211031830304485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70">
        <f t="shared" si="56"/>
        <v>445.47110710444713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145.32658437453324</v>
      </c>
      <c r="T81" s="62">
        <f t="shared" si="88"/>
        <v>433.75986949528095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31.530527290587202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31.530527290587202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101.84596222262093</v>
      </c>
      <c r="AO81" s="62">
        <f t="shared" si="90"/>
        <v>348.1343199096911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25.666969888252016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25.666969888252016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2">
        <f t="shared" si="86"/>
        <v>19.428496726251062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70">
        <f t="shared" si="56"/>
        <v>447.37137846488741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145.32658437453324</v>
      </c>
      <c r="T82" s="62">
        <f t="shared" si="88"/>
        <v>433.75986949528095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30.91223288214146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30.91223288214146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101.84596222262093</v>
      </c>
      <c r="AO82" s="62">
        <f t="shared" si="90"/>
        <v>348.1343199096911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25.163656264049191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25.163656264049191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2">
        <f t="shared" si="86"/>
        <v>19.645641432461971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70">
        <f t="shared" si="56"/>
        <v>449.27109216153804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145.32658437453324</v>
      </c>
      <c r="T83" s="62">
        <f t="shared" si="88"/>
        <v>433.75986949528095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30.306062849922988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30.306062849922988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101.84596222262093</v>
      </c>
      <c r="AO83" s="62">
        <f t="shared" si="90"/>
        <v>348.1343199096911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24.670212313025988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24.670212313025988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2">
        <f t="shared" si="86"/>
        <v>19.862470414169785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70">
        <f t="shared" si="56"/>
        <v>451.1702559713458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145.32658437453324</v>
      </c>
      <c r="T84" s="62">
        <f t="shared" si="88"/>
        <v>433.75986949528095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29.711779442309108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29.711779442309108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101.84596222262093</v>
      </c>
      <c r="AO84" s="62">
        <f t="shared" si="90"/>
        <v>348.1343199096911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24.186444496911257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24.186444496911257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2">
        <f t="shared" si="86"/>
        <v>20.078988020012666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70">
        <f t="shared" si="56"/>
        <v>453.06887746818882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145.32658437453324</v>
      </c>
      <c r="T85" s="62">
        <f t="shared" si="88"/>
        <v>433.75986949528095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29.129149569841449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29.129149569841449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101.84596222262093</v>
      </c>
      <c r="AO85" s="62">
        <f t="shared" si="90"/>
        <v>348.1343199096911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23.712163072601303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23.712163072601303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2">
        <f t="shared" si="86"/>
        <v>20.295198486462844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70">
        <f t="shared" si="56"/>
        <v>454.96696403058957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145.32658437453324</v>
      </c>
      <c r="T86" s="62">
        <f t="shared" si="88"/>
        <v>433.75986949528095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28.557944713803746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28.557944713803746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101.84596222262093</v>
      </c>
      <c r="AO86" s="62">
        <f t="shared" si="90"/>
        <v>348.1343199096911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23.247182017738965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23.247182017738965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2">
        <f t="shared" si="86"/>
        <v>20.511105942035563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70">
        <f t="shared" si="56"/>
        <v>456.86452284904533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145.32658437453324</v>
      </c>
      <c r="T87" s="62">
        <f t="shared" si="88"/>
        <v>433.75986949528095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27.997940836592385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27.997940836592385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101.84596222262093</v>
      </c>
      <c r="AO87" s="62">
        <f t="shared" si="90"/>
        <v>348.1343199096911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22.791318957752036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22.791318957752036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2">
        <f t="shared" si="86"/>
        <v>20.726714411291841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70">
        <f t="shared" si="56"/>
        <v>458.76156093300006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145.32658437453324</v>
      </c>
      <c r="T88" s="62">
        <f t="shared" si="88"/>
        <v>433.75986949528095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27.4489182938445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27.4489182938445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101.84596222262093</v>
      </c>
      <c r="AO88" s="62">
        <f t="shared" si="90"/>
        <v>348.1343199096911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22.34439509432244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22.34439509432244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2">
        <f t="shared" si="86"/>
        <v>20.942027818647599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70">
        <f t="shared" si="56"/>
        <v>460.65808511747798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145.32658437453324</v>
      </c>
      <c r="T89" s="62">
        <f t="shared" si="88"/>
        <v>433.75986949528095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26.910661748289215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26.910661748289215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101.84596222262093</v>
      </c>
      <c r="AO89" s="62">
        <f t="shared" si="90"/>
        <v>348.1343199096911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21.906235135258058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21.906235135258058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2">
        <f t="shared" si="86"/>
        <v>21.157049992000456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70">
        <f t="shared" si="56"/>
        <v>462.55410206940087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145.32658437453324</v>
      </c>
      <c r="T90" s="62">
        <f t="shared" si="88"/>
        <v>433.75986949528095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26.382960085288193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26.382960085288193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101.84596222262093</v>
      </c>
      <c r="AO90" s="62">
        <f t="shared" si="90"/>
        <v>348.1343199096911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21.476667225739742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21.476667225739742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2">
        <f t="shared" si="86"/>
        <v>21.371784666185135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70">
        <f t="shared" si="56"/>
        <v>464.44961829360585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145.32658437453324</v>
      </c>
      <c r="T91" s="62">
        <f t="shared" si="88"/>
        <v>433.75986949528095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25.865606330032389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25.865606330032389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101.84596222262093</v>
      </c>
      <c r="AO91" s="62">
        <f t="shared" si="90"/>
        <v>348.1343199096911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21.055522880916527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21.055522880916527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2">
        <f t="shared" si="86"/>
        <v>21.586235486267142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70">
        <f t="shared" si="56"/>
        <v>466.34464013858201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145.32658437453324</v>
      </c>
      <c r="T92" s="62">
        <f t="shared" si="88"/>
        <v>433.75986949528095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25.35839756636252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25.35839756636252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101.84596222262093</v>
      </c>
      <c r="AO92" s="62">
        <f t="shared" si="90"/>
        <v>348.1343199096911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20.642636919822611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20.642636919822611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2">
        <f t="shared" si="86"/>
        <v>21.800406010684462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70">
        <f t="shared" si="56"/>
        <v>468.23917380194217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145.32658437453324</v>
      </c>
      <c r="T93" s="62">
        <f t="shared" si="88"/>
        <v>433.75986949528095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24.861134857181419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24.861134857181419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101.84596222262093</v>
      </c>
      <c r="AO93" s="62">
        <f t="shared" si="90"/>
        <v>348.1343199096911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20.237847400590177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20.237847400590177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2">
        <f t="shared" si="86"/>
        <v>22.014299714245357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70">
        <f t="shared" si="56"/>
        <v>470.13322533564406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145.32658437453324</v>
      </c>
      <c r="T94" s="62">
        <f t="shared" si="88"/>
        <v>433.75986949528095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24.373623166427056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24.373623166427056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101.84596222262093</v>
      </c>
      <c r="AO94" s="62">
        <f t="shared" si="90"/>
        <v>348.1343199096911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19.840995556932661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19.840995556932661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2">
        <f t="shared" si="86"/>
        <v>22.227919990990831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70">
        <f t="shared" si="56"/>
        <v>472.0268006509757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145.32658437453324</v>
      </c>
      <c r="T95" s="62">
        <f t="shared" si="88"/>
        <v>433.75986949528095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23.895671282575613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23.895671282575613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101.84596222262093</v>
      </c>
      <c r="AO95" s="62">
        <f t="shared" si="90"/>
        <v>348.1343199096911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19.451925735873548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19.451925735873548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2">
        <f t="shared" si="86"/>
        <v>22.441270156928979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70">
        <f t="shared" si="56"/>
        <v>473.91990552331799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145.32658437453324</v>
      </c>
      <c r="T96" s="62">
        <f t="shared" si="88"/>
        <v>433.75986949528095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23.427091743644635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23.427091743644635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101.84596222262093</v>
      </c>
      <c r="AO96" s="62">
        <f t="shared" si="90"/>
        <v>348.1343199096911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19.070485336696244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19.070485336696244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2">
        <f t="shared" si="86"/>
        <v>22.654353452648408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70">
        <f t="shared" si="56"/>
        <v>475.81254559669605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145.32658437453324</v>
      </c>
      <c r="T97" s="62">
        <f t="shared" si="88"/>
        <v>433.75986949528095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22.967700763666794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22.967700763666794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101.84596222262093</v>
      </c>
      <c r="AO97" s="62">
        <f t="shared" si="90"/>
        <v>348.1343199096911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18.696524751091136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18.696524751091136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2">
        <f t="shared" si="86"/>
        <v>22.867173045817324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70">
        <f t="shared" si="56"/>
        <v>477.70472638813186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145.32658437453324</v>
      </c>
      <c r="T98" s="62">
        <f t="shared" si="88"/>
        <v>433.75986949528095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22.517318160605488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22.517318160605488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101.84596222262093</v>
      </c>
      <c r="AO98" s="62">
        <f t="shared" si="90"/>
        <v>348.1343199096911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18.329897304476312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18.329897304476312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2">
        <f t="shared" si="86"/>
        <v>23.079732033574274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70">
        <f t="shared" si="56"/>
        <v>479.59645329180853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145.32658437453324</v>
      </c>
      <c r="T99" s="62">
        <f t="shared" si="88"/>
        <v>433.75986949528095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22.075767285683952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22.075767285683952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101.84596222262093</v>
      </c>
      <c r="AO99" s="62">
        <f t="shared" si="90"/>
        <v>348.1343199096911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17.970459198468941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17.970459198468941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2">
        <f t="shared" si="86"/>
        <v>23.292033444816514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70">
        <f t="shared" si="56"/>
        <v>481.48773158305545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145.32658437453324</v>
      </c>
      <c r="T100" s="62">
        <f t="shared" si="88"/>
        <v>433.75986949528095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21.642874954100186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21.642874954100186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101.84596222262093</v>
      </c>
      <c r="AO100" s="62">
        <f t="shared" si="90"/>
        <v>348.1343199096911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17.618069454484779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17.618069454484779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2">
        <f t="shared" si="86"/>
        <v>23.504080242391282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70">
        <f t="shared" si="56"/>
        <v>483.37856642216479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145.32658437453324</v>
      </c>
      <c r="T101" s="62">
        <f t="shared" si="88"/>
        <v>433.75986949528095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21.218471377100528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21.218471377100528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101.84596222262093</v>
      </c>
      <c r="AO101" s="62">
        <f t="shared" si="90"/>
        <v>348.1343199096911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17.272589858443624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17.272589858443624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2">
        <f t="shared" si="86"/>
        <v>23.715875325195146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70">
        <f t="shared" si="56"/>
        <v>485.26896285804821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145.32658437453324</v>
      </c>
      <c r="T102" s="62">
        <f t="shared" si="88"/>
        <v>433.75986949528095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20.80239009538521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20.80239009538521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101.84596222262093</v>
      </c>
      <c r="AO102" s="62">
        <f t="shared" si="90"/>
        <v>348.1343199096911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16.93388490655909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16.93388490655909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2">
        <f t="shared" si="86"/>
        <v>23.927421530185931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70">
        <f t="shared" si="56"/>
        <v>487.15892583174048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145.32658437453324</v>
      </c>
      <c r="T103" s="62">
        <f t="shared" si="88"/>
        <v>433.75986949528095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20.394467913819806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20.394467913819806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101.84596222262093</v>
      </c>
      <c r="AO103" s="62">
        <f t="shared" si="90"/>
        <v>348.1343199096911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16.601821752191391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16.601821752191391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2">
        <f t="shared" si="86"/>
        <v>24.138721634312098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70">
        <f t="shared" si="56"/>
        <v>489.04846017976024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145.32658437453324</v>
      </c>
      <c r="T104" s="62">
        <f t="shared" si="88"/>
        <v>433.75986949528095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19.99454483742694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19.99454483742694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101.84596222262093</v>
      </c>
      <c r="AO104" s="62">
        <f t="shared" si="90"/>
        <v>348.1343199096911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16.276270153742317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16.276270153742317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2">
        <f t="shared" si="86"/>
        <v>24.349778356363352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70">
        <f t="shared" si="56"/>
        <v>490.93757063733278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145.32658437453324</v>
      </c>
      <c r="T105" s="62">
        <f t="shared" si="88"/>
        <v>433.75986949528095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19.602464008633145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19.602464008633145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101.84596222262093</v>
      </c>
      <c r="AO105" s="62">
        <f t="shared" si="90"/>
        <v>348.1343199096911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15.957102423571961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15.957102423571961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2">
        <f t="shared" si="86"/>
        <v>24.560594358746627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70">
        <f t="shared" si="56"/>
        <v>492.82626184148364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145.32658437453324</v>
      </c>
      <c r="T106" s="62">
        <f t="shared" si="88"/>
        <v>433.75986949528095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19.218071645746306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19.218071645746306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101.84596222262093</v>
      </c>
      <c r="AO106" s="62">
        <f t="shared" si="90"/>
        <v>348.1343199096911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15.644193377917151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15.644193377917151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2">
        <f t="shared" si="86"/>
        <v>24.771172249191284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70">
        <f t="shared" si="56"/>
        <v>494.71453833400813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145.32658437453324</v>
      </c>
      <c r="T107" s="62">
        <f t="shared" si="88"/>
        <v>433.75986949528095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18.841216982639487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18.841216982639487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101.84596222262093</v>
      </c>
      <c r="AO107" s="62">
        <f t="shared" si="90"/>
        <v>348.1343199096911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15.337420287791961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15.337420287791961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2">
        <f t="shared" si="86"/>
        <v>24.981514582386563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70">
        <f t="shared" si="56"/>
        <v>496.60240456432325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145.32658437453324</v>
      </c>
      <c r="T108" s="62">
        <f t="shared" si="88"/>
        <v>433.75986949528095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18.471752209617545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18.471752209617545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101.84596222262093</v>
      </c>
      <c r="AO108" s="62">
        <f t="shared" si="90"/>
        <v>348.1343199096911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15.036662830851016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15.036662830851016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2">
        <f t="shared" si="86"/>
        <v>25.191623861555186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70">
        <f t="shared" si="56"/>
        <v>498.48986489220857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145.32658437453324</v>
      </c>
      <c r="T109" s="62">
        <f t="shared" si="88"/>
        <v>433.75986949528095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18.109532415443304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18.109532415443304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101.84596222262093</v>
      </c>
      <c r="AO109" s="62">
        <f t="shared" si="90"/>
        <v>348.1343199096911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14.741803044196748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14.741803044196748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2">
        <f t="shared" si="86"/>
        <v>25.401502539965662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70">
        <f t="shared" si="56"/>
        <v>500.37692359044013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145.32658437453324</v>
      </c>
      <c r="T110" s="62">
        <f t="shared" si="88"/>
        <v>433.75986949528095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17.754415530500559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17.754415530500559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101.84596222262093</v>
      </c>
      <c r="AO110" s="62">
        <f t="shared" si="90"/>
        <v>348.1343199096911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14.452725278112059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14.452725278112059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2">
        <f t="shared" si="86"/>
        <v>25.611153022386461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70">
        <f t="shared" si="56"/>
        <v>502.26358484732305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145.32658437453324</v>
      </c>
      <c r="T111" s="62">
        <f t="shared" si="88"/>
        <v>433.75986949528095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17.406262271071629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17.406262271071629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101.84596222262093</v>
      </c>
      <c r="AO111" s="62">
        <f t="shared" si="90"/>
        <v>348.1343199096911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14.169316150700263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14.169316150700263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2">
        <f t="shared" si="86"/>
        <v>25.820577666484969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70">
        <f t="shared" si="56"/>
        <v>504.1498527691279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145.32658437453324</v>
      </c>
      <c r="T112" s="62">
        <f t="shared" si="88"/>
        <v>433.75986949528095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17.064936084707579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17.064936084707579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101.84596222262093</v>
      </c>
      <c r="AO112" s="62">
        <f t="shared" si="90"/>
        <v>348.1343199096911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13.891464503414515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13.891464503414515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2">
        <f t="shared" si="86"/>
        <v>26.029778784173352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70">
        <f t="shared" si="56"/>
        <v>506.03573138243519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145.32658437453324</v>
      </c>
      <c r="T113" s="62">
        <f t="shared" si="88"/>
        <v>433.75986949528095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16.730303096669711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16.730303096669711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101.84596222262093</v>
      </c>
      <c r="AO113" s="62">
        <f t="shared" si="90"/>
        <v>348.1343199096911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13.619061357459268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13.619061357459268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2">
        <f t="shared" si="86"/>
        <v>26.238758642904312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70">
        <f t="shared" si="56"/>
        <v>507.92122463639157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145.32658437453324</v>
      </c>
      <c r="T114" s="62">
        <f t="shared" si="88"/>
        <v>433.75986949528095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16.402232057421298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16.402232057421298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101.84596222262093</v>
      </c>
      <c r="AO114" s="62">
        <f t="shared" si="90"/>
        <v>348.1343199096911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13.35199987104669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13.35199987104669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2">
        <f t="shared" si="86"/>
        <v>26.447519466918756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70">
        <f t="shared" si="56"/>
        <v>509.80633640488338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145.32658437453324</v>
      </c>
      <c r="T115" s="62">
        <f t="shared" si="88"/>
        <v>433.75986949528095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16.080594291148969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16.080594291148969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101.84596222262093</v>
      </c>
      <c r="AO115" s="62">
        <f t="shared" si="90"/>
        <v>348.1343199096911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13.090175297491241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13.090175297491241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2">
        <f t="shared" si="86"/>
        <v>26.656063438447475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70">
        <f t="shared" si="56"/>
        <v>511.69107048862929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145.32658437453324</v>
      </c>
      <c r="T116" s="62">
        <f t="shared" si="88"/>
        <v>433.75986949528095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15.765263645293578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15.765263645293578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101.84596222262093</v>
      </c>
      <c r="AO116" s="62">
        <f t="shared" si="90"/>
        <v>348.1343199096911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12.833484944125994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12.833484944125994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2">
        <f t="shared" si="86"/>
        <v>26.864392698869324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70">
        <f t="shared" si="56"/>
        <v>513.5754306171973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145.32658437453324</v>
      </c>
      <c r="T117" s="62">
        <f t="shared" si="88"/>
        <v>433.75986949528095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15.456116441070707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15.456116441070707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101.84596222262093</v>
      </c>
      <c r="AO117" s="62">
        <f t="shared" si="90"/>
        <v>348.1343199096911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12.581828132024583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12.581828132024583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2">
        <f t="shared" si="86"/>
        <v>27.072509349827456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70">
        <f t="shared" si="56"/>
        <v>515.45942045094944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145.32658437453324</v>
      </c>
      <c r="T118" s="62">
        <f t="shared" si="88"/>
        <v>433.75986949528095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15.153031424961471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15.153031424961471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101.84596222262093</v>
      </c>
      <c r="AO118" s="62">
        <f t="shared" si="90"/>
        <v>348.1343199096911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12.335106156512982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12.335106156512982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2">
        <f t="shared" si="86"/>
        <v>27.28041545430554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70">
        <f t="shared" si="56"/>
        <v>517.34304358291536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145.32658437453324</v>
      </c>
      <c r="T119" s="62">
        <f t="shared" si="88"/>
        <v>433.75986949528095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14.855889721154531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14.855889721154531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101.84596222262093</v>
      </c>
      <c r="AO119" s="62">
        <f t="shared" si="90"/>
        <v>348.1343199096911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12.093222248455616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12.093222248455616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2">
        <f t="shared" si="86"/>
        <v>27.488113037666018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70">
        <f t="shared" si="56"/>
        <v>519.22630354060152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145.32658437453324</v>
      </c>
      <c r="T120" s="62">
        <f t="shared" si="88"/>
        <v>433.75986949528095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14.564574784920701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14.564574784920701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101.84596222262093</v>
      </c>
      <c r="AO120" s="62">
        <f t="shared" si="90"/>
        <v>348.1343199096911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11.856081536300639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11.856081536300639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2">
        <f t="shared" si="86"/>
        <v>27.69560408865161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70">
        <f t="shared" si="56"/>
        <v>521.10920378773471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145.32658437453324</v>
      </c>
      <c r="T121" s="62">
        <f t="shared" si="88"/>
        <v>433.75986949528095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14.278972356901852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14.278972356901852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101.84596222262093</v>
      </c>
      <c r="AO121" s="62">
        <f t="shared" si="90"/>
        <v>348.1343199096911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11.62359100886947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11.62359100886947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2">
        <f t="shared" si="86"/>
        <v>27.902890560352166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70">
        <f t="shared" si="56"/>
        <v>522.99174772594654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145.32658437453324</v>
      </c>
      <c r="T122" s="62">
        <f t="shared" si="88"/>
        <v>433.75986949528095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13.998970418296171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13.998970418296171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101.84596222262093</v>
      </c>
      <c r="AO122" s="62">
        <f t="shared" si="90"/>
        <v>348.1343199096911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11.395659478876006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11.395659478876006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2">
        <f t="shared" si="86"/>
        <v>28.109974371137692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70">
        <f t="shared" si="56"/>
        <v>524.873938696398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145.32658437453324</v>
      </c>
      <c r="T123" s="62">
        <f t="shared" si="88"/>
        <v>433.75986949528095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13.724459146922229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13.724459146922229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101.84596222262093</v>
      </c>
      <c r="AO123" s="62">
        <f t="shared" si="90"/>
        <v>348.1343199096911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11.172197547161208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11.172197547161208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2">
        <f t="shared" si="86"/>
        <v>28.316857405559968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70">
        <f t="shared" si="56"/>
        <v>526.75577998135009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145.32658437453324</v>
      </c>
      <c r="T124" s="62">
        <f t="shared" si="88"/>
        <v>433.75986949528095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13.455330874144586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13.455330874144586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101.84596222262093</v>
      </c>
      <c r="AO124" s="62">
        <f t="shared" si="90"/>
        <v>348.1343199096911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10.953117567629016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10.953117567629016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2">
        <f t="shared" si="86"/>
        <v>28.523541515222913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70">
        <f t="shared" si="56"/>
        <v>528.63727480567968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145.32658437453324</v>
      </c>
      <c r="T125" s="62">
        <f t="shared" si="88"/>
        <v>433.75986949528095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13.191480042644075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13.191480042644075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101.84596222262093</v>
      </c>
      <c r="AO125" s="62">
        <f t="shared" si="90"/>
        <v>348.1343199096911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10.738333612869859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10.738333612869859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2">
        <f t="shared" si="86"/>
        <v>28.730028519623875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70">
        <f t="shared" si="56"/>
        <v>530.51842633834474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145.32658437453324</v>
      </c>
      <c r="T126" s="62">
        <f t="shared" si="88"/>
        <v>433.75986949528095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12.932803165016173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12.932803165016173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101.84596222262093</v>
      </c>
      <c r="AO126" s="62">
        <f t="shared" si="90"/>
        <v>348.1343199096911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10.527761440458251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10.527761440458251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2">
        <f t="shared" si="86"/>
        <v>28.936320206966858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70">
        <f t="shared" si="56"/>
        <v>532.39923769380039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145.32658437453324</v>
      </c>
      <c r="T127" s="62">
        <f t="shared" si="88"/>
        <v>433.75986949528095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12.679198783181238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12.679198783181238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101.84596222262093</v>
      </c>
      <c r="AO127" s="62">
        <f t="shared" si="90"/>
        <v>348.1343199096911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10.321318459911293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10.321318459911293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2">
        <f t="shared" si="86"/>
        <v>29.142418334948587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70">
        <f t="shared" si="56"/>
        <v>534.27971193336862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145.32658437453324</v>
      </c>
      <c r="T128" s="62">
        <f t="shared" si="88"/>
        <v>433.75986949528095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12.430567428590688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12.430567428590688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101.84596222262093</v>
      </c>
      <c r="AO128" s="62">
        <f t="shared" si="90"/>
        <v>348.1343199096911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10.118923700295076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10.118923700295076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2">
        <f t="shared" si="86"/>
        <v>29.348324631518803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70">
        <f t="shared" si="56"/>
        <v>536.15985206656171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145.32658437453324</v>
      </c>
      <c r="T129" s="62">
        <f t="shared" si="88"/>
        <v>433.75986949528095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12.186811583213506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12.186811583213506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101.84596222262093</v>
      </c>
      <c r="AO129" s="62">
        <f t="shared" si="90"/>
        <v>348.1343199096911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9.9204977784663182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9.9204977784663182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2">
        <f t="shared" si="86"/>
        <v>29.554040795615606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70">
        <f t="shared" si="56"/>
        <v>538.03966105236361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145.32658437453324</v>
      </c>
      <c r="T130" s="62">
        <f t="shared" si="88"/>
        <v>433.75986949528095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11.947835641287785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11.947835641287785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101.84596222262093</v>
      </c>
      <c r="AO130" s="62">
        <f t="shared" si="90"/>
        <v>348.1343199096911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9.7259628679367616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9.7259628679367616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2">
        <f t="shared" si="86"/>
        <v>29.759568497877233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70">
        <f t="shared" si="56"/>
        <v>539.91914180046933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145.32658437453324</v>
      </c>
      <c r="T131" s="62">
        <f t="shared" si="88"/>
        <v>433.75986949528095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11.713545871822296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11.713545871822296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101.84596222262093</v>
      </c>
      <c r="AO131" s="62">
        <f t="shared" si="90"/>
        <v>348.1343199096911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9.5352426683481095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9.5352426683481095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2">
        <f t="shared" si="86"/>
        <v>29.964909381330607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70">
        <f t="shared" ref="H132:H195" si="110">(B132+E132+F132)*44/12+(C132+D132)*0.475*44/12</f>
        <v>541.7982971724839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145.32658437453324</v>
      </c>
      <c r="T132" s="62">
        <f t="shared" si="88"/>
        <v>433.75986949528095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11.483850381833376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11.483850381833376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101.84596222262093</v>
      </c>
      <c r="AO132" s="62">
        <f t="shared" si="90"/>
        <v>348.1343199096911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9.3482623755455556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9.3482623755455556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2">
        <f t="shared" ref="D133:D196" si="140">IFERROR(EXP(-1.0587+0.8836*LN(C133)+0.284),0)</f>
        <v>30.170065062058185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70">
        <f t="shared" si="110"/>
        <v>543.67712998308446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145.32658437453324</v>
      </c>
      <c r="T133" s="62">
        <f t="shared" ref="T133:T196" si="142">$T$3</f>
        <v>433.75986949528095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11.258659080302724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11.258659080302724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101.84596222262093</v>
      </c>
      <c r="AO133" s="62">
        <f t="shared" ref="AO133:AO196" si="144">$AO$3</f>
        <v>348.1343199096911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9.1649486522381434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9.1649486522381434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2">
        <f t="shared" si="140"/>
        <v>30.37503712984369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70">
        <f t="shared" si="110"/>
        <v>545.55564300114418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145.32658437453324</v>
      </c>
      <c r="T134" s="62">
        <f t="shared" si="142"/>
        <v>433.75986949528095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11.037883642841956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11.037883642841956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101.84596222262093</v>
      </c>
      <c r="AO134" s="62">
        <f t="shared" si="144"/>
        <v>348.1343199096911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8.985229599234458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8.985229599234458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2">
        <f t="shared" si="140"/>
        <v>30.579827148797293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70">
        <f t="shared" si="110"/>
        <v>547.43383895082161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145.32658437453324</v>
      </c>
      <c r="T135" s="62">
        <f t="shared" si="142"/>
        <v>433.75986949528095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10.821437477050074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10.821437477050074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101.84596222262093</v>
      </c>
      <c r="AO135" s="62">
        <f t="shared" si="144"/>
        <v>348.1343199096911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8.809034727242377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8.809034727242377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2">
        <f t="shared" si="140"/>
        <v>30.784436657961677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70">
        <f t="shared" si="110"/>
        <v>549.31172051261638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145.32658437453324</v>
      </c>
      <c r="T136" s="62">
        <f t="shared" si="142"/>
        <v>433.75986949528095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10.609235688550244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10.609235688550244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101.84596222262093</v>
      </c>
      <c r="AO136" s="62">
        <f t="shared" si="144"/>
        <v>348.1343199096911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8.6362949292217994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8.6362949292217994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2">
        <f t="shared" si="140"/>
        <v>30.988867171899123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70">
        <f t="shared" si="110"/>
        <v>551.18929032439075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145.32658437453324</v>
      </c>
      <c r="T137" s="62">
        <f t="shared" si="142"/>
        <v>433.75986949528095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10.401195047692587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10.401195047692587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101.84596222262093</v>
      </c>
      <c r="AO137" s="62">
        <f t="shared" si="144"/>
        <v>348.1343199096911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8.4669424532795325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8.4669424532795325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2">
        <f t="shared" si="140"/>
        <v>31.193120181260472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70">
        <f t="shared" si="110"/>
        <v>553.06655098236172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145.32658437453324</v>
      </c>
      <c r="T138" s="62">
        <f t="shared" si="142"/>
        <v>433.75986949528095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10.197233956909887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10.197233956909887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101.84596222262093</v>
      </c>
      <c r="AO138" s="62">
        <f t="shared" si="144"/>
        <v>348.1343199096911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8.3009108760956831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8.3009108760956831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2">
        <f t="shared" si="140"/>
        <v>31.397197153337192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70">
        <f t="shared" si="110"/>
        <v>554.94350504206204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145.32658437453324</v>
      </c>
      <c r="T139" s="62">
        <f t="shared" si="142"/>
        <v>433.75986949528095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9.9972724187134538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9.9972724187134538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101.84596222262093</v>
      </c>
      <c r="AO139" s="62">
        <f t="shared" si="144"/>
        <v>348.1343199096911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8.138135076871146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8.138135076871146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2">
        <f t="shared" si="140"/>
        <v>31.601099532596137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70">
        <f t="shared" si="110"/>
        <v>556.8201550192714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145.32658437453324</v>
      </c>
      <c r="T140" s="62">
        <f t="shared" si="142"/>
        <v>433.75986949528095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9.8012320043165566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9.8012320043165566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101.84596222262093</v>
      </c>
      <c r="AO140" s="62">
        <f t="shared" si="144"/>
        <v>348.1343199096911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7.9785512117859678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7.9785512117859678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2">
        <f t="shared" si="140"/>
        <v>31.804828741198751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70">
        <f t="shared" si="110"/>
        <v>558.69650339092095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145.32658437453324</v>
      </c>
      <c r="T141" s="62">
        <f t="shared" si="142"/>
        <v>433.75986949528095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9.6090358228731372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9.6090358228731372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101.84596222262093</v>
      </c>
      <c r="AO141" s="62">
        <f t="shared" si="144"/>
        <v>348.1343199096911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7.8220966889585632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7.8220966889585632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2">
        <f t="shared" si="140"/>
        <v>32.008386179504427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70">
        <f t="shared" si="110"/>
        <v>560.57255259596991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145.32658437453324</v>
      </c>
      <c r="T142" s="62">
        <f t="shared" si="142"/>
        <v>433.75986949528095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9.4206084913197277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9.4206084913197277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101.84596222262093</v>
      </c>
      <c r="AO142" s="62">
        <f t="shared" si="144"/>
        <v>348.1343199096911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7.6687101438959679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7.6687101438959679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2">
        <f t="shared" si="140"/>
        <v>32.211773226559345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70">
        <f t="shared" si="110"/>
        <v>562.44830503625724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145.32658437453324</v>
      </c>
      <c r="T143" s="62">
        <f t="shared" si="142"/>
        <v>433.75986949528095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9.2358761048087565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9.2358761048087565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101.84596222262093</v>
      </c>
      <c r="AO143" s="62">
        <f t="shared" si="144"/>
        <v>348.1343199096911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7.5183314154254957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7.5183314154254957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2">
        <f t="shared" si="140"/>
        <v>32.414991240570387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70">
        <f t="shared" si="110"/>
        <v>564.32376307732648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145.32658437453324</v>
      </c>
      <c r="T144" s="62">
        <f t="shared" si="142"/>
        <v>433.75986949528095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9.0547662077216362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9.0547662077216362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101.84596222262093</v>
      </c>
      <c r="AO144" s="62">
        <f t="shared" si="144"/>
        <v>348.1343199096911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7.3709015220983618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7.3709015220983618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2">
        <f t="shared" si="140"/>
        <v>32.618041559365949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70">
        <f t="shared" si="110"/>
        <v>566.1989290492287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145.32658437453324</v>
      </c>
      <c r="T145" s="62">
        <f t="shared" si="142"/>
        <v>433.75986949528095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8.8772077652502634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8.8772077652502634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101.84596222262093</v>
      </c>
      <c r="AO145" s="62">
        <f t="shared" si="144"/>
        <v>348.1343199096911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7.2263626390560178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7.2263626390560178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2">
        <f t="shared" si="140"/>
        <v>32.820925500842684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70">
        <f t="shared" si="110"/>
        <v>568.0738052473007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145.32658437453324</v>
      </c>
      <c r="T146" s="62">
        <f t="shared" si="142"/>
        <v>433.75986949528095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8.7031311355357985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8.7031311355357985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101.84596222262093</v>
      </c>
      <c r="AO146" s="62">
        <f t="shared" si="144"/>
        <v>348.1343199096911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7.08465807535012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7.08465807535012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2">
        <f t="shared" si="140"/>
        <v>33.023644363399924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70">
        <f t="shared" si="110"/>
        <v>569.94839393292125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145.32658437453324</v>
      </c>
      <c r="T147" s="62">
        <f t="shared" si="142"/>
        <v>433.75986949528095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8.5324680423537753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8.5324680423537753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101.84596222262093</v>
      </c>
      <c r="AO147" s="62">
        <f t="shared" si="144"/>
        <v>348.1343199096911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6.9457322517072457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6.9457322517072457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2">
        <f t="shared" si="140"/>
        <v>33.226199426361291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70">
        <f t="shared" si="110"/>
        <v>571.82269733424562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145.32658437453324</v>
      </c>
      <c r="T148" s="62">
        <f t="shared" si="142"/>
        <v>433.75986949528095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8.3651515483348433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8.3651515483348433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101.84596222262093</v>
      </c>
      <c r="AO148" s="62">
        <f t="shared" si="144"/>
        <v>348.1343199096911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6.8095306787296224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6.8095306787296224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2">
        <f t="shared" si="140"/>
        <v>33.428591950384771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70">
        <f t="shared" si="110"/>
        <v>573.69671764691986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145.32658437453324</v>
      </c>
      <c r="T149" s="62">
        <f t="shared" si="142"/>
        <v>433.75986949528095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8.2011160287106382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8.2011160287106382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101.84596222262093</v>
      </c>
      <c r="AO149" s="62">
        <f t="shared" si="144"/>
        <v>348.1343199096911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6.6759999355233344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6.6759999355233344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2">
        <f t="shared" si="140"/>
        <v>33.630823177860727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70">
        <f t="shared" si="110"/>
        <v>575.57045703477377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145.32658437453324</v>
      </c>
      <c r="T150" s="62">
        <f t="shared" si="142"/>
        <v>433.75986949528095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8.0402971455744758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8.0402971455744758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101.84596222262093</v>
      </c>
      <c r="AO150" s="62">
        <f t="shared" si="144"/>
        <v>348.1343199096911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6.5450876487456098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6.5450876487456098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2">
        <f t="shared" si="140"/>
        <v>33.832894333299215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70">
        <f t="shared" si="110"/>
        <v>577.44391763049589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145.32658437453324</v>
      </c>
      <c r="T151" s="62">
        <f t="shared" si="142"/>
        <v>433.75986949528095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7.88263182264678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7.88263182264678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101.84596222262093</v>
      </c>
      <c r="AO151" s="62">
        <f t="shared" si="144"/>
        <v>348.1343199096911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6.4167424720629862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6.4167424720629862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2">
        <f t="shared" si="140"/>
        <v>34.034806623706274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70">
        <f t="shared" si="110"/>
        <v>579.31710153628819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145.32658437453324</v>
      </c>
      <c r="T152" s="62">
        <f t="shared" si="142"/>
        <v>433.75986949528095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7.7280582205353445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7.7280582205353445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101.84596222262093</v>
      </c>
      <c r="AO152" s="62">
        <f t="shared" si="144"/>
        <v>348.1343199096911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6.2909140660122809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6.2909140660122809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2">
        <f t="shared" si="140"/>
        <v>34.236561238949889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70">
        <f t="shared" si="110"/>
        <v>581.19001082450416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145.32658437453324</v>
      </c>
      <c r="T153" s="62">
        <f t="shared" si="142"/>
        <v>433.75986949528095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7.5765157124807265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7.5765157124807265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101.84596222262093</v>
      </c>
      <c r="AO153" s="62">
        <f t="shared" si="144"/>
        <v>348.1343199096911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6.1675530782564802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6.1675530782564802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2">
        <f t="shared" si="140"/>
        <v>34.438159352115974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70">
        <f t="shared" si="110"/>
        <v>583.06264753826849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145.32658437453324</v>
      </c>
      <c r="T154" s="62">
        <f t="shared" si="142"/>
        <v>433.75986949528095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7.4279448605772567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7.4279448605772567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101.84596222262093</v>
      </c>
      <c r="AO154" s="62">
        <f t="shared" si="144"/>
        <v>348.1343199096911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6.0466111242277982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6.0466111242277982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2">
        <f t="shared" si="140"/>
        <v>34.63960211985458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70">
        <f t="shared" si="110"/>
        <v>584.93501369207979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145.32658437453324</v>
      </c>
      <c r="T155" s="62">
        <f t="shared" si="142"/>
        <v>433.75986949528095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7.2822873924603417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7.2822873924603417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101.84596222262093</v>
      </c>
      <c r="AO155" s="62">
        <f t="shared" si="144"/>
        <v>348.1343199096911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5.9280407681503107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5.9280407681503107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2">
        <f t="shared" si="140"/>
        <v>34.840890682716719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70">
        <f t="shared" si="110"/>
        <v>586.80711127239806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145.32658437453324</v>
      </c>
      <c r="T156" s="62">
        <f t="shared" si="142"/>
        <v>433.75986949528095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7.1394861784509169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7.1394861784509169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101.84596222262093</v>
      </c>
      <c r="AO156" s="62">
        <f t="shared" si="144"/>
        <v>348.1343199096911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5.811795504434726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5.811795504434726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2">
        <f t="shared" si="140"/>
        <v>35.042026165482199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70">
        <f t="shared" si="110"/>
        <v>588.67894223821463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145.32658437453324</v>
      </c>
      <c r="T157" s="62">
        <f t="shared" si="142"/>
        <v>433.75986949528095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6.9994852091480766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6.9994852091480766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101.84596222262093</v>
      </c>
      <c r="AO157" s="62">
        <f t="shared" si="144"/>
        <v>348.1343199096911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5.697829739437994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5.697829739437994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2">
        <f t="shared" si="140"/>
        <v>35.243009677478732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70">
        <f t="shared" si="110"/>
        <v>590.55050852160866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145.32658437453324</v>
      </c>
      <c r="T158" s="62">
        <f t="shared" si="142"/>
        <v>433.75986949528095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6.8622295734611054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6.8622295734611054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101.84596222262093</v>
      </c>
      <c r="AO158" s="62">
        <f t="shared" si="144"/>
        <v>348.1343199096911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5.5860987735805949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5.5860987735805949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2">
        <f t="shared" si="140"/>
        <v>35.443842312892279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70">
        <f t="shared" si="110"/>
        <v>592.42181202828726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145.32658437453324</v>
      </c>
      <c r="T159" s="62">
        <f t="shared" si="142"/>
        <v>433.75986949528095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6.7276654370722841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6.7276654370722841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101.84596222262093</v>
      </c>
      <c r="AO159" s="62">
        <f t="shared" si="144"/>
        <v>348.1343199096911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5.4765587838145002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5.4765587838145002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2">
        <f t="shared" si="140"/>
        <v>35.644525151069693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70">
        <f t="shared" si="110"/>
        <v>594.29285463811289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145.32658437453324</v>
      </c>
      <c r="T160" s="62">
        <f t="shared" si="142"/>
        <v>433.75986949528095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6.5957400213220296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6.5957400213220296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101.84596222262093</v>
      </c>
      <c r="AO160" s="62">
        <f t="shared" si="144"/>
        <v>348.1343199096911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5.3691668064349214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5.3691668064349214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2">
        <f t="shared" si="140"/>
        <v>35.845059256813073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70">
        <f t="shared" si="110"/>
        <v>596.16363820561605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145.32658437453324</v>
      </c>
      <c r="T161" s="62">
        <f t="shared" si="142"/>
        <v>433.75986949528095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6.4664015825080794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6.4664015825080794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101.84596222262093</v>
      </c>
      <c r="AO161" s="62">
        <f t="shared" si="144"/>
        <v>348.1343199096911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5.2638807202291185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5.2638807202291185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2">
        <f t="shared" si="140"/>
        <v>36.045445680666425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70">
        <f t="shared" si="110"/>
        <v>598.03416456049399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145.32658437453324</v>
      </c>
      <c r="T162" s="62">
        <f t="shared" si="142"/>
        <v>433.75986949528095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6.3395993915906121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6.3395993915906121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101.84596222262093</v>
      </c>
      <c r="AO162" s="62">
        <f t="shared" si="144"/>
        <v>348.1343199096911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5.1606592299556393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5.1606592299556393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2">
        <f t="shared" si="140"/>
        <v>36.245685459195286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70">
        <f t="shared" si="110"/>
        <v>599.90443550809846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145.32658437453324</v>
      </c>
      <c r="T163" s="62">
        <f t="shared" si="142"/>
        <v>433.75986949528095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6.215283714295337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6.215283714295337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101.84596222262093</v>
      </c>
      <c r="AO163" s="62">
        <f t="shared" si="144"/>
        <v>348.1343199096911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5.0594618501475308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5.0594618501475308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2">
        <f t="shared" si="140"/>
        <v>36.445779615258601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70">
        <f t="shared" si="110"/>
        <v>601.77445282990868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145.32658437453324</v>
      </c>
      <c r="T164" s="62">
        <f t="shared" si="142"/>
        <v>433.75986949528095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6.0934057916067461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6.0934057916067461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101.84596222262093</v>
      </c>
      <c r="AO164" s="62">
        <f t="shared" si="144"/>
        <v>348.1343199096911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4.960248889233152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4.960248889233152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2">
        <f t="shared" si="140"/>
        <v>36.645729158274158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70">
        <f t="shared" si="110"/>
        <v>603.64421828399406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145.32658437453324</v>
      </c>
      <c r="T165" s="62">
        <f t="shared" si="142"/>
        <v>433.75986949528095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5.9739178206438863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5.9739178206438863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101.84596222262093</v>
      </c>
      <c r="AO165" s="62">
        <f t="shared" si="144"/>
        <v>348.1343199096911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4.8629814339683737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4.8629814339683737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2">
        <f t="shared" si="140"/>
        <v>36.845535084476985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70">
        <f t="shared" si="110"/>
        <v>605.51373360546404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145.32658437453324</v>
      </c>
      <c r="T166" s="62">
        <f t="shared" si="142"/>
        <v>433.75986949528095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5.8567729359111418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5.8567729359111418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101.84596222262093</v>
      </c>
      <c r="AO166" s="62">
        <f t="shared" si="144"/>
        <v>348.1343199096911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4.7676213341740477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4.7676213341740477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2">
        <f t="shared" si="140"/>
        <v>37.045198377171303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70">
        <f t="shared" si="110"/>
        <v>607.38300050690668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145.32658437453324</v>
      </c>
      <c r="T167" s="62">
        <f t="shared" si="142"/>
        <v>433.75986949528095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5.7419251909166817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5.7419251909166817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101.84596222262093</v>
      </c>
      <c r="AO167" s="62">
        <f t="shared" si="144"/>
        <v>348.1343199096911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4.6741311877727707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4.6741311877727707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2">
        <f t="shared" si="140"/>
        <v>37.244720006976252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70">
        <f t="shared" si="110"/>
        <v>609.25202067881696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145.32658437453324</v>
      </c>
      <c r="T168" s="62">
        <f t="shared" si="142"/>
        <v>433.75986949528095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5.6293295401513559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5.6293295401513559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101.84596222262093</v>
      </c>
      <c r="AO168" s="62">
        <f t="shared" si="144"/>
        <v>348.1343199096911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4.5824743261190646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4.5824743261190646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2">
        <f t="shared" si="140"/>
        <v>37.444100932065233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70">
        <f t="shared" si="110"/>
        <v>611.12079579001363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145.32658437453324</v>
      </c>
      <c r="T169" s="62">
        <f t="shared" si="142"/>
        <v>433.75986949528095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5.518941821420972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5.518941821420972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101.84596222262093</v>
      </c>
      <c r="AO169" s="62">
        <f t="shared" si="144"/>
        <v>348.1343199096911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4.4926147996172219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4.4926147996172219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2">
        <f t="shared" si="140"/>
        <v>37.643342098399685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70">
        <f t="shared" si="110"/>
        <v>612.98932748804623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145.32658437453324</v>
      </c>
      <c r="T170" s="62">
        <f t="shared" si="142"/>
        <v>433.75986949528095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5.4107187385250306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5.4107187385250306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101.84596222262093</v>
      </c>
      <c r="AO170" s="62">
        <f t="shared" si="144"/>
        <v>348.1343199096911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4.4045173636211814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4.4045173636211814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2">
        <f t="shared" si="140"/>
        <v>37.842444439956665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70">
        <f t="shared" si="110"/>
        <v>614.85761739959128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145.32658437453324</v>
      </c>
      <c r="T171" s="62">
        <f t="shared" si="142"/>
        <v>433.75986949528095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5.304617844275116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5.304617844275116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101.84596222262093</v>
      </c>
      <c r="AO171" s="62">
        <f t="shared" si="144"/>
        <v>348.1343199096911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4.3181474646108926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4.3181474646108926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2">
        <f t="shared" si="140"/>
        <v>38.04140887895133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70">
        <f t="shared" si="110"/>
        <v>616.72566713084029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145.32658437453324</v>
      </c>
      <c r="T172" s="62">
        <f t="shared" si="142"/>
        <v>433.75986949528095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5.2005975238462874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5.2005975238462874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101.84596222262093</v>
      </c>
      <c r="AO172" s="62">
        <f t="shared" si="144"/>
        <v>348.1343199096911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4.2334712266397592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4.2334712266397592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2">
        <f t="shared" si="140"/>
        <v>38.240236326053541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70">
        <f t="shared" si="110"/>
        <v>618.59347826787666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145.32658437453324</v>
      </c>
      <c r="T173" s="62">
        <f t="shared" si="142"/>
        <v>433.75986949528095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5.0986169784549373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5.0986169784549373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101.84596222262093</v>
      </c>
      <c r="AO173" s="62">
        <f t="shared" si="144"/>
        <v>348.1343199096911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4.1504554380478345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4.1504554380478345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2">
        <f t="shared" si="140"/>
        <v>38.438927680599626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70">
        <f t="shared" si="110"/>
        <v>620.46105237704444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145.32658437453324</v>
      </c>
      <c r="T174" s="62">
        <f t="shared" si="142"/>
        <v>433.75986949528095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4.9986362093567207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4.9986362093567207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101.84596222262093</v>
      </c>
      <c r="AO174" s="62">
        <f t="shared" si="144"/>
        <v>348.1343199096911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4.0690675384355659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4.0690675384355659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2">
        <f t="shared" si="140"/>
        <v>38.637483830798757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70">
        <f t="shared" si="110"/>
        <v>622.32839100530805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145.32658437453324</v>
      </c>
      <c r="T175" s="62">
        <f t="shared" si="142"/>
        <v>433.75986949528095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4.9006160021582721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4.9006160021582721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101.84596222262093</v>
      </c>
      <c r="AO175" s="62">
        <f t="shared" si="144"/>
        <v>348.1343199096911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3.9892756058929768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3.9892756058929768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2">
        <f t="shared" si="140"/>
        <v>38.835905653934461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70">
        <f t="shared" si="110"/>
        <v>624.19549568060279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145.32658437453324</v>
      </c>
      <c r="T176" s="62">
        <f t="shared" si="142"/>
        <v>433.75986949528095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4.8045179114365624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4.8045179114365624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101.84596222262093</v>
      </c>
      <c r="AO176" s="62">
        <f t="shared" si="144"/>
        <v>348.1343199096911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3.911048344479275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3.911048344479275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2">
        <f t="shared" si="140"/>
        <v>39.034194016561486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70">
        <f t="shared" si="110"/>
        <v>626.06236791217816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145.32658437453324</v>
      </c>
      <c r="T177" s="62">
        <f t="shared" si="142"/>
        <v>433.75986949528095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4.7103042456598576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4.7103042456598576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101.84596222262093</v>
      </c>
      <c r="AO177" s="62">
        <f t="shared" si="144"/>
        <v>348.1343199096911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3.8343550719479778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3.8343550719479778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2">
        <f t="shared" si="140"/>
        <v>39.232349774697887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70">
        <f t="shared" si="110"/>
        <v>627.92900919093245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145.32658437453324</v>
      </c>
      <c r="T178" s="62">
        <f t="shared" si="142"/>
        <v>433.75986949528095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4.6179380524043721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4.6179380524043721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101.84596222262093</v>
      </c>
      <c r="AO178" s="62">
        <f t="shared" si="144"/>
        <v>348.1343199096911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3.7591657077127416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3.7591657077127416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2">
        <f t="shared" si="140"/>
        <v>39.430373774012395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70">
        <f t="shared" si="110"/>
        <v>629.79542098973843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145.32658437453324</v>
      </c>
      <c r="T179" s="62">
        <f t="shared" si="142"/>
        <v>433.75986949528095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4.5273831038608119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4.5273831038608119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101.84596222262093</v>
      </c>
      <c r="AO179" s="62">
        <f t="shared" si="144"/>
        <v>348.1343199096911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3.6854507610491747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3.6854507610491747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2">
        <f t="shared" si="140"/>
        <v>39.628266850007975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70">
        <f t="shared" si="110"/>
        <v>631.6616047637641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145.32658437453324</v>
      </c>
      <c r="T180" s="62">
        <f t="shared" si="142"/>
        <v>433.75986949528095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4.4386038826251264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4.4386038826251264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101.84596222262093</v>
      </c>
      <c r="AO180" s="62">
        <f t="shared" si="144"/>
        <v>348.1343199096911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3.6131813195280027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3.6131813195280027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2">
        <f t="shared" si="140"/>
        <v>39.826029828200369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70">
        <f t="shared" si="110"/>
        <v>633.52756195078257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145.32658437453324</v>
      </c>
      <c r="T181" s="62">
        <f t="shared" si="142"/>
        <v>433.75986949528095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4.3515655677678939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4.3515655677678939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101.84596222262093</v>
      </c>
      <c r="AO181" s="62">
        <f t="shared" si="144"/>
        <v>348.1343199096911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3.5423290376750542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3.5423290376750542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2">
        <f t="shared" si="140"/>
        <v>40.023663524293241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70">
        <f t="shared" si="110"/>
        <v>635.39329397147765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145.32658437453324</v>
      </c>
      <c r="T182" s="62">
        <f t="shared" si="142"/>
        <v>433.75986949528095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4.2662340211768823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4.2662340211768823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101.84596222262093</v>
      </c>
      <c r="AO182" s="62">
        <f t="shared" si="144"/>
        <v>348.1343199096911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3.4728661258536171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3.4728661258536171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2">
        <f t="shared" si="140"/>
        <v>40.221168744348681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70">
        <f t="shared" si="110"/>
        <v>637.25880222974092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145.32658437453324</v>
      </c>
      <c r="T183" s="62">
        <f t="shared" si="142"/>
        <v>433.75986949528095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4.1825757741674163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4.1825757741674163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101.84596222262093</v>
      </c>
      <c r="AO183" s="62">
        <f t="shared" si="144"/>
        <v>348.1343199096911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3.4047653393648059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3.4047653393648059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2">
        <f t="shared" si="140"/>
        <v>40.418546284954282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70">
        <f t="shared" si="110"/>
        <v>639.12408811296234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145.32658437453324</v>
      </c>
      <c r="T184" s="62">
        <f t="shared" si="142"/>
        <v>433.75986949528095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4.1005580143553138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4.1005580143553138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101.84596222262093</v>
      </c>
      <c r="AO184" s="62">
        <f t="shared" si="144"/>
        <v>348.1343199096911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3.3379999677616619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3.3379999677616619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2">
        <f t="shared" si="140"/>
        <v>40.615796933386079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70">
        <f t="shared" si="110"/>
        <v>640.9891529923143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145.32658437453324</v>
      </c>
      <c r="T185" s="62">
        <f t="shared" si="142"/>
        <v>433.75986949528095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4.0201485727872326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4.0201485727872326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101.84596222262093</v>
      </c>
      <c r="AO185" s="62">
        <f t="shared" si="144"/>
        <v>348.1343199096911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3.2725438243727996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3.2725438243727996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2">
        <f t="shared" si="140"/>
        <v>40.812921467768071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70">
        <f t="shared" si="110"/>
        <v>642.85399822302975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145.32658437453324</v>
      </c>
      <c r="T186" s="62">
        <f t="shared" si="142"/>
        <v>433.75986949528095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3.9413159113233847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3.9413159113233847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101.84596222262093</v>
      </c>
      <c r="AO186" s="62">
        <f t="shared" si="144"/>
        <v>348.1343199096911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3.2083712360314878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3.2083712360314878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2">
        <f t="shared" si="140"/>
        <v>41.00992065722788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70">
        <f t="shared" si="110"/>
        <v>644.71862514467216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145.32658437453324</v>
      </c>
      <c r="T187" s="62">
        <f t="shared" si="142"/>
        <v>433.75986949528095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3.8640291102676669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3.8640291102676669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101.84596222262093</v>
      </c>
      <c r="AO187" s="62">
        <f t="shared" si="144"/>
        <v>348.1343199096911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3.1454570330061351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3.1454570330061351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2">
        <f t="shared" si="140"/>
        <v>41.206795262049248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70">
        <f t="shared" si="110"/>
        <v>646.58303508140284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145.32658437453324</v>
      </c>
      <c r="T188" s="62">
        <f t="shared" si="142"/>
        <v>433.75986949528095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3.7882578562403579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3.7882578562403579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101.84596222262093</v>
      </c>
      <c r="AO188" s="62">
        <f t="shared" si="144"/>
        <v>348.1343199096911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3.0837765391282348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3.0837765391282348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2">
        <f t="shared" si="140"/>
        <v>41.403546033820732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70">
        <f t="shared" si="110"/>
        <v>648.44722934223819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145.32658437453324</v>
      </c>
      <c r="T189" s="62">
        <f t="shared" si="142"/>
        <v>433.75986949528095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3.713972430288623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3.713972430288623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101.84596222262093</v>
      </c>
      <c r="AO189" s="62">
        <f t="shared" si="144"/>
        <v>348.1343199096911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3.0233055621138938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3.0233055621138938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2">
        <f t="shared" si="140"/>
        <v>41.600173715581704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70">
        <f t="shared" si="110"/>
        <v>650.31120922130515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145.32658437453324</v>
      </c>
      <c r="T190" s="62">
        <f t="shared" si="142"/>
        <v>433.75986949528095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3.641143696230166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3.641143696230166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101.84596222262093</v>
      </c>
      <c r="AO190" s="62">
        <f t="shared" si="144"/>
        <v>348.1343199096911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2.96402038407515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2.96402038407515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2">
        <f t="shared" si="140"/>
        <v>41.796679041964389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70">
        <f t="shared" si="110"/>
        <v>652.17497599808837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145.32658437453324</v>
      </c>
      <c r="T191" s="62">
        <f t="shared" si="142"/>
        <v>433.75986949528095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3.5697430892254536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3.5697430892254536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101.84596222262093</v>
      </c>
      <c r="AO191" s="62">
        <f t="shared" si="144"/>
        <v>348.1343199096911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2.9058977522173577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2.9058977522173577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2">
        <f t="shared" si="140"/>
        <v>41.993062739333524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70">
        <f t="shared" si="110"/>
        <v>654.03853093767293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145.32658437453324</v>
      </c>
      <c r="T192" s="62">
        <f t="shared" si="142"/>
        <v>433.75986949528095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3.4997426045740334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3.4997426045740334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101.84596222262093</v>
      </c>
      <c r="AO192" s="62">
        <f t="shared" si="144"/>
        <v>348.1343199096911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2.8489148697189921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2.8489148697189921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2">
        <f t="shared" si="140"/>
        <v>42.189325525922321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70">
        <f t="shared" si="110"/>
        <v>655.90187529098182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145.32658437453324</v>
      </c>
      <c r="T193" s="62">
        <f t="shared" si="142"/>
        <v>433.75986949528095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3.4311147867305478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3.4311147867305478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101.84596222262093</v>
      </c>
      <c r="AO193" s="62">
        <f t="shared" si="144"/>
        <v>348.1343199096911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2.793049386790293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2.793049386790293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2">
        <f t="shared" si="140"/>
        <v>42.385468111966134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70">
        <f t="shared" si="110"/>
        <v>657.7650102950081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145.32658437453324</v>
      </c>
      <c r="T194" s="62">
        <f t="shared" si="142"/>
        <v>433.75986949528095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3.3638327185361376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3.3638327185361376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101.84596222262093</v>
      </c>
      <c r="AO194" s="62">
        <f t="shared" si="144"/>
        <v>348.1343199096911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2.7382793919072457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2.7382793919072457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2">
        <f t="shared" si="140"/>
        <v>42.581491199832726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70">
        <f t="shared" si="110"/>
        <v>659.62793717304248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145.32658437453324</v>
      </c>
      <c r="T195" s="62">
        <f t="shared" si="142"/>
        <v>433.75986949528095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3.2978700106610104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3.2978700106610104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101.84596222262093</v>
      </c>
      <c r="AO195" s="62">
        <f t="shared" si="144"/>
        <v>348.1343199096911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2.6845834032174567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2.6845834032174567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2">
        <f t="shared" si="140"/>
        <v>42.777395484149835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70">
        <f t="shared" ref="H196:H203" si="192">(B196+E196+F196)*44/12+(C196+D196)*0.475*44/12</f>
        <v>661.49065713489483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145.32658437453324</v>
      </c>
      <c r="T196" s="62">
        <f t="shared" si="142"/>
        <v>433.75986949528095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3.2332007912540353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3.2332007912540353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101.84596222262093</v>
      </c>
      <c r="AO196" s="62">
        <f t="shared" si="144"/>
        <v>348.1343199096911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2.6319403601145552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2.6319403601145552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2">
        <f t="shared" ref="D197:D203" si="202">IFERROR(EXP(-1.0587+0.8836*LN(C197)+0.284),0)</f>
        <v>42.97318165193041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70">
        <f t="shared" si="192"/>
        <v>663.35317137711263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145.32658437453324</v>
      </c>
      <c r="T197" s="62">
        <f t="shared" ref="T197:T203" si="204">$T$3</f>
        <v>433.75986949528095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3.1697996957953016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3.1697996957953016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101.84596222262093</v>
      </c>
      <c r="AO197" s="62">
        <f t="shared" ref="AO197:AO203" si="205">$AO$3</f>
        <v>348.1343199096911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2.5803296149778157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2.5803296149778157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2">
        <f t="shared" si="202"/>
        <v>43.168850382694565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70">
        <f t="shared" si="192"/>
        <v>665.21548108319348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145.32658437453324</v>
      </c>
      <c r="T198" s="62">
        <f t="shared" si="204"/>
        <v>433.75986949528095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3.1076418571476641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3.1076418571476641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101.84596222262093</v>
      </c>
      <c r="AO198" s="62">
        <f t="shared" si="205"/>
        <v>348.1343199096911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2.5297309250737614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2.5297309250737614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2">
        <f t="shared" si="202"/>
        <v>43.364402348589593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70">
        <f t="shared" si="192"/>
        <v>667.07758742379417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145.32658437453324</v>
      </c>
      <c r="T199" s="62">
        <f t="shared" si="204"/>
        <v>433.75986949528095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3.0467028958033686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3.0467028958033686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101.84596222262093</v>
      </c>
      <c r="AO199" s="62">
        <f t="shared" si="205"/>
        <v>348.1343199096911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2.4801244446165724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2.4801244446165724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2">
        <f t="shared" si="202"/>
        <v>43.559838214507067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70">
        <f t="shared" si="192"/>
        <v>668.93949155693372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145.32658437453324</v>
      </c>
      <c r="T200" s="62">
        <f t="shared" si="204"/>
        <v>433.75986949528095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2.9869589103219387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2.9869589103219387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101.84596222262093</v>
      </c>
      <c r="AO200" s="62">
        <f t="shared" si="205"/>
        <v>348.1343199096911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2.4314907169841833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2.4314907169841833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2">
        <f t="shared" si="202"/>
        <v>43.755158638197358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70">
        <f t="shared" si="192"/>
        <v>670.80119462819425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145.32658437453324</v>
      </c>
      <c r="T201" s="62">
        <f t="shared" si="204"/>
        <v>433.75986949528095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2.9283864679555665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2.9283864679555665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101.84596222262093</v>
      </c>
      <c r="AO201" s="62">
        <f t="shared" si="205"/>
        <v>348.1343199096911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2.3838106670870207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2.3838106670870207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2">
        <f t="shared" si="202"/>
        <v>43.950364270382373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70">
        <f t="shared" si="192"/>
        <v>672.66269777091657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145.32658437453324</v>
      </c>
      <c r="T202" s="62">
        <f t="shared" si="204"/>
        <v>433.75986949528095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2.8709625954583364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2.8709625954583364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101.84596222262093</v>
      </c>
      <c r="AO202" s="62">
        <f t="shared" si="205"/>
        <v>348.1343199096911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2.3370655938863827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2.3370655938863827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2">
        <f t="shared" si="202"/>
        <v>44.145455754865324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70">
        <f t="shared" si="192"/>
        <v>674.52400210639098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145.32658437453324</v>
      </c>
      <c r="T203" s="62">
        <f t="shared" si="204"/>
        <v>433.75986949528095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2.8146647700756735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2.8146647700756735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101.84596222262093</v>
      </c>
      <c r="AO203" s="62">
        <f t="shared" si="205"/>
        <v>348.1343199096911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2.2912371630595296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2.2912371630595296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1.3076604860118306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1.4351888878844894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44" workbookViewId="0">
      <selection activeCell="C39" sqref="C39:C61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M19" sqref="M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3</v>
      </c>
      <c r="C6" s="156">
        <f ca="1">IF(OR('Données projet'!B9="",'Données projet'!C9="",'Données projet'!C9=0%),0,Calculateur!S3)</f>
        <v>145.32658437453324</v>
      </c>
      <c r="D6" s="156">
        <f>IF(OR('Données projet'!B9="",'Données projet'!C9="",'Données projet'!C9=0%),0,Calculateur!T3)</f>
        <v>433.75986949528095</v>
      </c>
      <c r="E6" s="156">
        <f ca="1">MIN(C6,D6)</f>
        <v>145.32658437453324</v>
      </c>
      <c r="F6" s="156">
        <f ca="1">E6*B6</f>
        <v>435.97975312359972</v>
      </c>
      <c r="G6" s="156">
        <f ca="1">F6*(100%-'Données projet'!$C$24)*(100%-'Données projet'!$C$25)*(100%-'Données projet'!$C$26)*(100%-'Données projet'!$C$27)</f>
        <v>392.38177781123977</v>
      </c>
      <c r="H6" s="157">
        <f>IF(OR('Données projet'!B9="",'Données projet'!C9="",'Données projet'!C9=0%),0,AVERAGE(Calculateur!$AC$3:$AC$33)*B6)</f>
        <v>115.89697374061413</v>
      </c>
      <c r="I6" s="158">
        <f>H6*(100%-'Données projet'!$C$24)*(100%-'Données projet'!$C$25)*(100%-'Données projet'!$C$26)*(100%-'Données projet'!$C$27)</f>
        <v>104.30727636655271</v>
      </c>
      <c r="J6" s="159">
        <f>IF(OR('Données projet'!B9="",'Données projet'!C9="",'Données projet'!C9=0%),0,SUM(Calculateur!$V$3:$V$33)*VLOOKUP('Données projet'!$B$9,Paramètres!$A$1:$I$89,9,0)*B6)</f>
        <v>1316.3400000000001</v>
      </c>
      <c r="K6" s="160">
        <f>J6*(100%-'Données projet'!$C$24)*(100%-'Données projet'!$C$25)*(100%-'Données projet'!$C$26)*(100%-'Données projet'!$C$27)</f>
        <v>1184.7060000000001</v>
      </c>
      <c r="L6" s="161">
        <f ca="1">G6+I6+K6</f>
        <v>1681.3950541777926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Raspalje</v>
      </c>
      <c r="B7" s="163">
        <f>'Données projet'!D10</f>
        <v>1</v>
      </c>
      <c r="C7" s="156">
        <f ca="1">IF(OR('Données projet'!B10="",'Données projet'!C10="",'Données projet'!C10=0%),0,Calculateur!AN3)</f>
        <v>101.84596222262093</v>
      </c>
      <c r="D7" s="156">
        <f>IF(OR('Données projet'!B10="",'Données projet'!C10="",'Données projet'!C10=0%),0,Calculateur!AO3)</f>
        <v>348.1343199096911</v>
      </c>
      <c r="E7" s="156">
        <f t="shared" ref="E7:E15" ca="1" si="0">MIN(C7,D7)</f>
        <v>101.84596222262093</v>
      </c>
      <c r="F7" s="156">
        <f t="shared" ref="F7:F15" ca="1" si="1">E7*B7</f>
        <v>101.84596222262093</v>
      </c>
      <c r="G7" s="156">
        <f ca="1">F7*(100%-'Données projet'!$C$24)*(100%-'Données projet'!$C$25)*(100%-'Données projet'!$C$26)*(100%-'Données projet'!$C$27)</f>
        <v>91.661366000358839</v>
      </c>
      <c r="H7" s="164">
        <f>IF(OR('Données projet'!B10="",'Données projet'!C10="",'Données projet'!C10=0%),0,AVERAGE(Calculateur!$AX$3:$AX$33)*B7)</f>
        <v>31.448085297619041</v>
      </c>
      <c r="I7" s="158">
        <f>H7*(100%-'Données projet'!$C$24)*(100%-'Données projet'!$C$25)*(100%-'Données projet'!$C$26)*(100%-'Données projet'!$C$27)</f>
        <v>28.303276767857138</v>
      </c>
      <c r="J7" s="159">
        <f>IF(OR('Données projet'!B10="",'Données projet'!C10="",'Données projet'!C10=0%),0,SUM(Calculateur!$AQ$3:$AQ$33)*VLOOKUP('Données projet'!$B$10,Paramètres!$A$1:$I$89,9,0)*B7)</f>
        <v>360.5</v>
      </c>
      <c r="K7" s="160">
        <f>J7*(100%-'Données projet'!$C$24)*(100%-'Données projet'!$C$25)*(100%-'Données projet'!$C$26)*(100%-'Données projet'!$C$27)</f>
        <v>324.45</v>
      </c>
      <c r="L7" s="161">
        <f t="shared" ref="L7:L15" ca="1" si="2">G7+I7+K7</f>
        <v>444.41464276821597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537.8257153462207</v>
      </c>
      <c r="G16" s="175">
        <f t="shared" ca="1" si="3"/>
        <v>484.04314381159861</v>
      </c>
      <c r="H16" s="176">
        <f t="shared" si="3"/>
        <v>147.34505903823316</v>
      </c>
      <c r="I16" s="176">
        <f t="shared" si="3"/>
        <v>132.61055313440986</v>
      </c>
      <c r="J16" s="177">
        <f t="shared" si="3"/>
        <v>1676.8400000000001</v>
      </c>
      <c r="K16" s="177">
        <f t="shared" si="3"/>
        <v>1509.1560000000002</v>
      </c>
      <c r="L16" s="178">
        <f t="shared" ca="1" si="3"/>
        <v>2125.8096969460084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Raspalje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0" zoomScale="80" zoomScaleNormal="80" workbookViewId="0">
      <selection activeCell="N19" sqref="N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7715.7182851538737</v>
      </c>
      <c r="U10" s="190">
        <f>'Données projet'!D9</f>
        <v>3</v>
      </c>
      <c r="V10" s="189">
        <f>U10*T10</f>
        <v>23147.15485546162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Raspalje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6339.2051638588164</v>
      </c>
      <c r="U11" s="190">
        <f>'Données projet'!D10</f>
        <v>1</v>
      </c>
      <c r="V11" s="189">
        <f t="shared" ref="V11" si="0">U11*T11</f>
        <v>6339.2051638588164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80.000000000000099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2400.0000000000032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7594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6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-889.63998067956345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7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283.7709912729988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8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-1173.4109719525622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9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10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11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12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13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14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15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16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17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18</v>
      </c>
      <c r="B35" s="193">
        <f>'Données projet'!D48</f>
        <v>426</v>
      </c>
      <c r="C35" s="206">
        <v>40</v>
      </c>
      <c r="D35" s="194">
        <f t="shared" si="2"/>
        <v>17040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Raspalje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8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9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11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12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13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14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15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16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17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18</v>
      </c>
      <c r="B64" s="193">
        <f>'Données projet'!D72</f>
        <v>350</v>
      </c>
      <c r="C64" s="204">
        <v>40</v>
      </c>
      <c r="D64" s="191">
        <f t="shared" si="4"/>
        <v>14000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2022-11-25T13:49:19Z</dcterms:modified>
</cp:coreProperties>
</file>