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Dossier reboisement Andres\"/>
    </mc:Choice>
  </mc:AlternateContent>
  <xr:revisionPtr revIDLastSave="0" documentId="13_ncr:1_{AFE67390-0B9F-4F3C-A3ED-B5CDB8D23E1D}" xr6:coauthVersionLast="47" xr6:coauthVersionMax="47" xr10:uidLastSave="{00000000-0000-0000-0000-000000000000}"/>
  <bookViews>
    <workbookView xWindow="28680" yWindow="-120" windowWidth="29040" windowHeight="15840" tabRatio="86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Y163" i="2" s="1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HG202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<sst xmlns="http://schemas.openxmlformats.org/spreadsheetml/2006/main" count="1172" uniqueCount="324">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</sst>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139.86706331239944</c:v>
                </c:pt>
                <c:pt idx="22">
                  <c:v>153.07440627470763</c:v>
                </c:pt>
                <c:pt idx="23">
                  <c:v>166.25463305956598</c:v>
                </c:pt>
                <c:pt idx="24">
                  <c:v>179.41019776275084</c:v>
                </c:pt>
                <c:pt idx="25">
                  <c:v>192.54316466070134</c:v>
                </c:pt>
                <c:pt idx="26">
                  <c:v>158.20312733333313</c:v>
                </c:pt>
                <c:pt idx="27">
                  <c:v>175.02761536134474</c:v>
                </c:pt>
                <c:pt idx="28">
                  <c:v>191.81411712876402</c:v>
                </c:pt>
                <c:pt idx="29">
                  <c:v>208.56642615430928</c:v>
                </c:pt>
                <c:pt idx="30">
                  <c:v>225.28767604319731</c:v>
                </c:pt>
                <c:pt idx="31">
                  <c:v>194.0010672384883</c:v>
                </c:pt>
                <c:pt idx="32">
                  <c:v>213.65866040016559</c:v>
                </c:pt>
                <c:pt idx="33">
                  <c:v>233.27460027305116</c:v>
                </c:pt>
                <c:pt idx="34">
                  <c:v>252.85288210026226</c:v>
                </c:pt>
                <c:pt idx="35">
                  <c:v>272.39683147829243</c:v>
                </c:pt>
                <c:pt idx="36">
                  <c:v>241.9804968286094</c:v>
                </c:pt>
                <c:pt idx="37">
                  <c:v>262.26703366253628</c:v>
                </c:pt>
                <c:pt idx="38">
                  <c:v>282.51816051208363</c:v>
                </c:pt>
                <c:pt idx="39">
                  <c:v>302.73677181781744</c:v>
                </c:pt>
                <c:pt idx="40">
                  <c:v>322.92534379451826</c:v>
                </c:pt>
                <c:pt idx="41">
                  <c:v>292.99240696074895</c:v>
                </c:pt>
                <c:pt idx="42">
                  <c:v>313.55567069110168</c:v>
                </c:pt>
                <c:pt idx="43">
                  <c:v>334.08903883375007</c:v>
                </c:pt>
                <c:pt idx="44">
                  <c:v>354.59460634776502</c:v>
                </c:pt>
                <c:pt idx="45">
                  <c:v>375.07420618051674</c:v>
                </c:pt>
                <c:pt idx="46">
                  <c:v>344.52504925832596</c:v>
                </c:pt>
                <c:pt idx="47">
                  <c:v>364.29860280650678</c:v>
                </c:pt>
                <c:pt idx="48">
                  <c:v>384.04871588248369</c:v>
                </c:pt>
                <c:pt idx="49">
                  <c:v>403.77676289014676</c:v>
                </c:pt>
                <c:pt idx="50">
                  <c:v>423.48397302905886</c:v>
                </c:pt>
                <c:pt idx="51">
                  <c:v>391.58377731754803</c:v>
                </c:pt>
                <c:pt idx="52">
                  <c:v>409.870253510586</c:v>
                </c:pt>
                <c:pt idx="53">
                  <c:v>428.1391190250547</c:v>
                </c:pt>
                <c:pt idx="54">
                  <c:v>446.39123070522641</c:v>
                </c:pt>
                <c:pt idx="55">
                  <c:v>464.62736964269283</c:v>
                </c:pt>
                <c:pt idx="56">
                  <c:v>431.36127413252484</c:v>
                </c:pt>
                <c:pt idx="57">
                  <c:v>448.1797816290819</c:v>
                </c:pt>
                <c:pt idx="58">
                  <c:v>464.98478623960131</c:v>
                </c:pt>
                <c:pt idx="59">
                  <c:v>481.77684446495124</c:v>
                </c:pt>
                <c:pt idx="60">
                  <c:v>498.55647086626527</c:v>
                </c:pt>
                <c:pt idx="61">
                  <c:v>464.2699471814667</c:v>
                </c:pt>
                <c:pt idx="62">
                  <c:v>479.99105490653511</c:v>
                </c:pt>
                <c:pt idx="63">
                  <c:v>495.70122118881324</c:v>
                </c:pt>
                <c:pt idx="64">
                  <c:v>511.40084148822439</c:v>
                </c:pt>
                <c:pt idx="65">
                  <c:v>527.09028501417208</c:v>
                </c:pt>
                <c:pt idx="66">
                  <c:v>491.77468328265195</c:v>
                </c:pt>
                <c:pt idx="67">
                  <c:v>506.40662874127952</c:v>
                </c:pt>
                <c:pt idx="68">
                  <c:v>521.02963842518272</c:v>
                </c:pt>
                <c:pt idx="69">
                  <c:v>535.64399835878714</c:v>
                </c:pt>
                <c:pt idx="70">
                  <c:v>550.24997769212484</c:v>
                </c:pt>
                <c:pt idx="71">
                  <c:v>513.89756085284455</c:v>
                </c:pt>
                <c:pt idx="72">
                  <c:v>527.44674775244675</c:v>
                </c:pt>
                <c:pt idx="73">
                  <c:v>540.9886077852442</c:v>
                </c:pt>
                <c:pt idx="74">
                  <c:v>554.52335013925483</c:v>
                </c:pt>
                <c:pt idx="75">
                  <c:v>568.05117296149115</c:v>
                </c:pt>
                <c:pt idx="76">
                  <c:v>531.01109674664542</c:v>
                </c:pt>
                <c:pt idx="77">
                  <c:v>543.83861192085692</c:v>
                </c:pt>
                <c:pt idx="78">
                  <c:v>556.65977724898164</c:v>
                </c:pt>
                <c:pt idx="79">
                  <c:v>569.4747595509881</c:v>
                </c:pt>
                <c:pt idx="80">
                  <c:v>582.28371752891621</c:v>
                </c:pt>
                <c:pt idx="81">
                  <c:v>544.55106389111097</c:v>
                </c:pt>
                <c:pt idx="82">
                  <c:v>556.65977724898164</c:v>
                </c:pt>
                <c:pt idx="83">
                  <c:v>568.76297556535803</c:v>
                </c:pt>
                <c:pt idx="84">
                  <c:v>580.86079271099538</c:v>
                </c:pt>
                <c:pt idx="85">
                  <c:v>592.95335652703079</c:v>
                </c:pt>
                <c:pt idx="86">
                  <c:v>554.52335013925483</c:v>
                </c:pt>
                <c:pt idx="87">
                  <c:v>565.91565317360812</c:v>
                </c:pt>
                <c:pt idx="88">
                  <c:v>577.3031621395595</c:v>
                </c:pt>
                <c:pt idx="89">
                  <c:v>588.68598491201885</c:v>
                </c:pt>
                <c:pt idx="90">
                  <c:v>600.06422485487678</c:v>
                </c:pt>
                <c:pt idx="91">
                  <c:v>561.28811451546574</c:v>
                </c:pt>
                <c:pt idx="92">
                  <c:v>572.32170984162212</c:v>
                </c:pt>
                <c:pt idx="93">
                  <c:v>583.35086355242277</c:v>
                </c:pt>
                <c:pt idx="94">
                  <c:v>594.37567144551701</c:v>
                </c:pt>
                <c:pt idx="95">
                  <c:v>605.39622547563874</c:v>
                </c:pt>
                <c:pt idx="96">
                  <c:v>565.55971684392978</c:v>
                </c:pt>
                <c:pt idx="97">
                  <c:v>575.52417545438084</c:v>
                </c:pt>
                <c:pt idx="98">
                  <c:v>585.4850335942682</c:v>
                </c:pt>
                <c:pt idx="99">
                  <c:v>595.44236114883586</c:v>
                </c:pt>
                <c:pt idx="100">
                  <c:v>605.39622547563897</c:v>
                </c:pt>
                <c:pt idx="101">
                  <c:v>566.98343408818027</c:v>
                </c:pt>
                <c:pt idx="102">
                  <c:v>576.59158121605947</c:v>
                </c:pt>
                <c:pt idx="103">
                  <c:v>586.19638755057997</c:v>
                </c:pt>
                <c:pt idx="104">
                  <c:v>595.79791554499843</c:v>
                </c:pt>
                <c:pt idx="105">
                  <c:v>605.39622547563874</c:v>
                </c:pt>
                <c:pt idx="106">
                  <c:v>568.05117296149081</c:v>
                </c:pt>
                <c:pt idx="107">
                  <c:v>576.94737396741823</c:v>
                </c:pt>
                <c:pt idx="108">
                  <c:v>585.84071282237755</c:v>
                </c:pt>
                <c:pt idx="109">
                  <c:v>594.73123910211143</c:v>
                </c:pt>
                <c:pt idx="110">
                  <c:v>603.61900077928851</c:v>
                </c:pt>
                <c:pt idx="111">
                  <c:v>567.6952646693934</c:v>
                </c:pt>
                <c:pt idx="112">
                  <c:v>576.23578388225576</c:v>
                </c:pt>
                <c:pt idx="113">
                  <c:v>584.77366162583451</c:v>
                </c:pt>
                <c:pt idx="114">
                  <c:v>593.30894190652873</c:v>
                </c:pt>
                <c:pt idx="115">
                  <c:v>601.84166736128896</c:v>
                </c:pt>
                <c:pt idx="116">
                  <c:v>559.15205854563135</c:v>
                </c:pt>
                <c:pt idx="117">
                  <c:v>559.15205854563135</c:v>
                </c:pt>
                <c:pt idx="118">
                  <c:v>559.15205854563135</c:v>
                </c:pt>
                <c:pt idx="119">
                  <c:v>559.15205854563135</c:v>
                </c:pt>
                <c:pt idx="120">
                  <c:v>559.15205854563135</c:v>
                </c:pt>
                <c:pt idx="121">
                  <c:v>559.15205854563135</c:v>
                </c:pt>
                <c:pt idx="122">
                  <c:v>559.15205854563135</c:v>
                </c:pt>
                <c:pt idx="123">
                  <c:v>559.15205854563135</c:v>
                </c:pt>
                <c:pt idx="124">
                  <c:v>559.15205854563135</c:v>
                </c:pt>
                <c:pt idx="125">
                  <c:v>559.15205854563135</c:v>
                </c:pt>
                <c:pt idx="126">
                  <c:v>559.15205854563135</c:v>
                </c:pt>
                <c:pt idx="127">
                  <c:v>559.15205854563135</c:v>
                </c:pt>
                <c:pt idx="128">
                  <c:v>559.15205854563135</c:v>
                </c:pt>
                <c:pt idx="129">
                  <c:v>559.15205854563135</c:v>
                </c:pt>
                <c:pt idx="130">
                  <c:v>559.15205854563135</c:v>
                </c:pt>
                <c:pt idx="131">
                  <c:v>559.15205854563135</c:v>
                </c:pt>
                <c:pt idx="132">
                  <c:v>559.15205854563135</c:v>
                </c:pt>
                <c:pt idx="133">
                  <c:v>559.15205854563135</c:v>
                </c:pt>
                <c:pt idx="134">
                  <c:v>559.15205854563135</c:v>
                </c:pt>
                <c:pt idx="135">
                  <c:v>559.15205854563135</c:v>
                </c:pt>
                <c:pt idx="136">
                  <c:v>559.15205854563135</c:v>
                </c:pt>
                <c:pt idx="137">
                  <c:v>559.15205854563135</c:v>
                </c:pt>
                <c:pt idx="138">
                  <c:v>559.15205854563135</c:v>
                </c:pt>
                <c:pt idx="139">
                  <c:v>559.15205854563135</c:v>
                </c:pt>
                <c:pt idx="140">
                  <c:v>559.15205854563135</c:v>
                </c:pt>
                <c:pt idx="141">
                  <c:v>559.15205854563135</c:v>
                </c:pt>
                <c:pt idx="142">
                  <c:v>559.15205854563135</c:v>
                </c:pt>
                <c:pt idx="143">
                  <c:v>559.15205854563135</c:v>
                </c:pt>
                <c:pt idx="144">
                  <c:v>559.15205854563135</c:v>
                </c:pt>
                <c:pt idx="145">
                  <c:v>559.15205854563135</c:v>
                </c:pt>
                <c:pt idx="146">
                  <c:v>559.15205854563135</c:v>
                </c:pt>
                <c:pt idx="147">
                  <c:v>559.15205854563135</c:v>
                </c:pt>
                <c:pt idx="148">
                  <c:v>559.15205854563135</c:v>
                </c:pt>
                <c:pt idx="149">
                  <c:v>559.15205854563135</c:v>
                </c:pt>
                <c:pt idx="150">
                  <c:v>559.15205854563135</c:v>
                </c:pt>
                <c:pt idx="151">
                  <c:v>559.15205854563135</c:v>
                </c:pt>
                <c:pt idx="152">
                  <c:v>559.15205854563135</c:v>
                </c:pt>
                <c:pt idx="153">
                  <c:v>559.15205854563135</c:v>
                </c:pt>
                <c:pt idx="154">
                  <c:v>559.15205854563135</c:v>
                </c:pt>
                <c:pt idx="155">
                  <c:v>559.15205854563135</c:v>
                </c:pt>
                <c:pt idx="156">
                  <c:v>559.15205854563135</c:v>
                </c:pt>
                <c:pt idx="157">
                  <c:v>559.15205854563135</c:v>
                </c:pt>
                <c:pt idx="158">
                  <c:v>559.15205854563135</c:v>
                </c:pt>
                <c:pt idx="159">
                  <c:v>559.15205854563135</c:v>
                </c:pt>
                <c:pt idx="160">
                  <c:v>559.15205854563135</c:v>
                </c:pt>
                <c:pt idx="161">
                  <c:v>559.15205854563135</c:v>
                </c:pt>
                <c:pt idx="162">
                  <c:v>559.15205854563135</c:v>
                </c:pt>
                <c:pt idx="163">
                  <c:v>559.15205854563135</c:v>
                </c:pt>
                <c:pt idx="164">
                  <c:v>559.15205854563135</c:v>
                </c:pt>
                <c:pt idx="165">
                  <c:v>559.15205854563135</c:v>
                </c:pt>
                <c:pt idx="166">
                  <c:v>559.15205854563135</c:v>
                </c:pt>
                <c:pt idx="167">
                  <c:v>559.15205854563135</c:v>
                </c:pt>
                <c:pt idx="168">
                  <c:v>559.15205854563135</c:v>
                </c:pt>
                <c:pt idx="169">
                  <c:v>559.15205854563135</c:v>
                </c:pt>
                <c:pt idx="170">
                  <c:v>559.15205854563135</c:v>
                </c:pt>
                <c:pt idx="171">
                  <c:v>559.15205854563135</c:v>
                </c:pt>
                <c:pt idx="172">
                  <c:v>559.15205854563135</c:v>
                </c:pt>
                <c:pt idx="173">
                  <c:v>559.15205854563135</c:v>
                </c:pt>
                <c:pt idx="174">
                  <c:v>559.15205854563135</c:v>
                </c:pt>
                <c:pt idx="175">
                  <c:v>559.15205854563135</c:v>
                </c:pt>
                <c:pt idx="176">
                  <c:v>559.15205854563135</c:v>
                </c:pt>
                <c:pt idx="177">
                  <c:v>559.15205854563135</c:v>
                </c:pt>
                <c:pt idx="178">
                  <c:v>559.15205854563135</c:v>
                </c:pt>
                <c:pt idx="179">
                  <c:v>559.15205854563135</c:v>
                </c:pt>
                <c:pt idx="180">
                  <c:v>559.15205854563135</c:v>
                </c:pt>
                <c:pt idx="181">
                  <c:v>559.15205854563135</c:v>
                </c:pt>
                <c:pt idx="182">
                  <c:v>559.15205854563135</c:v>
                </c:pt>
                <c:pt idx="183">
                  <c:v>559.15205854563135</c:v>
                </c:pt>
                <c:pt idx="184">
                  <c:v>559.15205854563135</c:v>
                </c:pt>
                <c:pt idx="185">
                  <c:v>559.15205854563135</c:v>
                </c:pt>
                <c:pt idx="186">
                  <c:v>559.15205854563135</c:v>
                </c:pt>
                <c:pt idx="187">
                  <c:v>559.15205854563135</c:v>
                </c:pt>
                <c:pt idx="188">
                  <c:v>559.15205854563135</c:v>
                </c:pt>
                <c:pt idx="189">
                  <c:v>559.15205854563135</c:v>
                </c:pt>
                <c:pt idx="190">
                  <c:v>559.15205854563135</c:v>
                </c:pt>
                <c:pt idx="191">
                  <c:v>559.15205854563135</c:v>
                </c:pt>
                <c:pt idx="192">
                  <c:v>559.15205854563135</c:v>
                </c:pt>
                <c:pt idx="193">
                  <c:v>559.15205854563135</c:v>
                </c:pt>
                <c:pt idx="194">
                  <c:v>559.15205854563135</c:v>
                </c:pt>
                <c:pt idx="195">
                  <c:v>559.15205854563135</c:v>
                </c:pt>
                <c:pt idx="196">
                  <c:v>559.15205854563135</c:v>
                </c:pt>
                <c:pt idx="197">
                  <c:v>559.15205854563135</c:v>
                </c:pt>
                <c:pt idx="198">
                  <c:v>559.15205854563135</c:v>
                </c:pt>
                <c:pt idx="199">
                  <c:v>559.15205854563135</c:v>
                </c:pt>
                <c:pt idx="200">
                  <c:v>559.15205854563135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543.24488697768527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567.45798988344666</c:v>
                </c:pt>
                <c:pt idx="81">
                  <c:v>548.96387316130563</c:v>
                </c:pt>
                <c:pt idx="82">
                  <c:v>548.96387316130563</c:v>
                </c:pt>
                <c:pt idx="83">
                  <c:v>548.96387316130563</c:v>
                </c:pt>
                <c:pt idx="84">
                  <c:v>548.96387316130563</c:v>
                </c:pt>
                <c:pt idx="85">
                  <c:v>548.96387316130563</c:v>
                </c:pt>
                <c:pt idx="86">
                  <c:v>548.96387316130563</c:v>
                </c:pt>
                <c:pt idx="87">
                  <c:v>548.96387316130563</c:v>
                </c:pt>
                <c:pt idx="88">
                  <c:v>548.96387316130563</c:v>
                </c:pt>
                <c:pt idx="89">
                  <c:v>548.96387316130563</c:v>
                </c:pt>
                <c:pt idx="90">
                  <c:v>548.96387316130563</c:v>
                </c:pt>
                <c:pt idx="91">
                  <c:v>548.96387316130563</c:v>
                </c:pt>
                <c:pt idx="92">
                  <c:v>548.96387316130563</c:v>
                </c:pt>
                <c:pt idx="93">
                  <c:v>548.96387316130563</c:v>
                </c:pt>
                <c:pt idx="94">
                  <c:v>548.96387316130563</c:v>
                </c:pt>
                <c:pt idx="95">
                  <c:v>548.96387316130563</c:v>
                </c:pt>
                <c:pt idx="96">
                  <c:v>548.96387316130563</c:v>
                </c:pt>
                <c:pt idx="97">
                  <c:v>548.96387316130563</c:v>
                </c:pt>
                <c:pt idx="98">
                  <c:v>548.96387316130563</c:v>
                </c:pt>
                <c:pt idx="99">
                  <c:v>548.96387316130563</c:v>
                </c:pt>
                <c:pt idx="100">
                  <c:v>548.96387316130563</c:v>
                </c:pt>
                <c:pt idx="101">
                  <c:v>548.96387316130563</c:v>
                </c:pt>
                <c:pt idx="102">
                  <c:v>548.96387316130563</c:v>
                </c:pt>
                <c:pt idx="103">
                  <c:v>548.96387316130563</c:v>
                </c:pt>
                <c:pt idx="104">
                  <c:v>548.96387316130563</c:v>
                </c:pt>
                <c:pt idx="105">
                  <c:v>548.96387316130563</c:v>
                </c:pt>
                <c:pt idx="106">
                  <c:v>548.96387316130563</c:v>
                </c:pt>
                <c:pt idx="107">
                  <c:v>548.96387316130563</c:v>
                </c:pt>
                <c:pt idx="108">
                  <c:v>548.96387316130563</c:v>
                </c:pt>
                <c:pt idx="109">
                  <c:v>548.96387316130563</c:v>
                </c:pt>
                <c:pt idx="110">
                  <c:v>548.96387316130563</c:v>
                </c:pt>
                <c:pt idx="111">
                  <c:v>548.96387316130563</c:v>
                </c:pt>
                <c:pt idx="112">
                  <c:v>548.96387316130563</c:v>
                </c:pt>
                <c:pt idx="113">
                  <c:v>548.96387316130563</c:v>
                </c:pt>
                <c:pt idx="114">
                  <c:v>548.96387316130563</c:v>
                </c:pt>
                <c:pt idx="115">
                  <c:v>548.96387316130563</c:v>
                </c:pt>
                <c:pt idx="116">
                  <c:v>548.96387316130563</c:v>
                </c:pt>
                <c:pt idx="117">
                  <c:v>548.96387316130563</c:v>
                </c:pt>
                <c:pt idx="118">
                  <c:v>548.96387316130563</c:v>
                </c:pt>
                <c:pt idx="119">
                  <c:v>548.96387316130563</c:v>
                </c:pt>
                <c:pt idx="120">
                  <c:v>548.96387316130563</c:v>
                </c:pt>
                <c:pt idx="121">
                  <c:v>548.96387316130563</c:v>
                </c:pt>
                <c:pt idx="122">
                  <c:v>548.96387316130563</c:v>
                </c:pt>
                <c:pt idx="123">
                  <c:v>548.96387316130563</c:v>
                </c:pt>
                <c:pt idx="124">
                  <c:v>548.96387316130563</c:v>
                </c:pt>
                <c:pt idx="125">
                  <c:v>548.96387316130563</c:v>
                </c:pt>
                <c:pt idx="126">
                  <c:v>548.96387316130563</c:v>
                </c:pt>
                <c:pt idx="127">
                  <c:v>548.96387316130563</c:v>
                </c:pt>
                <c:pt idx="128">
                  <c:v>548.96387316130563</c:v>
                </c:pt>
                <c:pt idx="129">
                  <c:v>548.96387316130563</c:v>
                </c:pt>
                <c:pt idx="130">
                  <c:v>548.96387316130563</c:v>
                </c:pt>
                <c:pt idx="131">
                  <c:v>548.96387316130563</c:v>
                </c:pt>
                <c:pt idx="132">
                  <c:v>548.96387316130563</c:v>
                </c:pt>
                <c:pt idx="133">
                  <c:v>548.96387316130563</c:v>
                </c:pt>
                <c:pt idx="134">
                  <c:v>548.96387316130563</c:v>
                </c:pt>
                <c:pt idx="135">
                  <c:v>548.96387316130563</c:v>
                </c:pt>
                <c:pt idx="136">
                  <c:v>548.96387316130563</c:v>
                </c:pt>
                <c:pt idx="137">
                  <c:v>548.96387316130563</c:v>
                </c:pt>
                <c:pt idx="138">
                  <c:v>548.96387316130563</c:v>
                </c:pt>
                <c:pt idx="139">
                  <c:v>548.96387316130563</c:v>
                </c:pt>
                <c:pt idx="140">
                  <c:v>548.96387316130563</c:v>
                </c:pt>
                <c:pt idx="141">
                  <c:v>548.96387316130563</c:v>
                </c:pt>
                <c:pt idx="142">
                  <c:v>548.96387316130563</c:v>
                </c:pt>
                <c:pt idx="143">
                  <c:v>548.96387316130563</c:v>
                </c:pt>
                <c:pt idx="144">
                  <c:v>548.96387316130563</c:v>
                </c:pt>
                <c:pt idx="145">
                  <c:v>548.96387316130563</c:v>
                </c:pt>
                <c:pt idx="146">
                  <c:v>548.96387316130563</c:v>
                </c:pt>
                <c:pt idx="147">
                  <c:v>548.96387316130563</c:v>
                </c:pt>
                <c:pt idx="148">
                  <c:v>548.96387316130563</c:v>
                </c:pt>
                <c:pt idx="149">
                  <c:v>548.96387316130563</c:v>
                </c:pt>
                <c:pt idx="150">
                  <c:v>548.96387316130563</c:v>
                </c:pt>
                <c:pt idx="151">
                  <c:v>548.96387316130563</c:v>
                </c:pt>
                <c:pt idx="152">
                  <c:v>548.96387316130563</c:v>
                </c:pt>
                <c:pt idx="153">
                  <c:v>548.96387316130563</c:v>
                </c:pt>
                <c:pt idx="154">
                  <c:v>548.96387316130563</c:v>
                </c:pt>
                <c:pt idx="155">
                  <c:v>548.96387316130563</c:v>
                </c:pt>
                <c:pt idx="156">
                  <c:v>548.96387316130563</c:v>
                </c:pt>
                <c:pt idx="157">
                  <c:v>548.96387316130563</c:v>
                </c:pt>
                <c:pt idx="158">
                  <c:v>548.96387316130563</c:v>
                </c:pt>
                <c:pt idx="159">
                  <c:v>548.96387316130563</c:v>
                </c:pt>
                <c:pt idx="160">
                  <c:v>548.96387316130563</c:v>
                </c:pt>
                <c:pt idx="161">
                  <c:v>548.96387316130563</c:v>
                </c:pt>
                <c:pt idx="162">
                  <c:v>548.96387316130563</c:v>
                </c:pt>
                <c:pt idx="163">
                  <c:v>548.96387316130563</c:v>
                </c:pt>
                <c:pt idx="164">
                  <c:v>548.96387316130563</c:v>
                </c:pt>
                <c:pt idx="165">
                  <c:v>548.96387316130563</c:v>
                </c:pt>
                <c:pt idx="166">
                  <c:v>548.96387316130563</c:v>
                </c:pt>
                <c:pt idx="167">
                  <c:v>548.96387316130563</c:v>
                </c:pt>
                <c:pt idx="168">
                  <c:v>548.96387316130563</c:v>
                </c:pt>
                <c:pt idx="169">
                  <c:v>548.96387316130563</c:v>
                </c:pt>
                <c:pt idx="170">
                  <c:v>548.96387316130563</c:v>
                </c:pt>
                <c:pt idx="171">
                  <c:v>548.96387316130563</c:v>
                </c:pt>
                <c:pt idx="172">
                  <c:v>548.96387316130563</c:v>
                </c:pt>
                <c:pt idx="173">
                  <c:v>548.96387316130563</c:v>
                </c:pt>
                <c:pt idx="174">
                  <c:v>548.96387316130563</c:v>
                </c:pt>
                <c:pt idx="175">
                  <c:v>548.96387316130563</c:v>
                </c:pt>
                <c:pt idx="176">
                  <c:v>548.96387316130563</c:v>
                </c:pt>
                <c:pt idx="177">
                  <c:v>548.96387316130563</c:v>
                </c:pt>
                <c:pt idx="178">
                  <c:v>548.96387316130563</c:v>
                </c:pt>
                <c:pt idx="179">
                  <c:v>548.96387316130563</c:v>
                </c:pt>
                <c:pt idx="180">
                  <c:v>548.96387316130563</c:v>
                </c:pt>
                <c:pt idx="181">
                  <c:v>548.96387316130563</c:v>
                </c:pt>
                <c:pt idx="182">
                  <c:v>548.96387316130563</c:v>
                </c:pt>
                <c:pt idx="183">
                  <c:v>548.96387316130563</c:v>
                </c:pt>
                <c:pt idx="184">
                  <c:v>548.96387316130563</c:v>
                </c:pt>
                <c:pt idx="185">
                  <c:v>548.96387316130563</c:v>
                </c:pt>
                <c:pt idx="186">
                  <c:v>548.96387316130563</c:v>
                </c:pt>
                <c:pt idx="187">
                  <c:v>548.96387316130563</c:v>
                </c:pt>
                <c:pt idx="188">
                  <c:v>548.96387316130563</c:v>
                </c:pt>
                <c:pt idx="189">
                  <c:v>548.96387316130563</c:v>
                </c:pt>
                <c:pt idx="190">
                  <c:v>548.96387316130563</c:v>
                </c:pt>
                <c:pt idx="191">
                  <c:v>548.96387316130563</c:v>
                </c:pt>
                <c:pt idx="192">
                  <c:v>548.96387316130563</c:v>
                </c:pt>
                <c:pt idx="193">
                  <c:v>548.96387316130563</c:v>
                </c:pt>
                <c:pt idx="194">
                  <c:v>548.96387316130563</c:v>
                </c:pt>
                <c:pt idx="195">
                  <c:v>548.96387316130563</c:v>
                </c:pt>
                <c:pt idx="196">
                  <c:v>548.96387316130563</c:v>
                </c:pt>
                <c:pt idx="197">
                  <c:v>548.96387316130563</c:v>
                </c:pt>
                <c:pt idx="198">
                  <c:v>548.96387316130563</c:v>
                </c:pt>
                <c:pt idx="199">
                  <c:v>548.96387316130563</c:v>
                </c:pt>
                <c:pt idx="200">
                  <c:v>548.96387316130563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2.1820279828780054</c:v>
                </c:pt>
                <c:pt idx="2">
                  <c:v>2.7489287958390509</c:v>
                </c:pt>
                <c:pt idx="3">
                  <c:v>3.4636936546704455</c:v>
                </c:pt>
                <c:pt idx="4">
                  <c:v>4.3650326800554504</c:v>
                </c:pt>
                <c:pt idx="5">
                  <c:v>5.5018251647390555</c:v>
                </c:pt>
                <c:pt idx="6">
                  <c:v>6.9357995812068935</c:v>
                </c:pt>
                <c:pt idx="7">
                  <c:v>8.7449219687578292</c:v>
                </c:pt>
                <c:pt idx="8">
                  <c:v>11.027680444407844</c:v>
                </c:pt>
                <c:pt idx="9">
                  <c:v>13.908503463014158</c:v>
                </c:pt>
                <c:pt idx="10">
                  <c:v>17.544612615119544</c:v>
                </c:pt>
                <c:pt idx="11">
                  <c:v>34.058400911210931</c:v>
                </c:pt>
                <c:pt idx="12">
                  <c:v>50.34361284528881</c:v>
                </c:pt>
                <c:pt idx="13">
                  <c:v>66.487330412074542</c:v>
                </c:pt>
                <c:pt idx="14">
                  <c:v>82.52926758060643</c:v>
                </c:pt>
                <c:pt idx="15">
                  <c:v>98.492145142414884</c:v>
                </c:pt>
                <c:pt idx="16">
                  <c:v>71.547252966053563</c:v>
                </c:pt>
                <c:pt idx="17">
                  <c:v>91.997227261933816</c:v>
                </c:pt>
                <c:pt idx="18">
                  <c:v>112.33296074194493</c:v>
                </c:pt>
                <c:pt idx="19">
                  <c:v>132.57815986744802</c:v>
                </c:pt>
                <c:pt idx="20">
                  <c:v>152.74863657956135</c:v>
                </c:pt>
                <c:pt idx="21">
                  <c:v>123.19919977804646</c:v>
                </c:pt>
                <c:pt idx="22">
                  <c:v>144.86394385180279</c:v>
                </c:pt>
                <c:pt idx="23">
                  <c:v>166.4510594112233</c:v>
                </c:pt>
                <c:pt idx="24">
                  <c:v>187.97204438624502</c:v>
                </c:pt>
                <c:pt idx="25">
                  <c:v>209.43554025032617</c:v>
                </c:pt>
                <c:pt idx="26">
                  <c:v>179.25468649117627</c:v>
                </c:pt>
                <c:pt idx="27">
                  <c:v>199.87061683989143</c:v>
                </c:pt>
                <c:pt idx="28">
                  <c:v>220.43724193036135</c:v>
                </c:pt>
                <c:pt idx="29">
                  <c:v>240.95980935357719</c:v>
                </c:pt>
                <c:pt idx="30">
                  <c:v>261.44259892473696</c:v>
                </c:pt>
                <c:pt idx="31">
                  <c:v>229.40294706111749</c:v>
                </c:pt>
                <c:pt idx="32">
                  <c:v>247.88782914028013</c:v>
                </c:pt>
                <c:pt idx="33">
                  <c:v>266.34143288880699</c:v>
                </c:pt>
                <c:pt idx="34">
                  <c:v>284.76623003096699</c:v>
                </c:pt>
                <c:pt idx="35">
                  <c:v>303.16434624776605</c:v>
                </c:pt>
                <c:pt idx="36">
                  <c:v>269.2221486423162</c:v>
                </c:pt>
                <c:pt idx="37">
                  <c:v>285.6292223829322</c:v>
                </c:pt>
                <c:pt idx="38">
                  <c:v>302.01520947361524</c:v>
                </c:pt>
                <c:pt idx="39">
                  <c:v>318.38141491457736</c:v>
                </c:pt>
                <c:pt idx="40">
                  <c:v>334.72899857905389</c:v>
                </c:pt>
                <c:pt idx="41">
                  <c:v>298.56721329998339</c:v>
                </c:pt>
                <c:pt idx="42">
                  <c:v>312.64106404467651</c:v>
                </c:pt>
                <c:pt idx="43">
                  <c:v>326.70086577792733</c:v>
                </c:pt>
                <c:pt idx="44">
                  <c:v>340.74730831162287</c:v>
                </c:pt>
                <c:pt idx="45">
                  <c:v>354.78101993685891</c:v>
                </c:pt>
                <c:pt idx="46">
                  <c:v>332.72236758984241</c:v>
                </c:pt>
                <c:pt idx="47">
                  <c:v>345.04466702323003</c:v>
                </c:pt>
                <c:pt idx="48">
                  <c:v>357.35730278704006</c:v>
                </c:pt>
                <c:pt idx="49">
                  <c:v>369.66065482432049</c:v>
                </c:pt>
                <c:pt idx="50">
                  <c:v>381.9550757178597</c:v>
                </c:pt>
                <c:pt idx="51">
                  <c:v>365.36981964928924</c:v>
                </c:pt>
                <c:pt idx="52">
                  <c:v>375.95191824839645</c:v>
                </c:pt>
                <c:pt idx="53">
                  <c:v>386.52753101095118</c:v>
                </c:pt>
                <c:pt idx="54">
                  <c:v>397.09686046819598</c:v>
                </c:pt>
                <c:pt idx="55">
                  <c:v>407.66009748688703</c:v>
                </c:pt>
                <c:pt idx="56">
                  <c:v>393.66964638244099</c:v>
                </c:pt>
                <c:pt idx="57">
                  <c:v>402.52197482878029</c:v>
                </c:pt>
                <c:pt idx="58">
                  <c:v>411.37009257413553</c:v>
                </c:pt>
                <c:pt idx="59">
                  <c:v>420.21410300118396</c:v>
                </c:pt>
                <c:pt idx="60">
                  <c:v>429.05410478388177</c:v>
                </c:pt>
                <c:pt idx="61">
                  <c:v>416.50581806048353</c:v>
                </c:pt>
                <c:pt idx="62">
                  <c:v>423.921683040875</c:v>
                </c:pt>
                <c:pt idx="63">
                  <c:v>431.33475645394793</c:v>
                </c:pt>
                <c:pt idx="64">
                  <c:v>438.74509307281801</c:v>
                </c:pt>
                <c:pt idx="65">
                  <c:v>446.15274566834927</c:v>
                </c:pt>
                <c:pt idx="66">
                  <c:v>434.18520687835752</c:v>
                </c:pt>
                <c:pt idx="67">
                  <c:v>440.73972296346921</c:v>
                </c:pt>
                <c:pt idx="68">
                  <c:v>447.29214956887478</c:v>
                </c:pt>
                <c:pt idx="69">
                  <c:v>453.84252164192861</c:v>
                </c:pt>
                <c:pt idx="70">
                  <c:v>460.39087303823089</c:v>
                </c:pt>
                <c:pt idx="71">
                  <c:v>447.86182820601562</c:v>
                </c:pt>
                <c:pt idx="72">
                  <c:v>453.84252164192861</c:v>
                </c:pt>
                <c:pt idx="73">
                  <c:v>459.82153055595603</c:v>
                </c:pt>
                <c:pt idx="74">
                  <c:v>465.79887995720793</c:v>
                </c:pt>
                <c:pt idx="75">
                  <c:v>471.77459416013545</c:v>
                </c:pt>
                <c:pt idx="76">
                  <c:v>459.82153055595603</c:v>
                </c:pt>
                <c:pt idx="77">
                  <c:v>464.94507357382491</c:v>
                </c:pt>
                <c:pt idx="78">
                  <c:v>470.06741271088464</c:v>
                </c:pt>
                <c:pt idx="79">
                  <c:v>475.18856294702238</c:v>
                </c:pt>
                <c:pt idx="80">
                  <c:v>480.30853891265809</c:v>
                </c:pt>
                <c:pt idx="81">
                  <c:v>464.66046401831505</c:v>
                </c:pt>
                <c:pt idx="82">
                  <c:v>464.66046401831505</c:v>
                </c:pt>
                <c:pt idx="83">
                  <c:v>464.66046401831505</c:v>
                </c:pt>
                <c:pt idx="84">
                  <c:v>464.66046401831505</c:v>
                </c:pt>
                <c:pt idx="85">
                  <c:v>464.66046401831505</c:v>
                </c:pt>
                <c:pt idx="86">
                  <c:v>464.66046401831505</c:v>
                </c:pt>
                <c:pt idx="87">
                  <c:v>464.66046401831505</c:v>
                </c:pt>
                <c:pt idx="88">
                  <c:v>464.66046401831505</c:v>
                </c:pt>
                <c:pt idx="89">
                  <c:v>464.66046401831505</c:v>
                </c:pt>
                <c:pt idx="90">
                  <c:v>464.66046401831505</c:v>
                </c:pt>
                <c:pt idx="91">
                  <c:v>464.66046401831505</c:v>
                </c:pt>
                <c:pt idx="92">
                  <c:v>464.66046401831505</c:v>
                </c:pt>
                <c:pt idx="93">
                  <c:v>464.66046401831505</c:v>
                </c:pt>
                <c:pt idx="94">
                  <c:v>464.66046401831505</c:v>
                </c:pt>
                <c:pt idx="95">
                  <c:v>464.66046401831505</c:v>
                </c:pt>
                <c:pt idx="96">
                  <c:v>464.66046401831505</c:v>
                </c:pt>
                <c:pt idx="97">
                  <c:v>464.66046401831505</c:v>
                </c:pt>
                <c:pt idx="98">
                  <c:v>464.66046401831505</c:v>
                </c:pt>
                <c:pt idx="99">
                  <c:v>464.66046401831505</c:v>
                </c:pt>
                <c:pt idx="100">
                  <c:v>464.66046401831505</c:v>
                </c:pt>
                <c:pt idx="101">
                  <c:v>464.66046401831505</c:v>
                </c:pt>
                <c:pt idx="102">
                  <c:v>464.66046401831505</c:v>
                </c:pt>
                <c:pt idx="103">
                  <c:v>464.66046401831505</c:v>
                </c:pt>
                <c:pt idx="104">
                  <c:v>464.66046401831505</c:v>
                </c:pt>
                <c:pt idx="105">
                  <c:v>464.66046401831505</c:v>
                </c:pt>
                <c:pt idx="106">
                  <c:v>464.66046401831505</c:v>
                </c:pt>
                <c:pt idx="107">
                  <c:v>464.66046401831505</c:v>
                </c:pt>
                <c:pt idx="108">
                  <c:v>464.66046401831505</c:v>
                </c:pt>
                <c:pt idx="109">
                  <c:v>464.66046401831505</c:v>
                </c:pt>
                <c:pt idx="110">
                  <c:v>464.66046401831505</c:v>
                </c:pt>
                <c:pt idx="111">
                  <c:v>464.66046401831505</c:v>
                </c:pt>
                <c:pt idx="112">
                  <c:v>464.66046401831505</c:v>
                </c:pt>
                <c:pt idx="113">
                  <c:v>464.66046401831505</c:v>
                </c:pt>
                <c:pt idx="114">
                  <c:v>464.66046401831505</c:v>
                </c:pt>
                <c:pt idx="115">
                  <c:v>464.66046401831505</c:v>
                </c:pt>
                <c:pt idx="116">
                  <c:v>464.66046401831505</c:v>
                </c:pt>
                <c:pt idx="117">
                  <c:v>464.66046401831505</c:v>
                </c:pt>
                <c:pt idx="118">
                  <c:v>464.66046401831505</c:v>
                </c:pt>
                <c:pt idx="119">
                  <c:v>464.66046401831505</c:v>
                </c:pt>
                <c:pt idx="120">
                  <c:v>464.66046401831505</c:v>
                </c:pt>
                <c:pt idx="121">
                  <c:v>464.66046401831505</c:v>
                </c:pt>
                <c:pt idx="122">
                  <c:v>464.66046401831505</c:v>
                </c:pt>
                <c:pt idx="123">
                  <c:v>464.66046401831505</c:v>
                </c:pt>
                <c:pt idx="124">
                  <c:v>464.66046401831505</c:v>
                </c:pt>
                <c:pt idx="125">
                  <c:v>464.66046401831505</c:v>
                </c:pt>
                <c:pt idx="126">
                  <c:v>464.66046401831505</c:v>
                </c:pt>
                <c:pt idx="127">
                  <c:v>464.66046401831505</c:v>
                </c:pt>
                <c:pt idx="128">
                  <c:v>464.66046401831505</c:v>
                </c:pt>
                <c:pt idx="129">
                  <c:v>464.66046401831505</c:v>
                </c:pt>
                <c:pt idx="130">
                  <c:v>464.66046401831505</c:v>
                </c:pt>
                <c:pt idx="131">
                  <c:v>464.66046401831505</c:v>
                </c:pt>
                <c:pt idx="132">
                  <c:v>464.66046401831505</c:v>
                </c:pt>
                <c:pt idx="133">
                  <c:v>464.66046401831505</c:v>
                </c:pt>
                <c:pt idx="134">
                  <c:v>464.66046401831505</c:v>
                </c:pt>
                <c:pt idx="135">
                  <c:v>464.66046401831505</c:v>
                </c:pt>
                <c:pt idx="136">
                  <c:v>464.66046401831505</c:v>
                </c:pt>
                <c:pt idx="137">
                  <c:v>464.66046401831505</c:v>
                </c:pt>
                <c:pt idx="138">
                  <c:v>464.66046401831505</c:v>
                </c:pt>
                <c:pt idx="139">
                  <c:v>464.66046401831505</c:v>
                </c:pt>
                <c:pt idx="140">
                  <c:v>464.66046401831505</c:v>
                </c:pt>
                <c:pt idx="141">
                  <c:v>464.66046401831505</c:v>
                </c:pt>
                <c:pt idx="142">
                  <c:v>464.66046401831505</c:v>
                </c:pt>
                <c:pt idx="143">
                  <c:v>464.66046401831505</c:v>
                </c:pt>
                <c:pt idx="144">
                  <c:v>464.66046401831505</c:v>
                </c:pt>
                <c:pt idx="145">
                  <c:v>464.66046401831505</c:v>
                </c:pt>
                <c:pt idx="146">
                  <c:v>464.66046401831505</c:v>
                </c:pt>
                <c:pt idx="147">
                  <c:v>464.66046401831505</c:v>
                </c:pt>
                <c:pt idx="148">
                  <c:v>464.66046401831505</c:v>
                </c:pt>
                <c:pt idx="149">
                  <c:v>464.66046401831505</c:v>
                </c:pt>
                <c:pt idx="150">
                  <c:v>464.66046401831505</c:v>
                </c:pt>
                <c:pt idx="151">
                  <c:v>464.66046401831505</c:v>
                </c:pt>
                <c:pt idx="152">
                  <c:v>464.66046401831505</c:v>
                </c:pt>
                <c:pt idx="153">
                  <c:v>464.66046401831505</c:v>
                </c:pt>
                <c:pt idx="154">
                  <c:v>464.66046401831505</c:v>
                </c:pt>
                <c:pt idx="155">
                  <c:v>464.66046401831505</c:v>
                </c:pt>
                <c:pt idx="156">
                  <c:v>464.66046401831505</c:v>
                </c:pt>
                <c:pt idx="157">
                  <c:v>464.66046401831505</c:v>
                </c:pt>
                <c:pt idx="158">
                  <c:v>464.66046401831505</c:v>
                </c:pt>
                <c:pt idx="159">
                  <c:v>464.66046401831505</c:v>
                </c:pt>
                <c:pt idx="160">
                  <c:v>464.66046401831505</c:v>
                </c:pt>
                <c:pt idx="161">
                  <c:v>464.66046401831505</c:v>
                </c:pt>
                <c:pt idx="162">
                  <c:v>464.66046401831505</c:v>
                </c:pt>
                <c:pt idx="163">
                  <c:v>464.66046401831505</c:v>
                </c:pt>
                <c:pt idx="164">
                  <c:v>464.66046401831505</c:v>
                </c:pt>
                <c:pt idx="165">
                  <c:v>464.66046401831505</c:v>
                </c:pt>
                <c:pt idx="166">
                  <c:v>464.66046401831505</c:v>
                </c:pt>
                <c:pt idx="167">
                  <c:v>464.66046401831505</c:v>
                </c:pt>
                <c:pt idx="168">
                  <c:v>464.66046401831505</c:v>
                </c:pt>
                <c:pt idx="169">
                  <c:v>464.66046401831505</c:v>
                </c:pt>
                <c:pt idx="170">
                  <c:v>464.66046401831505</c:v>
                </c:pt>
                <c:pt idx="171">
                  <c:v>464.66046401831505</c:v>
                </c:pt>
                <c:pt idx="172">
                  <c:v>464.66046401831505</c:v>
                </c:pt>
                <c:pt idx="173">
                  <c:v>464.66046401831505</c:v>
                </c:pt>
                <c:pt idx="174">
                  <c:v>464.66046401831505</c:v>
                </c:pt>
                <c:pt idx="175">
                  <c:v>464.66046401831505</c:v>
                </c:pt>
                <c:pt idx="176">
                  <c:v>464.66046401831505</c:v>
                </c:pt>
                <c:pt idx="177">
                  <c:v>464.66046401831505</c:v>
                </c:pt>
                <c:pt idx="178">
                  <c:v>464.66046401831505</c:v>
                </c:pt>
                <c:pt idx="179">
                  <c:v>464.66046401831505</c:v>
                </c:pt>
                <c:pt idx="180">
                  <c:v>464.66046401831505</c:v>
                </c:pt>
                <c:pt idx="181">
                  <c:v>464.66046401831505</c:v>
                </c:pt>
                <c:pt idx="182">
                  <c:v>464.66046401831505</c:v>
                </c:pt>
                <c:pt idx="183">
                  <c:v>464.66046401831505</c:v>
                </c:pt>
                <c:pt idx="184">
                  <c:v>464.66046401831505</c:v>
                </c:pt>
                <c:pt idx="185">
                  <c:v>464.66046401831505</c:v>
                </c:pt>
                <c:pt idx="186">
                  <c:v>464.66046401831505</c:v>
                </c:pt>
                <c:pt idx="187">
                  <c:v>464.66046401831505</c:v>
                </c:pt>
                <c:pt idx="188">
                  <c:v>464.66046401831505</c:v>
                </c:pt>
                <c:pt idx="189">
                  <c:v>464.66046401831505</c:v>
                </c:pt>
                <c:pt idx="190">
                  <c:v>464.66046401831505</c:v>
                </c:pt>
                <c:pt idx="191">
                  <c:v>464.66046401831505</c:v>
                </c:pt>
                <c:pt idx="192">
                  <c:v>464.66046401831505</c:v>
                </c:pt>
                <c:pt idx="193">
                  <c:v>464.66046401831505</c:v>
                </c:pt>
                <c:pt idx="194">
                  <c:v>464.66046401831505</c:v>
                </c:pt>
                <c:pt idx="195">
                  <c:v>464.66046401831505</c:v>
                </c:pt>
                <c:pt idx="196">
                  <c:v>464.66046401831505</c:v>
                </c:pt>
                <c:pt idx="197">
                  <c:v>464.66046401831505</c:v>
                </c:pt>
                <c:pt idx="198">
                  <c:v>464.66046401831505</c:v>
                </c:pt>
                <c:pt idx="199">
                  <c:v>464.66046401831505</c:v>
                </c:pt>
                <c:pt idx="200">
                  <c:v>464.66046401831505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abSelected="1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3" t="s">
        <v>291</v>
      </c>
      <c r="C12" s="263"/>
      <c r="D12" s="263"/>
      <c r="E12" s="263"/>
      <c r="F12" s="263"/>
      <c r="G12" s="263"/>
      <c r="H12" s="263"/>
      <c r="I12" s="263"/>
      <c r="J12" s="263"/>
      <c r="K12" s="263"/>
      <c r="L12" s="263"/>
      <c r="M12" s="263"/>
    </row>
    <row r="13" spans="2:13" ht="15" customHeight="1" x14ac:dyDescent="0.3">
      <c r="B13" s="263"/>
      <c r="C13" s="263"/>
      <c r="D13" s="263"/>
      <c r="E13" s="263"/>
      <c r="F13" s="263"/>
      <c r="G13" s="263"/>
      <c r="H13" s="263"/>
      <c r="I13" s="263"/>
      <c r="J13" s="263"/>
      <c r="K13" s="263"/>
      <c r="L13" s="263"/>
      <c r="M13" s="263"/>
    </row>
    <row r="14" spans="2:13" ht="15" customHeight="1" x14ac:dyDescent="0.3">
      <c r="B14" s="263"/>
      <c r="C14" s="263"/>
      <c r="D14" s="263"/>
      <c r="E14" s="263"/>
      <c r="F14" s="263"/>
      <c r="G14" s="263"/>
      <c r="H14" s="263"/>
      <c r="I14" s="263"/>
      <c r="J14" s="263"/>
      <c r="K14" s="263"/>
      <c r="L14" s="263"/>
      <c r="M14" s="263"/>
    </row>
    <row r="15" spans="2:13" ht="18.75" customHeight="1" x14ac:dyDescent="0.3">
      <c r="B15" s="263"/>
      <c r="C15" s="263"/>
      <c r="D15" s="263"/>
      <c r="E15" s="263"/>
      <c r="F15" s="263"/>
      <c r="G15" s="263"/>
      <c r="H15" s="263"/>
      <c r="I15" s="263"/>
      <c r="J15" s="263"/>
      <c r="K15" s="263"/>
      <c r="L15" s="263"/>
      <c r="M15" s="263"/>
    </row>
    <row r="16" spans="2:13" ht="18.75" customHeight="1" x14ac:dyDescent="0.3">
      <c r="B16" s="263"/>
      <c r="C16" s="263"/>
      <c r="D16" s="263"/>
      <c r="E16" s="263"/>
      <c r="F16" s="263"/>
      <c r="G16" s="263"/>
      <c r="H16" s="263"/>
      <c r="I16" s="263"/>
      <c r="J16" s="263"/>
      <c r="K16" s="263"/>
      <c r="L16" s="263"/>
      <c r="M16" s="263"/>
    </row>
    <row r="18" spans="2:13" ht="12" customHeight="1" x14ac:dyDescent="0.3">
      <c r="B18" s="263" t="s">
        <v>292</v>
      </c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</row>
    <row r="19" spans="2:13" ht="12" customHeight="1" x14ac:dyDescent="0.3">
      <c r="B19" s="263"/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63"/>
    </row>
    <row r="20" spans="2:13" ht="12" customHeight="1" x14ac:dyDescent="0.3">
      <c r="B20" s="263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</row>
    <row r="21" spans="2:13" ht="12" customHeight="1" x14ac:dyDescent="0.3">
      <c r="B21" s="263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</row>
    <row r="22" spans="2:13" ht="12" customHeight="1" x14ac:dyDescent="0.3">
      <c r="B22" s="263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</row>
    <row r="23" spans="2:13" ht="12" customHeight="1" x14ac:dyDescent="0.3">
      <c r="B23" s="263"/>
      <c r="C23" s="263"/>
      <c r="D23" s="263"/>
      <c r="E23" s="263"/>
      <c r="F23" s="263"/>
      <c r="G23" s="263"/>
      <c r="H23" s="263"/>
      <c r="I23" s="263"/>
      <c r="J23" s="263"/>
      <c r="K23" s="263"/>
      <c r="L23" s="263"/>
      <c r="M23" s="263"/>
    </row>
    <row r="24" spans="2:13" ht="12" customHeight="1" x14ac:dyDescent="0.3"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</row>
    <row r="25" spans="2:13" ht="12" customHeight="1" x14ac:dyDescent="0.3">
      <c r="B25" s="263"/>
      <c r="C25" s="263"/>
      <c r="D25" s="263"/>
      <c r="E25" s="263"/>
      <c r="F25" s="263"/>
      <c r="G25" s="263"/>
      <c r="H25" s="263"/>
      <c r="I25" s="263"/>
      <c r="J25" s="263"/>
      <c r="K25" s="263"/>
      <c r="L25" s="263"/>
      <c r="M25" s="263"/>
    </row>
    <row r="26" spans="2:13" ht="12" customHeight="1" x14ac:dyDescent="0.3">
      <c r="B26" s="263"/>
      <c r="C26" s="263"/>
      <c r="D26" s="263"/>
      <c r="E26" s="263"/>
      <c r="F26" s="263"/>
      <c r="G26" s="263"/>
      <c r="H26" s="263"/>
      <c r="I26" s="263"/>
      <c r="J26" s="263"/>
      <c r="K26" s="263"/>
      <c r="L26" s="263"/>
      <c r="M26" s="263"/>
    </row>
    <row r="27" spans="2:13" ht="12" customHeight="1" x14ac:dyDescent="0.3">
      <c r="B27" s="263"/>
      <c r="C27" s="263"/>
      <c r="D27" s="263"/>
      <c r="E27" s="263"/>
      <c r="F27" s="263"/>
      <c r="G27" s="263"/>
      <c r="H27" s="263"/>
      <c r="I27" s="263"/>
      <c r="J27" s="263"/>
      <c r="K27" s="263"/>
      <c r="L27" s="263"/>
      <c r="M27" s="263"/>
    </row>
    <row r="28" spans="2:13" ht="12" customHeight="1" x14ac:dyDescent="0.3">
      <c r="B28" s="263"/>
      <c r="C28" s="263"/>
      <c r="D28" s="263"/>
      <c r="E28" s="263"/>
      <c r="F28" s="263"/>
      <c r="G28" s="263"/>
      <c r="H28" s="263"/>
      <c r="I28" s="263"/>
      <c r="J28" s="263"/>
      <c r="K28" s="263"/>
      <c r="L28" s="263"/>
      <c r="M28" s="263"/>
    </row>
    <row r="29" spans="2:13" ht="12" customHeight="1" x14ac:dyDescent="0.3">
      <c r="B29" s="263"/>
      <c r="C29" s="263"/>
      <c r="D29" s="263"/>
      <c r="E29" s="263"/>
      <c r="F29" s="263"/>
      <c r="G29" s="263"/>
      <c r="H29" s="263"/>
      <c r="I29" s="263"/>
      <c r="J29" s="263"/>
      <c r="K29" s="263"/>
      <c r="L29" s="263"/>
      <c r="M29" s="263"/>
    </row>
    <row r="30" spans="2:13" ht="12" customHeight="1" x14ac:dyDescent="0.3">
      <c r="B30" s="263"/>
      <c r="C30" s="263"/>
      <c r="D30" s="263"/>
      <c r="E30" s="263"/>
      <c r="F30" s="263"/>
      <c r="G30" s="263"/>
      <c r="H30" s="263"/>
      <c r="I30" s="263"/>
      <c r="J30" s="263"/>
      <c r="K30" s="263"/>
      <c r="L30" s="263"/>
      <c r="M30" s="263"/>
    </row>
    <row r="31" spans="2:13" ht="12" customHeight="1" x14ac:dyDescent="0.3">
      <c r="B31" s="263"/>
      <c r="C31" s="263"/>
      <c r="D31" s="263"/>
      <c r="E31" s="263"/>
      <c r="F31" s="263"/>
      <c r="G31" s="263"/>
      <c r="H31" s="263"/>
      <c r="I31" s="263"/>
      <c r="J31" s="263"/>
      <c r="K31" s="263"/>
      <c r="L31" s="263"/>
      <c r="M31" s="26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" zoomScaleNormal="100" workbookViewId="0">
      <selection activeCell="L36" sqref="L3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4" t="s">
        <v>190</v>
      </c>
      <c r="D1" s="264"/>
      <c r="E1" s="26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9" t="s">
        <v>192</v>
      </c>
      <c r="C3" s="270"/>
      <c r="D3" s="270"/>
      <c r="E3" s="270"/>
      <c r="F3" s="271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4" t="s">
        <v>231</v>
      </c>
      <c r="B5" s="274"/>
      <c r="C5" s="24">
        <v>0.58840000000000003</v>
      </c>
      <c r="D5" s="275" t="s">
        <v>229</v>
      </c>
      <c r="E5" s="276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3" t="s">
        <v>226</v>
      </c>
      <c r="B7" s="273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11</v>
      </c>
      <c r="C9" s="32">
        <v>0.81840000000000002</v>
      </c>
      <c r="D9" s="33">
        <f t="shared" ref="D9:D18" si="0">C9*$C$5</f>
        <v>0.48154656000000001</v>
      </c>
      <c r="E9" s="34">
        <v>115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22</v>
      </c>
      <c r="C10" s="32">
        <v>0.11</v>
      </c>
      <c r="D10" s="33">
        <f t="shared" si="0"/>
        <v>6.4724000000000004E-2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50</v>
      </c>
      <c r="C11" s="32">
        <v>6.8500000000000005E-2</v>
      </c>
      <c r="D11" s="33">
        <f t="shared" si="0"/>
        <v>4.0305400000000005E-2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0.99690000000000001</v>
      </c>
      <c r="D19" s="38">
        <f>SUM(D9:D18)</f>
        <v>0.58657596000000001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2" t="s">
        <v>232</v>
      </c>
      <c r="B22" s="272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3" t="s">
        <v>227</v>
      </c>
      <c r="B30" s="273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pédonculé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5" t="s">
        <v>186</v>
      </c>
      <c r="D34" s="265"/>
      <c r="E34" s="266" t="s">
        <v>187</v>
      </c>
      <c r="F34" s="267"/>
      <c r="G34" s="267"/>
      <c r="H34" s="268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20</v>
      </c>
      <c r="B36" s="259">
        <v>73</v>
      </c>
      <c r="C36" s="259">
        <v>1</v>
      </c>
      <c r="D36" s="259">
        <v>6</v>
      </c>
      <c r="E36" s="260"/>
      <c r="F36" s="260"/>
      <c r="G36" s="260"/>
      <c r="H36" s="260">
        <v>1</v>
      </c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25</v>
      </c>
      <c r="B37" s="259">
        <v>103</v>
      </c>
      <c r="C37" s="259">
        <v>2</v>
      </c>
      <c r="D37" s="259">
        <v>28</v>
      </c>
      <c r="E37" s="260"/>
      <c r="F37" s="260"/>
      <c r="G37" s="260"/>
      <c r="H37" s="260">
        <v>1</v>
      </c>
      <c r="I37" s="53">
        <f t="shared" ref="I37:I55" si="1">IF(A37&lt;&gt;0,(B37-(B36-D36))/(A37-A36),"")</f>
        <v>7.2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30</v>
      </c>
      <c r="B38" s="259">
        <v>121</v>
      </c>
      <c r="C38" s="259">
        <v>3</v>
      </c>
      <c r="D38" s="259">
        <v>28</v>
      </c>
      <c r="E38" s="260"/>
      <c r="F38" s="260"/>
      <c r="G38" s="260"/>
      <c r="H38" s="260">
        <v>1</v>
      </c>
      <c r="I38" s="53">
        <f t="shared" si="1"/>
        <v>9.1999999999999993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35</v>
      </c>
      <c r="B39" s="259">
        <v>147</v>
      </c>
      <c r="C39" s="259">
        <v>4</v>
      </c>
      <c r="D39" s="259">
        <v>28</v>
      </c>
      <c r="E39" s="260">
        <v>1</v>
      </c>
      <c r="F39" s="260"/>
      <c r="G39" s="260"/>
      <c r="H39" s="260"/>
      <c r="I39" s="49">
        <f t="shared" si="1"/>
        <v>10.8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40</v>
      </c>
      <c r="B40" s="259">
        <v>175</v>
      </c>
      <c r="C40" s="259">
        <v>5</v>
      </c>
      <c r="D40" s="259">
        <v>28</v>
      </c>
      <c r="E40" s="260">
        <v>1</v>
      </c>
      <c r="F40" s="260"/>
      <c r="G40" s="260"/>
      <c r="H40" s="260"/>
      <c r="I40" s="49">
        <f t="shared" si="1"/>
        <v>11.2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45</v>
      </c>
      <c r="B41" s="259">
        <v>204</v>
      </c>
      <c r="C41" s="259">
        <v>6</v>
      </c>
      <c r="D41" s="259">
        <v>28</v>
      </c>
      <c r="E41" s="260">
        <v>1</v>
      </c>
      <c r="F41" s="260"/>
      <c r="G41" s="260"/>
      <c r="H41" s="260"/>
      <c r="I41" s="53">
        <f t="shared" si="1"/>
        <v>11.4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50</v>
      </c>
      <c r="B42" s="259">
        <v>231</v>
      </c>
      <c r="C42" s="259">
        <v>7</v>
      </c>
      <c r="D42" s="259">
        <v>28</v>
      </c>
      <c r="E42" s="260">
        <v>1</v>
      </c>
      <c r="F42" s="260"/>
      <c r="G42" s="260"/>
      <c r="H42" s="260"/>
      <c r="I42" s="53">
        <f t="shared" si="1"/>
        <v>11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55</v>
      </c>
      <c r="B43" s="259">
        <v>254</v>
      </c>
      <c r="C43" s="259">
        <v>8</v>
      </c>
      <c r="D43" s="259">
        <v>28</v>
      </c>
      <c r="E43" s="260">
        <v>1</v>
      </c>
      <c r="F43" s="260"/>
      <c r="G43" s="260"/>
      <c r="H43" s="260"/>
      <c r="I43" s="49">
        <f t="shared" si="1"/>
        <v>10.199999999999999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60</v>
      </c>
      <c r="B44" s="259">
        <v>273</v>
      </c>
      <c r="C44" s="259">
        <v>9</v>
      </c>
      <c r="D44" s="259">
        <v>28</v>
      </c>
      <c r="E44" s="260">
        <v>1</v>
      </c>
      <c r="F44" s="260"/>
      <c r="G44" s="260"/>
      <c r="H44" s="260"/>
      <c r="I44" s="49">
        <f t="shared" si="1"/>
        <v>9.4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65</v>
      </c>
      <c r="B45" s="261">
        <v>289</v>
      </c>
      <c r="C45" s="259">
        <v>10</v>
      </c>
      <c r="D45" s="259">
        <v>28</v>
      </c>
      <c r="E45" s="260">
        <v>1</v>
      </c>
      <c r="F45" s="260"/>
      <c r="G45" s="260"/>
      <c r="H45" s="260"/>
      <c r="I45" s="49">
        <f t="shared" si="1"/>
        <v>8.8000000000000007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70</v>
      </c>
      <c r="B46" s="262">
        <v>302</v>
      </c>
      <c r="C46" s="259">
        <v>11</v>
      </c>
      <c r="D46" s="259">
        <v>28</v>
      </c>
      <c r="E46" s="260">
        <v>1</v>
      </c>
      <c r="F46" s="260"/>
      <c r="G46" s="260"/>
      <c r="H46" s="260"/>
      <c r="I46" s="49">
        <f t="shared" si="1"/>
        <v>8.1999999999999993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75</v>
      </c>
      <c r="B47" s="261">
        <v>312</v>
      </c>
      <c r="C47" s="259">
        <v>12</v>
      </c>
      <c r="D47" s="259">
        <v>28</v>
      </c>
      <c r="E47" s="260">
        <v>1</v>
      </c>
      <c r="F47" s="260"/>
      <c r="G47" s="260"/>
      <c r="H47" s="260"/>
      <c r="I47" s="49">
        <f t="shared" si="1"/>
        <v>7.6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80</v>
      </c>
      <c r="B48" s="261">
        <v>320</v>
      </c>
      <c r="C48" s="259">
        <v>13</v>
      </c>
      <c r="D48" s="259">
        <v>28</v>
      </c>
      <c r="E48" s="260">
        <v>1</v>
      </c>
      <c r="F48" s="260"/>
      <c r="G48" s="260"/>
      <c r="H48" s="260"/>
      <c r="I48" s="49">
        <f t="shared" si="1"/>
        <v>7.2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85</v>
      </c>
      <c r="B49" s="261">
        <v>326</v>
      </c>
      <c r="C49" s="259">
        <v>14</v>
      </c>
      <c r="D49" s="259">
        <v>28</v>
      </c>
      <c r="E49" s="260">
        <v>1</v>
      </c>
      <c r="F49" s="260"/>
      <c r="G49" s="260"/>
      <c r="H49" s="260"/>
      <c r="I49" s="49">
        <f t="shared" si="1"/>
        <v>6.8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59">
        <v>90</v>
      </c>
      <c r="B50" s="256">
        <v>330</v>
      </c>
      <c r="C50" s="259">
        <v>15</v>
      </c>
      <c r="D50" s="259">
        <v>28</v>
      </c>
      <c r="E50" s="260">
        <v>1</v>
      </c>
      <c r="F50" s="255"/>
      <c r="G50" s="255"/>
      <c r="H50" s="255"/>
      <c r="I50" s="49">
        <f t="shared" si="1"/>
        <v>6.4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59">
        <v>95</v>
      </c>
      <c r="B51" s="256">
        <v>333</v>
      </c>
      <c r="C51" s="259">
        <v>16</v>
      </c>
      <c r="D51" s="259">
        <v>28</v>
      </c>
      <c r="E51" s="260">
        <v>1</v>
      </c>
      <c r="F51" s="255"/>
      <c r="G51" s="255"/>
      <c r="H51" s="255"/>
      <c r="I51" s="49">
        <f t="shared" si="1"/>
        <v>6.2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59">
        <v>100</v>
      </c>
      <c r="B52" s="256">
        <v>333</v>
      </c>
      <c r="C52" s="259">
        <v>17</v>
      </c>
      <c r="D52" s="259">
        <v>27</v>
      </c>
      <c r="E52" s="260">
        <v>1</v>
      </c>
      <c r="F52" s="255"/>
      <c r="G52" s="255"/>
      <c r="H52" s="255"/>
      <c r="I52" s="49">
        <f t="shared" si="1"/>
        <v>5.6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59">
        <v>105</v>
      </c>
      <c r="B53" s="256">
        <v>333</v>
      </c>
      <c r="C53" s="259">
        <v>18</v>
      </c>
      <c r="D53" s="259">
        <v>26</v>
      </c>
      <c r="E53" s="260">
        <v>1</v>
      </c>
      <c r="F53" s="255"/>
      <c r="G53" s="255"/>
      <c r="H53" s="255"/>
      <c r="I53" s="49">
        <f t="shared" si="1"/>
        <v>5.4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59">
        <v>110</v>
      </c>
      <c r="B54" s="256">
        <v>332</v>
      </c>
      <c r="C54" s="259">
        <v>19</v>
      </c>
      <c r="D54" s="259">
        <v>25</v>
      </c>
      <c r="E54" s="260">
        <v>1</v>
      </c>
      <c r="F54" s="255"/>
      <c r="G54" s="255"/>
      <c r="H54" s="255"/>
      <c r="I54" s="49">
        <f t="shared" si="1"/>
        <v>5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59">
        <v>115</v>
      </c>
      <c r="B55" s="256">
        <v>331</v>
      </c>
      <c r="C55" s="259">
        <v>20</v>
      </c>
      <c r="D55" s="259">
        <v>24</v>
      </c>
      <c r="E55" s="260">
        <v>1</v>
      </c>
      <c r="F55" s="255"/>
      <c r="G55" s="255"/>
      <c r="H55" s="255"/>
      <c r="I55" s="49">
        <f t="shared" si="1"/>
        <v>4.8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Erable plane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5" t="s">
        <v>186</v>
      </c>
      <c r="D60" s="265"/>
      <c r="E60" s="266" t="s">
        <v>187</v>
      </c>
      <c r="F60" s="267"/>
      <c r="G60" s="267"/>
      <c r="H60" s="268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10</v>
      </c>
      <c r="B62" s="261">
        <v>11</v>
      </c>
      <c r="C62" s="261"/>
      <c r="D62" s="261">
        <v>0</v>
      </c>
      <c r="E62" s="260"/>
      <c r="F62" s="260"/>
      <c r="G62" s="260"/>
      <c r="H62" s="260"/>
      <c r="I62" s="53">
        <f>IFERROR(B62/A62,"")</f>
        <v>1.1000000000000001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15</v>
      </c>
      <c r="B63" s="261">
        <v>65</v>
      </c>
      <c r="C63" s="261">
        <v>1</v>
      </c>
      <c r="D63" s="261">
        <v>32</v>
      </c>
      <c r="E63" s="260"/>
      <c r="F63" s="260"/>
      <c r="G63" s="260"/>
      <c r="H63" s="260">
        <v>1</v>
      </c>
      <c r="I63" s="49">
        <f>IF(A63&lt;&gt;0,(B63-(B62-D62))/(A63-A62),"")</f>
        <v>10.8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20</v>
      </c>
      <c r="B64" s="261">
        <v>102</v>
      </c>
      <c r="C64" s="261">
        <v>2</v>
      </c>
      <c r="D64" s="261">
        <v>35</v>
      </c>
      <c r="E64" s="260"/>
      <c r="F64" s="260"/>
      <c r="G64" s="260"/>
      <c r="H64" s="260">
        <v>1</v>
      </c>
      <c r="I64" s="49">
        <f>IF(A64&lt;&gt;0,(B64-(B63-D63))/(A64-A63),"")</f>
        <v>13.8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25</v>
      </c>
      <c r="B65" s="261">
        <v>141</v>
      </c>
      <c r="C65" s="261">
        <v>3</v>
      </c>
      <c r="D65" s="261">
        <v>35</v>
      </c>
      <c r="E65" s="260"/>
      <c r="F65" s="260"/>
      <c r="G65" s="260"/>
      <c r="H65" s="260">
        <v>1</v>
      </c>
      <c r="I65" s="49">
        <f>IF(A65&lt;&gt;0,(B65-(B64-D64))/(A65-A64),"")</f>
        <v>14.8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30</v>
      </c>
      <c r="B66" s="261">
        <v>177</v>
      </c>
      <c r="C66" s="261">
        <v>4</v>
      </c>
      <c r="D66" s="261">
        <v>35</v>
      </c>
      <c r="E66" s="260"/>
      <c r="F66" s="260"/>
      <c r="G66" s="260"/>
      <c r="H66" s="260">
        <v>1</v>
      </c>
      <c r="I66" s="49">
        <f t="shared" ref="I66:I81" si="2">IF(A66&lt;&gt;0,(B66-(B65-D65))/(A66-A65),"")</f>
        <v>14.2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35</v>
      </c>
      <c r="B67" s="261">
        <v>206</v>
      </c>
      <c r="C67" s="261">
        <v>5</v>
      </c>
      <c r="D67" s="261">
        <v>35</v>
      </c>
      <c r="E67" s="260">
        <v>1</v>
      </c>
      <c r="F67" s="260"/>
      <c r="G67" s="260"/>
      <c r="H67" s="260"/>
      <c r="I67" s="49">
        <f t="shared" si="2"/>
        <v>12.8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40</v>
      </c>
      <c r="B68" s="261">
        <v>228</v>
      </c>
      <c r="C68" s="261">
        <v>6</v>
      </c>
      <c r="D68" s="261">
        <v>35</v>
      </c>
      <c r="E68" s="260">
        <v>1</v>
      </c>
      <c r="F68" s="260"/>
      <c r="G68" s="260"/>
      <c r="H68" s="260"/>
      <c r="I68" s="49">
        <f t="shared" si="2"/>
        <v>11.4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45</v>
      </c>
      <c r="B69" s="261">
        <v>242</v>
      </c>
      <c r="C69" s="261">
        <v>7</v>
      </c>
      <c r="D69" s="261">
        <v>24</v>
      </c>
      <c r="E69" s="260">
        <v>1</v>
      </c>
      <c r="F69" s="260"/>
      <c r="G69" s="260"/>
      <c r="H69" s="260"/>
      <c r="I69" s="49">
        <f t="shared" si="2"/>
        <v>9.8000000000000007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50</v>
      </c>
      <c r="B70" s="261">
        <v>261</v>
      </c>
      <c r="C70" s="261">
        <v>8</v>
      </c>
      <c r="D70" s="261">
        <v>19</v>
      </c>
      <c r="E70" s="260">
        <v>1</v>
      </c>
      <c r="F70" s="260"/>
      <c r="G70" s="260"/>
      <c r="H70" s="260"/>
      <c r="I70" s="49">
        <f t="shared" si="2"/>
        <v>8.6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55</v>
      </c>
      <c r="B71" s="261">
        <v>279</v>
      </c>
      <c r="C71" s="261">
        <v>9</v>
      </c>
      <c r="D71" s="261">
        <v>16</v>
      </c>
      <c r="E71" s="260">
        <v>1</v>
      </c>
      <c r="F71" s="260"/>
      <c r="G71" s="260"/>
      <c r="H71" s="260"/>
      <c r="I71" s="49">
        <f t="shared" si="2"/>
        <v>7.4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60</v>
      </c>
      <c r="B72" s="261">
        <v>294</v>
      </c>
      <c r="C72" s="261">
        <v>10</v>
      </c>
      <c r="D72" s="261">
        <v>14</v>
      </c>
      <c r="E72" s="260">
        <v>1</v>
      </c>
      <c r="F72" s="260"/>
      <c r="G72" s="260"/>
      <c r="H72" s="260"/>
      <c r="I72" s="49">
        <f t="shared" si="2"/>
        <v>6.2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65</v>
      </c>
      <c r="B73" s="261">
        <v>306</v>
      </c>
      <c r="C73" s="261">
        <v>11</v>
      </c>
      <c r="D73" s="261">
        <v>13</v>
      </c>
      <c r="E73" s="260">
        <v>1</v>
      </c>
      <c r="F73" s="260"/>
      <c r="G73" s="260"/>
      <c r="H73" s="260"/>
      <c r="I73" s="49">
        <f t="shared" si="2"/>
        <v>5.2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70</v>
      </c>
      <c r="B74" s="261">
        <v>316</v>
      </c>
      <c r="C74" s="261">
        <v>12</v>
      </c>
      <c r="D74" s="261">
        <v>13</v>
      </c>
      <c r="E74" s="260">
        <v>1</v>
      </c>
      <c r="F74" s="260"/>
      <c r="G74" s="260"/>
      <c r="H74" s="260"/>
      <c r="I74" s="49">
        <f t="shared" si="2"/>
        <v>4.5999999999999996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75</v>
      </c>
      <c r="B75" s="261">
        <v>324</v>
      </c>
      <c r="C75" s="261">
        <v>13</v>
      </c>
      <c r="D75" s="261">
        <v>12</v>
      </c>
      <c r="E75" s="260">
        <v>1</v>
      </c>
      <c r="F75" s="260"/>
      <c r="G75" s="260"/>
      <c r="H75" s="260"/>
      <c r="I75" s="49">
        <f t="shared" si="2"/>
        <v>4.2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80</v>
      </c>
      <c r="B76" s="261">
        <v>330</v>
      </c>
      <c r="C76" s="261">
        <v>14</v>
      </c>
      <c r="D76" s="261">
        <v>11</v>
      </c>
      <c r="E76" s="260">
        <v>1</v>
      </c>
      <c r="F76" s="260"/>
      <c r="G76" s="260"/>
      <c r="H76" s="260"/>
      <c r="I76" s="49">
        <f t="shared" si="2"/>
        <v>3.6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Tilleul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5" t="s">
        <v>186</v>
      </c>
      <c r="D86" s="265"/>
      <c r="E86" s="266" t="s">
        <v>187</v>
      </c>
      <c r="F86" s="267"/>
      <c r="G86" s="267"/>
      <c r="H86" s="268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10</v>
      </c>
      <c r="B88" s="261">
        <v>11</v>
      </c>
      <c r="C88" s="261"/>
      <c r="D88" s="261">
        <v>0</v>
      </c>
      <c r="E88" s="260"/>
      <c r="F88" s="260"/>
      <c r="G88" s="260"/>
      <c r="H88" s="260"/>
      <c r="I88" s="53">
        <f>IFERROR(B88/A88,"")</f>
        <v>1.1000000000000001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15</v>
      </c>
      <c r="B89" s="261">
        <v>65</v>
      </c>
      <c r="C89" s="261">
        <v>1</v>
      </c>
      <c r="D89" s="261">
        <v>32</v>
      </c>
      <c r="E89" s="260"/>
      <c r="F89" s="260"/>
      <c r="G89" s="260"/>
      <c r="H89" s="260">
        <v>1</v>
      </c>
      <c r="I89" s="53">
        <f t="shared" ref="I89:I107" si="3">IF(A89&lt;&gt;0,(B89-(B88-D88))/(A89-A88),"")</f>
        <v>10.8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20</v>
      </c>
      <c r="B90" s="261">
        <v>102</v>
      </c>
      <c r="C90" s="261">
        <v>2</v>
      </c>
      <c r="D90" s="261">
        <v>35</v>
      </c>
      <c r="E90" s="260"/>
      <c r="F90" s="260"/>
      <c r="G90" s="260"/>
      <c r="H90" s="260">
        <v>1</v>
      </c>
      <c r="I90" s="53">
        <f t="shared" si="3"/>
        <v>13.8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25</v>
      </c>
      <c r="B91" s="261">
        <v>141</v>
      </c>
      <c r="C91" s="261">
        <v>3</v>
      </c>
      <c r="D91" s="261">
        <v>35</v>
      </c>
      <c r="E91" s="260"/>
      <c r="F91" s="260"/>
      <c r="G91" s="260"/>
      <c r="H91" s="260">
        <v>1</v>
      </c>
      <c r="I91" s="53">
        <f t="shared" si="3"/>
        <v>14.8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30</v>
      </c>
      <c r="B92" s="261">
        <v>177</v>
      </c>
      <c r="C92" s="261">
        <v>4</v>
      </c>
      <c r="D92" s="261">
        <v>35</v>
      </c>
      <c r="E92" s="260"/>
      <c r="F92" s="260"/>
      <c r="G92" s="260"/>
      <c r="H92" s="260">
        <v>1</v>
      </c>
      <c r="I92" s="53">
        <f t="shared" si="3"/>
        <v>14.2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35</v>
      </c>
      <c r="B93" s="261">
        <v>206</v>
      </c>
      <c r="C93" s="261">
        <v>5</v>
      </c>
      <c r="D93" s="261">
        <v>35</v>
      </c>
      <c r="E93" s="260">
        <v>1</v>
      </c>
      <c r="F93" s="260"/>
      <c r="G93" s="260"/>
      <c r="H93" s="260"/>
      <c r="I93" s="53">
        <f t="shared" si="3"/>
        <v>12.8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40</v>
      </c>
      <c r="B94" s="261">
        <v>228</v>
      </c>
      <c r="C94" s="261">
        <v>6</v>
      </c>
      <c r="D94" s="261">
        <v>35</v>
      </c>
      <c r="E94" s="260">
        <v>1</v>
      </c>
      <c r="F94" s="260"/>
      <c r="G94" s="260"/>
      <c r="H94" s="260"/>
      <c r="I94" s="53">
        <f t="shared" si="3"/>
        <v>11.4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45</v>
      </c>
      <c r="B95" s="261">
        <v>242</v>
      </c>
      <c r="C95" s="261">
        <v>7</v>
      </c>
      <c r="D95" s="261">
        <v>24</v>
      </c>
      <c r="E95" s="260">
        <v>1</v>
      </c>
      <c r="F95" s="260"/>
      <c r="G95" s="260"/>
      <c r="H95" s="260"/>
      <c r="I95" s="53">
        <f t="shared" si="3"/>
        <v>9.8000000000000007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50</v>
      </c>
      <c r="B96" s="261">
        <v>261</v>
      </c>
      <c r="C96" s="261">
        <v>8</v>
      </c>
      <c r="D96" s="261">
        <v>19</v>
      </c>
      <c r="E96" s="260">
        <v>1</v>
      </c>
      <c r="F96" s="260"/>
      <c r="G96" s="260"/>
      <c r="H96" s="260"/>
      <c r="I96" s="53">
        <f t="shared" si="3"/>
        <v>8.6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55</v>
      </c>
      <c r="B97" s="261">
        <v>279</v>
      </c>
      <c r="C97" s="261">
        <v>9</v>
      </c>
      <c r="D97" s="261">
        <v>16</v>
      </c>
      <c r="E97" s="260">
        <v>1</v>
      </c>
      <c r="F97" s="260"/>
      <c r="G97" s="260"/>
      <c r="H97" s="260"/>
      <c r="I97" s="53">
        <f t="shared" si="3"/>
        <v>7.4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60</v>
      </c>
      <c r="B98" s="261">
        <v>294</v>
      </c>
      <c r="C98" s="261">
        <v>10</v>
      </c>
      <c r="D98" s="261">
        <v>14</v>
      </c>
      <c r="E98" s="260">
        <v>1</v>
      </c>
      <c r="F98" s="260"/>
      <c r="G98" s="260"/>
      <c r="H98" s="260"/>
      <c r="I98" s="53">
        <f t="shared" si="3"/>
        <v>6.2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65</v>
      </c>
      <c r="B99" s="261">
        <v>306</v>
      </c>
      <c r="C99" s="261">
        <v>11</v>
      </c>
      <c r="D99" s="261">
        <v>13</v>
      </c>
      <c r="E99" s="260">
        <v>1</v>
      </c>
      <c r="F99" s="260"/>
      <c r="G99" s="260"/>
      <c r="H99" s="260"/>
      <c r="I99" s="53">
        <f t="shared" si="3"/>
        <v>5.2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70</v>
      </c>
      <c r="B100" s="261">
        <v>316</v>
      </c>
      <c r="C100" s="261">
        <v>12</v>
      </c>
      <c r="D100" s="261">
        <v>13</v>
      </c>
      <c r="E100" s="260">
        <v>1</v>
      </c>
      <c r="F100" s="260"/>
      <c r="G100" s="260"/>
      <c r="H100" s="260"/>
      <c r="I100" s="53">
        <f t="shared" si="3"/>
        <v>4.5999999999999996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75</v>
      </c>
      <c r="B101" s="261">
        <v>324</v>
      </c>
      <c r="C101" s="261">
        <v>13</v>
      </c>
      <c r="D101" s="261">
        <v>12</v>
      </c>
      <c r="E101" s="260">
        <v>1</v>
      </c>
      <c r="F101" s="260"/>
      <c r="G101" s="260"/>
      <c r="H101" s="260"/>
      <c r="I101" s="53">
        <f t="shared" si="3"/>
        <v>4.2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80</v>
      </c>
      <c r="B102" s="261">
        <v>330</v>
      </c>
      <c r="C102" s="261">
        <v>14</v>
      </c>
      <c r="D102" s="261">
        <v>11</v>
      </c>
      <c r="E102" s="260">
        <v>1</v>
      </c>
      <c r="F102" s="260"/>
      <c r="G102" s="260"/>
      <c r="H102" s="260"/>
      <c r="I102" s="53">
        <f t="shared" si="3"/>
        <v>3.6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5" t="s">
        <v>186</v>
      </c>
      <c r="D112" s="265"/>
      <c r="E112" s="266" t="s">
        <v>187</v>
      </c>
      <c r="F112" s="267"/>
      <c r="G112" s="267"/>
      <c r="H112" s="268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56"/>
      <c r="B114" s="256"/>
      <c r="C114" s="256"/>
      <c r="D114" s="256"/>
      <c r="E114" s="255"/>
      <c r="F114" s="255"/>
      <c r="G114" s="255"/>
      <c r="H114" s="255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56"/>
      <c r="B115" s="256"/>
      <c r="C115" s="256"/>
      <c r="D115" s="256"/>
      <c r="E115" s="255"/>
      <c r="F115" s="255"/>
      <c r="G115" s="255"/>
      <c r="H115" s="255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56"/>
      <c r="B116" s="256"/>
      <c r="C116" s="256"/>
      <c r="D116" s="256"/>
      <c r="E116" s="255"/>
      <c r="F116" s="255"/>
      <c r="G116" s="255"/>
      <c r="H116" s="255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56"/>
      <c r="B117" s="256"/>
      <c r="C117" s="256"/>
      <c r="D117" s="256"/>
      <c r="E117" s="255"/>
      <c r="F117" s="255"/>
      <c r="G117" s="255"/>
      <c r="H117" s="255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56"/>
      <c r="B118" s="256"/>
      <c r="C118" s="256"/>
      <c r="D118" s="256"/>
      <c r="E118" s="255"/>
      <c r="F118" s="255"/>
      <c r="G118" s="255"/>
      <c r="H118" s="255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56"/>
      <c r="B119" s="256"/>
      <c r="C119" s="256"/>
      <c r="D119" s="256"/>
      <c r="E119" s="255"/>
      <c r="F119" s="255"/>
      <c r="G119" s="255"/>
      <c r="H119" s="255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56"/>
      <c r="B120" s="256"/>
      <c r="C120" s="256"/>
      <c r="D120" s="256"/>
      <c r="E120" s="255"/>
      <c r="F120" s="255"/>
      <c r="G120" s="255"/>
      <c r="H120" s="255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56"/>
      <c r="B121" s="256"/>
      <c r="C121" s="256"/>
      <c r="D121" s="256"/>
      <c r="E121" s="255"/>
      <c r="F121" s="255"/>
      <c r="G121" s="255"/>
      <c r="H121" s="255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56"/>
      <c r="B122" s="256"/>
      <c r="C122" s="256"/>
      <c r="D122" s="256"/>
      <c r="E122" s="255"/>
      <c r="F122" s="255"/>
      <c r="G122" s="255"/>
      <c r="H122" s="255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56"/>
      <c r="B123" s="256"/>
      <c r="C123" s="256"/>
      <c r="D123" s="256"/>
      <c r="E123" s="255"/>
      <c r="F123" s="255"/>
      <c r="G123" s="255"/>
      <c r="H123" s="255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56"/>
      <c r="B124" s="256"/>
      <c r="C124" s="256"/>
      <c r="D124" s="256"/>
      <c r="E124" s="255"/>
      <c r="F124" s="255"/>
      <c r="G124" s="255"/>
      <c r="H124" s="255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56"/>
      <c r="B125" s="256"/>
      <c r="C125" s="256"/>
      <c r="D125" s="256"/>
      <c r="E125" s="255"/>
      <c r="F125" s="255"/>
      <c r="G125" s="255"/>
      <c r="H125" s="255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56"/>
      <c r="B126" s="256"/>
      <c r="C126" s="256"/>
      <c r="D126" s="256"/>
      <c r="E126" s="255"/>
      <c r="F126" s="255"/>
      <c r="G126" s="255"/>
      <c r="H126" s="25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56"/>
      <c r="B127" s="256"/>
      <c r="C127" s="256"/>
      <c r="D127" s="256"/>
      <c r="E127" s="255"/>
      <c r="F127" s="255"/>
      <c r="G127" s="255"/>
      <c r="H127" s="25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56"/>
      <c r="B128" s="256"/>
      <c r="C128" s="256"/>
      <c r="D128" s="256"/>
      <c r="E128" s="255"/>
      <c r="F128" s="255"/>
      <c r="G128" s="255"/>
      <c r="H128" s="255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56"/>
      <c r="B129" s="256"/>
      <c r="C129" s="256"/>
      <c r="D129" s="256"/>
      <c r="E129" s="255"/>
      <c r="F129" s="255"/>
      <c r="G129" s="255"/>
      <c r="H129" s="255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56"/>
      <c r="B130" s="256"/>
      <c r="C130" s="256"/>
      <c r="D130" s="256"/>
      <c r="E130" s="255"/>
      <c r="F130" s="255"/>
      <c r="G130" s="255"/>
      <c r="H130" s="255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56"/>
      <c r="B131" s="256"/>
      <c r="C131" s="256"/>
      <c r="D131" s="256"/>
      <c r="E131" s="255"/>
      <c r="F131" s="255"/>
      <c r="G131" s="255"/>
      <c r="H131" s="255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56"/>
      <c r="B132" s="256"/>
      <c r="C132" s="256"/>
      <c r="D132" s="256"/>
      <c r="E132" s="255"/>
      <c r="F132" s="255"/>
      <c r="G132" s="255"/>
      <c r="H132" s="255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56"/>
      <c r="B133" s="256"/>
      <c r="C133" s="256"/>
      <c r="D133" s="256"/>
      <c r="E133" s="255"/>
      <c r="F133" s="255"/>
      <c r="G133" s="255"/>
      <c r="H133" s="255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5" t="s">
        <v>186</v>
      </c>
      <c r="D138" s="265"/>
      <c r="E138" s="266" t="s">
        <v>187</v>
      </c>
      <c r="F138" s="267"/>
      <c r="G138" s="267"/>
      <c r="H138" s="268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5" t="s">
        <v>186</v>
      </c>
      <c r="D164" s="265"/>
      <c r="E164" s="266" t="s">
        <v>187</v>
      </c>
      <c r="F164" s="267"/>
      <c r="G164" s="267"/>
      <c r="H164" s="268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5" t="s">
        <v>186</v>
      </c>
      <c r="D190" s="265"/>
      <c r="E190" s="266" t="s">
        <v>187</v>
      </c>
      <c r="F190" s="267"/>
      <c r="G190" s="267"/>
      <c r="H190" s="268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5" t="s">
        <v>186</v>
      </c>
      <c r="D216" s="265"/>
      <c r="E216" s="266" t="s">
        <v>187</v>
      </c>
      <c r="F216" s="267"/>
      <c r="G216" s="267"/>
      <c r="H216" s="268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5" t="s">
        <v>186</v>
      </c>
      <c r="D242" s="265"/>
      <c r="E242" s="266" t="s">
        <v>187</v>
      </c>
      <c r="F242" s="267"/>
      <c r="G242" s="267"/>
      <c r="H242" s="268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5" t="s">
        <v>186</v>
      </c>
      <c r="D268" s="265"/>
      <c r="E268" s="266" t="s">
        <v>187</v>
      </c>
      <c r="F268" s="267"/>
      <c r="G268" s="267"/>
      <c r="H268" s="268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0" sqref="G20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8" t="s">
        <v>191</v>
      </c>
      <c r="C2" s="279"/>
      <c r="D2" s="279"/>
      <c r="E2" s="279"/>
      <c r="F2" s="279"/>
      <c r="G2" s="280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7"/>
      <c r="C4" s="277"/>
      <c r="D4" s="277"/>
      <c r="E4" s="277"/>
      <c r="F4" s="277"/>
      <c r="G4" s="277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26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4" t="s">
        <v>176</v>
      </c>
      <c r="C1" s="285"/>
      <c r="D1" s="285"/>
      <c r="E1" s="285"/>
      <c r="F1" s="285"/>
      <c r="G1" s="285"/>
      <c r="H1" s="286"/>
      <c r="I1" s="281" t="str">
        <f>IF('Données projet'!$B$9="","",'Données projet'!$B$9)</f>
        <v>Chêne pédonculé</v>
      </c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3"/>
      <c r="AD1" s="282" t="str">
        <f>IF('Données projet'!$B$10="","",'Données projet'!$B$10)</f>
        <v>Erable plane</v>
      </c>
      <c r="AE1" s="282"/>
      <c r="AF1" s="282"/>
      <c r="AG1" s="282"/>
      <c r="AH1" s="282"/>
      <c r="AI1" s="282"/>
      <c r="AJ1" s="282"/>
      <c r="AK1" s="282"/>
      <c r="AL1" s="282"/>
      <c r="AM1" s="282"/>
      <c r="AN1" s="282"/>
      <c r="AO1" s="282"/>
      <c r="AP1" s="282"/>
      <c r="AQ1" s="282"/>
      <c r="AR1" s="282"/>
      <c r="AS1" s="282"/>
      <c r="AT1" s="282"/>
      <c r="AU1" s="282"/>
      <c r="AV1" s="282"/>
      <c r="AW1" s="282"/>
      <c r="AX1" s="283"/>
      <c r="AY1" s="281" t="str">
        <f>IF('Données projet'!$B$11="","",'Données projet'!$B$11)</f>
        <v>Tilleul</v>
      </c>
      <c r="AZ1" s="282"/>
      <c r="BA1" s="282"/>
      <c r="BB1" s="282"/>
      <c r="BC1" s="282"/>
      <c r="BD1" s="282"/>
      <c r="BE1" s="282"/>
      <c r="BF1" s="282"/>
      <c r="BG1" s="282"/>
      <c r="BH1" s="282"/>
      <c r="BI1" s="282"/>
      <c r="BJ1" s="282"/>
      <c r="BK1" s="282"/>
      <c r="BL1" s="282"/>
      <c r="BM1" s="282"/>
      <c r="BN1" s="282"/>
      <c r="BO1" s="282"/>
      <c r="BP1" s="282"/>
      <c r="BQ1" s="282"/>
      <c r="BR1" s="282"/>
      <c r="BS1" s="283"/>
      <c r="BT1" s="281" t="str">
        <f>IF('Données projet'!$B$12="","",'Données projet'!$B$12)</f>
        <v/>
      </c>
      <c r="BU1" s="282"/>
      <c r="BV1" s="282"/>
      <c r="BW1" s="282"/>
      <c r="BX1" s="282"/>
      <c r="BY1" s="282"/>
      <c r="BZ1" s="282"/>
      <c r="CA1" s="282"/>
      <c r="CB1" s="282"/>
      <c r="CC1" s="282"/>
      <c r="CD1" s="282"/>
      <c r="CE1" s="282"/>
      <c r="CF1" s="282"/>
      <c r="CG1" s="282"/>
      <c r="CH1" s="282"/>
      <c r="CI1" s="282"/>
      <c r="CJ1" s="282"/>
      <c r="CK1" s="282"/>
      <c r="CL1" s="282"/>
      <c r="CM1" s="282"/>
      <c r="CN1" s="283"/>
      <c r="CO1" s="281" t="str">
        <f>IF('Données projet'!$B$13="","",'Données projet'!$B$13)</f>
        <v/>
      </c>
      <c r="CP1" s="282"/>
      <c r="CQ1" s="282"/>
      <c r="CR1" s="282"/>
      <c r="CS1" s="282"/>
      <c r="CT1" s="282"/>
      <c r="CU1" s="282"/>
      <c r="CV1" s="282"/>
      <c r="CW1" s="282"/>
      <c r="CX1" s="282"/>
      <c r="CY1" s="282"/>
      <c r="CZ1" s="282"/>
      <c r="DA1" s="282"/>
      <c r="DB1" s="282"/>
      <c r="DC1" s="282"/>
      <c r="DD1" s="282"/>
      <c r="DE1" s="282"/>
      <c r="DF1" s="282"/>
      <c r="DG1" s="282"/>
      <c r="DH1" s="282"/>
      <c r="DI1" s="283"/>
      <c r="DJ1" s="281" t="str">
        <f>IF('Données projet'!$B$14="","",'Données projet'!$B$14)</f>
        <v/>
      </c>
      <c r="DK1" s="282"/>
      <c r="DL1" s="282"/>
      <c r="DM1" s="282"/>
      <c r="DN1" s="282"/>
      <c r="DO1" s="282"/>
      <c r="DP1" s="282"/>
      <c r="DQ1" s="282"/>
      <c r="DR1" s="282"/>
      <c r="DS1" s="282"/>
      <c r="DT1" s="282"/>
      <c r="DU1" s="282"/>
      <c r="DV1" s="282"/>
      <c r="DW1" s="282"/>
      <c r="DX1" s="282"/>
      <c r="DY1" s="282"/>
      <c r="DZ1" s="282"/>
      <c r="EA1" s="282"/>
      <c r="EB1" s="282"/>
      <c r="EC1" s="282"/>
      <c r="ED1" s="283"/>
      <c r="EE1" s="281" t="str">
        <f>IF('Données projet'!$B$15="","",'Données projet'!$B$15)</f>
        <v/>
      </c>
      <c r="EF1" s="282"/>
      <c r="EG1" s="282"/>
      <c r="EH1" s="282"/>
      <c r="EI1" s="282"/>
      <c r="EJ1" s="282"/>
      <c r="EK1" s="282"/>
      <c r="EL1" s="282"/>
      <c r="EM1" s="282"/>
      <c r="EN1" s="282"/>
      <c r="EO1" s="282"/>
      <c r="EP1" s="282"/>
      <c r="EQ1" s="282"/>
      <c r="ER1" s="282"/>
      <c r="ES1" s="282"/>
      <c r="ET1" s="282"/>
      <c r="EU1" s="282"/>
      <c r="EV1" s="282"/>
      <c r="EW1" s="282"/>
      <c r="EX1" s="282"/>
      <c r="EY1" s="283"/>
      <c r="EZ1" s="281" t="str">
        <f>IF('Données projet'!$B$16="","",'Données projet'!$B$16)</f>
        <v/>
      </c>
      <c r="FA1" s="282"/>
      <c r="FB1" s="282"/>
      <c r="FC1" s="282"/>
      <c r="FD1" s="282"/>
      <c r="FE1" s="282"/>
      <c r="FF1" s="282"/>
      <c r="FG1" s="282"/>
      <c r="FH1" s="282"/>
      <c r="FI1" s="282"/>
      <c r="FJ1" s="282"/>
      <c r="FK1" s="282"/>
      <c r="FL1" s="282"/>
      <c r="FM1" s="282"/>
      <c r="FN1" s="282"/>
      <c r="FO1" s="282"/>
      <c r="FP1" s="282"/>
      <c r="FQ1" s="282"/>
      <c r="FR1" s="282"/>
      <c r="FS1" s="282"/>
      <c r="FT1" s="283"/>
      <c r="FU1" s="281" t="str">
        <f>IF('Données projet'!$B$17="","",'Données projet'!$B$17)</f>
        <v/>
      </c>
      <c r="FV1" s="282"/>
      <c r="FW1" s="282"/>
      <c r="FX1" s="282"/>
      <c r="FY1" s="282"/>
      <c r="FZ1" s="282"/>
      <c r="GA1" s="282"/>
      <c r="GB1" s="282"/>
      <c r="GC1" s="282"/>
      <c r="GD1" s="282"/>
      <c r="GE1" s="282"/>
      <c r="GF1" s="282"/>
      <c r="GG1" s="282"/>
      <c r="GH1" s="282"/>
      <c r="GI1" s="282"/>
      <c r="GJ1" s="282"/>
      <c r="GK1" s="282"/>
      <c r="GL1" s="282"/>
      <c r="GM1" s="282"/>
      <c r="GN1" s="282"/>
      <c r="GO1" s="283"/>
      <c r="GP1" s="281" t="str">
        <f>IF('Données projet'!$B$18="","",'Données projet'!$B$18)</f>
        <v/>
      </c>
      <c r="GQ1" s="282"/>
      <c r="GR1" s="282"/>
      <c r="GS1" s="282"/>
      <c r="GT1" s="282"/>
      <c r="GU1" s="282"/>
      <c r="GV1" s="282"/>
      <c r="GW1" s="282"/>
      <c r="GX1" s="282"/>
      <c r="GY1" s="282"/>
      <c r="GZ1" s="282"/>
      <c r="HA1" s="282"/>
      <c r="HB1" s="282"/>
      <c r="HC1" s="282"/>
      <c r="HD1" s="282"/>
      <c r="HE1" s="282"/>
      <c r="HF1" s="282"/>
      <c r="HG1" s="282"/>
      <c r="HH1" s="282"/>
      <c r="HI1" s="282"/>
      <c r="HJ1" s="283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267.44861001389006</v>
      </c>
      <c r="T3" s="59">
        <f>IF('Données projet'!E9&gt;30,$R$33-$H$33,LOOKUP('Données projet'!$E$9,$A$3:$A$203,R3:R203)-LOOKUP('Données projet'!$E$9,$A$3:$A$203,$H$3:$H$203))</f>
        <v>165.25921510802965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244.70751760575268</v>
      </c>
      <c r="AO3" s="59">
        <f>IF('Données projet'!E10&gt;30,$AM$33-$H$33,LOOKUP('Données projet'!$E$10,$A$3:$A$203,AM3:AM203)-LOOKUP('Données projet'!$E$10,$A$3:$A$203,$H$3:$H$203))</f>
        <v>248.77995374147798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195.02599095557656</v>
      </c>
      <c r="BJ3" s="59">
        <f>IF('Données projet'!E11&gt;30,$BH$33-$H$33,LOOKUP('Données projet'!$E$11,$A$3:$A$203,BH3:BH203)-LOOKUP('Données projet'!$E$11,$A$3:$A$203,$H$3:$H$203))</f>
        <v>201.41413798956927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0.87360000000000015</v>
      </c>
      <c r="D4" s="11">
        <f>IFERROR(EXP(-1.0587+0.8836*LN(C4)+0.284),0)</f>
        <v>0.40897418972440713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9.9005726926094599</v>
      </c>
      <c r="H4" s="66">
        <f t="shared" ref="H4:H67" si="1">(B4+E4+F4)*44/12+(C4+D4)*0.475*44/12</f>
        <v>295.56715004710333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1.0439615443779955</v>
      </c>
      <c r="P4" s="13">
        <f>EXP(-1.0587+0.8836*LN(O4)+0.284)</f>
        <v>0.478698084995758</v>
      </c>
      <c r="Q4" s="20">
        <f t="shared" ref="Q4:Q34" si="2">(O4+P4)*0.475*44/12</f>
        <v>2.6519655211592874</v>
      </c>
      <c r="R4" s="59">
        <f t="shared" si="0"/>
        <v>295.98529885449261</v>
      </c>
      <c r="S4" s="59">
        <f ca="1">AVERAGE(OFFSET($R$3,0,0,'Données projet'!$E$9+1,1))-AVERAGE(OFFSET($H$3,0,0,'Données projet'!$E$9+1,1))</f>
        <v>267.44861001389006</v>
      </c>
      <c r="T4" s="59">
        <f>$T$3</f>
        <v>165.25921510802965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1.1000000000000001</v>
      </c>
      <c r="AI4" s="13">
        <f>IF('Données projet'!$A$62&gt;35,AI3+AH4-AQ3,IF(A4&lt;'Données projet'!$A$62,$AF$205^A4,IF(A4='Données projet'!$A$62,'Données projet'!$B$62,AI3+AH4-AQ3)))</f>
        <v>1.2709816152101407</v>
      </c>
      <c r="AJ4" s="13">
        <f>AI4*VLOOKUP('Données projet'!$B$10,Paramètres!$A$1:$I$89,3,0)*VLOOKUP('Données projet'!$B$10,Paramètres!$A$1:$I$89,5,0)</f>
        <v>1.0111929730611879</v>
      </c>
      <c r="AK4" s="13">
        <f>EXP(-1.0587+0.8836*LN(AJ4)+0.284)</f>
        <v>0.46539683474213156</v>
      </c>
      <c r="AL4" s="20">
        <f t="shared" ref="AL4:AL67" si="4">(AJ4+AK4)*0.475*44/12</f>
        <v>2.5717272485907814</v>
      </c>
      <c r="AM4" s="59">
        <f t="shared" ref="AM4:AM67" si="5">AL4+(AD4+AE4)*44/12</f>
        <v>295.90506058192409</v>
      </c>
      <c r="AN4" s="59">
        <f ca="1">AVERAGE(OFFSET($AM$3,0,0,'Données projet'!$E$10+1,1))-AVERAGE(OFFSET($H$3,0,0,'Données projet'!$E$10+1,1))</f>
        <v>244.70751760575268</v>
      </c>
      <c r="AO4" s="59">
        <f>$AO$3</f>
        <v>248.77995374147798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1.1000000000000001</v>
      </c>
      <c r="BD4" s="12">
        <f>IF('Données projet'!$A$88&gt;35,BD3+BC4-BL3,IF(A4&lt;'Données projet'!$A$88,$BA$205^A4,IF(A4='Données projet'!$A$88,'Données projet'!$B$88,BD3+BC4-BL3)))</f>
        <v>1.2709816152101407</v>
      </c>
      <c r="BE4" s="13">
        <f>BD4*VLOOKUP('Données projet'!$B$11,Paramètres!$A$1:$I$89,3,0)*VLOOKUP('Données projet'!$B$11,Paramètres!$A$1:$I$89,5,0)</f>
        <v>0.85257446748296239</v>
      </c>
      <c r="BF4" s="13">
        <f>EXP(-1.0587+0.8836*LN(BE4)+0.284)</f>
        <v>0.40026456574842817</v>
      </c>
      <c r="BG4" s="20">
        <f t="shared" ref="BG4:BG67" si="7">(BE4+BF4)*0.475*44/12</f>
        <v>2.1820279828780054</v>
      </c>
      <c r="BH4" s="59">
        <f t="shared" ref="BH4:BH67" si="8">BG4+(AY4+AZ4)*44/12</f>
        <v>295.51536131621134</v>
      </c>
      <c r="BI4" s="59">
        <f ca="1">AVERAGE(OFFSET($BH$3,0,0,'Données projet'!$E$11+1,1))-AVERAGE(OFFSET($H$3,0,0,'Données projet'!$E$11+1,1))</f>
        <v>195.02599095557656</v>
      </c>
      <c r="BJ4" s="59">
        <f>$BJ$3</f>
        <v>201.41413798956927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1.7472000000000003</v>
      </c>
      <c r="D5" s="11">
        <f t="shared" ref="D5:D68" si="32">IFERROR(EXP(-1.0587+0.8836*LN(C5)+0.284),0)</f>
        <v>0.75454649280048791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19.311727312845875</v>
      </c>
      <c r="H5" s="66">
        <f t="shared" si="1"/>
        <v>297.69054180829414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1.2937508382479692</v>
      </c>
      <c r="P5" s="13">
        <f t="shared" ref="P5:P68" si="33">EXP(-1.0587+0.8836*LN(O5)+0.284)</f>
        <v>0.57860648124254321</v>
      </c>
      <c r="Q5" s="20">
        <f t="shared" si="2"/>
        <v>3.2610223314459752</v>
      </c>
      <c r="R5" s="59">
        <f t="shared" si="0"/>
        <v>296.5943556647793</v>
      </c>
      <c r="S5" s="59">
        <f ca="1">AVERAGE(OFFSET($R$3,0,0,'Données projet'!$E$9+1,1))-AVERAGE(OFFSET($H$3,0,0,'Données projet'!$E$9+1,1))</f>
        <v>267.44861001389006</v>
      </c>
      <c r="T5" s="59">
        <f t="shared" ref="T5:T68" si="34">$T$3</f>
        <v>165.25921510802965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1.1000000000000001</v>
      </c>
      <c r="AI5" s="13">
        <f>IF('Données projet'!$A$62&gt;35,AI4+AH5-AQ4,IF(A5&lt;'Données projet'!$A$62,$AF$205^A5,IF(A5='Données projet'!$A$62,'Données projet'!$B$62,AI4+AH5-AQ4)))</f>
        <v>1.6153942662021783</v>
      </c>
      <c r="AJ5" s="13">
        <f>AI5*VLOOKUP('Données projet'!$B$10,Paramètres!$A$1:$I$89,3,0)*VLOOKUP('Données projet'!$B$10,Paramètres!$A$1:$I$89,5,0)</f>
        <v>1.2852076781904531</v>
      </c>
      <c r="AK5" s="13">
        <f t="shared" ref="AK5:AK68" si="35">EXP(-1.0587+0.8836*LN(AJ5)+0.284)</f>
        <v>0.57522914588482876</v>
      </c>
      <c r="AL5" s="20">
        <f t="shared" si="4"/>
        <v>3.2402608019311159</v>
      </c>
      <c r="AM5" s="59">
        <f t="shared" si="5"/>
        <v>296.57359413526444</v>
      </c>
      <c r="AN5" s="59">
        <f ca="1">AVERAGE(OFFSET($AM$3,0,0,'Données projet'!$E$10+1,1))-AVERAGE(OFFSET($H$3,0,0,'Données projet'!$E$10+1,1))</f>
        <v>244.70751760575268</v>
      </c>
      <c r="AO5" s="59">
        <f t="shared" ref="AO5:AO68" si="36">$AO$3</f>
        <v>248.77995374147798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1.1000000000000001</v>
      </c>
      <c r="BD5" s="12">
        <f>IF('Données projet'!$A$88&gt;35,BD4+BC5-BL4,IF(A5&lt;'Données projet'!$A$88,$BA$205^A5,IF(A5='Données projet'!$A$88,'Données projet'!$B$88,BD4+BC5-BL4)))</f>
        <v>1.6153942662021783</v>
      </c>
      <c r="BE5" s="13">
        <f>BD5*VLOOKUP('Données projet'!$B$11,Paramètres!$A$1:$I$89,3,0)*VLOOKUP('Données projet'!$B$11,Paramètres!$A$1:$I$89,5,0)</f>
        <v>1.0836064737684212</v>
      </c>
      <c r="BF5" s="13">
        <f t="shared" ref="BF5:BF68" si="37">EXP(-1.0587+0.8836*LN(BE5)+0.284)</f>
        <v>0.49472584920136886</v>
      </c>
      <c r="BG5" s="20">
        <f t="shared" si="7"/>
        <v>2.7489287958390509</v>
      </c>
      <c r="BH5" s="59">
        <f t="shared" si="8"/>
        <v>296.08226212917236</v>
      </c>
      <c r="BI5" s="59">
        <f ca="1">AVERAGE(OFFSET($BH$3,0,0,'Données projet'!$E$11+1,1))-AVERAGE(OFFSET($H$3,0,0,'Données projet'!$E$11+1,1))</f>
        <v>195.02599095557656</v>
      </c>
      <c r="BJ5" s="59">
        <f t="shared" ref="BJ5:BJ68" si="38">$BJ$3</f>
        <v>201.41413798956927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2.6208000000000005</v>
      </c>
      <c r="D6" s="11">
        <f t="shared" si="32"/>
        <v>1.0796431690647796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28.564824462956199</v>
      </c>
      <c r="H6" s="66">
        <f t="shared" si="1"/>
        <v>299.77827185278778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1.6033073636487132</v>
      </c>
      <c r="P6" s="13">
        <f t="shared" si="33"/>
        <v>0.69936661672428513</v>
      </c>
      <c r="Q6" s="20">
        <f t="shared" si="2"/>
        <v>4.0104905158163051</v>
      </c>
      <c r="R6" s="59">
        <f t="shared" si="0"/>
        <v>297.3438238491496</v>
      </c>
      <c r="S6" s="59">
        <f ca="1">AVERAGE(OFFSET($R$3,0,0,'Données projet'!$E$9+1,1))-AVERAGE(OFFSET($H$3,0,0,'Données projet'!$E$9+1,1))</f>
        <v>267.44861001389006</v>
      </c>
      <c r="T6" s="59">
        <f t="shared" si="34"/>
        <v>165.25921510802965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1.1000000000000001</v>
      </c>
      <c r="AI6" s="13">
        <f>IF('Données projet'!$A$62&gt;35,AI5+AH6-AQ5,IF(A6&lt;'Données projet'!$A$62,$AF$205^A6,IF(A6='Données projet'!$A$62,'Données projet'!$B$62,AI5+AH6-AQ5)))</f>
        <v>2.0531364136588448</v>
      </c>
      <c r="AJ6" s="13">
        <f>AI6*VLOOKUP('Données projet'!$B$10,Paramètres!$A$1:$I$89,3,0)*VLOOKUP('Données projet'!$B$10,Paramètres!$A$1:$I$89,5,0)</f>
        <v>1.6334753307069771</v>
      </c>
      <c r="AK6" s="13">
        <f t="shared" si="35"/>
        <v>0.71098156578295024</v>
      </c>
      <c r="AL6" s="20">
        <f t="shared" si="4"/>
        <v>4.0832624280532892</v>
      </c>
      <c r="AM6" s="59">
        <f t="shared" si="5"/>
        <v>297.41659576138659</v>
      </c>
      <c r="AN6" s="59">
        <f ca="1">AVERAGE(OFFSET($AM$3,0,0,'Données projet'!$E$10+1,1))-AVERAGE(OFFSET($H$3,0,0,'Données projet'!$E$10+1,1))</f>
        <v>244.70751760575268</v>
      </c>
      <c r="AO6" s="59">
        <f t="shared" si="36"/>
        <v>248.77995374147798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1.1000000000000001</v>
      </c>
      <c r="BD6" s="12">
        <f>IF('Données projet'!$A$88&gt;35,BD5+BC6-BL5,IF(A6&lt;'Données projet'!$A$88,$BA$205^A6,IF(A6='Données projet'!$A$88,'Données projet'!$B$88,BD5+BC6-BL5)))</f>
        <v>2.0531364136588448</v>
      </c>
      <c r="BE6" s="13">
        <f>BD6*VLOOKUP('Données projet'!$B$11,Paramètres!$A$1:$I$89,3,0)*VLOOKUP('Données projet'!$B$11,Paramètres!$A$1:$I$89,5,0)</f>
        <v>1.3772439062823532</v>
      </c>
      <c r="BF6" s="13">
        <f t="shared" si="37"/>
        <v>0.61147972319350075</v>
      </c>
      <c r="BG6" s="20">
        <f t="shared" si="7"/>
        <v>3.4636936546704455</v>
      </c>
      <c r="BH6" s="59">
        <f t="shared" si="8"/>
        <v>296.79702698800378</v>
      </c>
      <c r="BI6" s="59">
        <f ca="1">AVERAGE(OFFSET($BH$3,0,0,'Données projet'!$E$11+1,1))-AVERAGE(OFFSET($H$3,0,0,'Données projet'!$E$11+1,1))</f>
        <v>195.02599095557656</v>
      </c>
      <c r="BJ6" s="59">
        <f t="shared" si="38"/>
        <v>201.41413798956927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3.4944000000000006</v>
      </c>
      <c r="D7" s="11">
        <f t="shared" si="32"/>
        <v>1.392118192547003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37.720491310889152</v>
      </c>
      <c r="H7" s="66">
        <f t="shared" si="1"/>
        <v>301.84401918535269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1.9869316612859962</v>
      </c>
      <c r="P7" s="13">
        <f t="shared" si="33"/>
        <v>0.84533042826968274</v>
      </c>
      <c r="Q7" s="20">
        <f t="shared" si="2"/>
        <v>4.9328564726428068</v>
      </c>
      <c r="R7" s="59">
        <f t="shared" si="0"/>
        <v>298.26618980597613</v>
      </c>
      <c r="S7" s="59">
        <f ca="1">AVERAGE(OFFSET($R$3,0,0,'Données projet'!$E$9+1,1))-AVERAGE(OFFSET($H$3,0,0,'Données projet'!$E$9+1,1))</f>
        <v>267.44861001389006</v>
      </c>
      <c r="T7" s="59">
        <f t="shared" si="34"/>
        <v>165.25921510802965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1.1000000000000001</v>
      </c>
      <c r="AI7" s="13">
        <f>IF('Données projet'!$A$62&gt;35,AI6+AH7-AQ6,IF(A7&lt;'Données projet'!$A$62,$AF$205^A7,IF(A7='Données projet'!$A$62,'Données projet'!$B$62,AI6+AH7-AQ6)))</f>
        <v>2.6094986352788743</v>
      </c>
      <c r="AJ7" s="13">
        <f>AI7*VLOOKUP('Données projet'!$B$10,Paramètres!$A$1:$I$89,3,0)*VLOOKUP('Données projet'!$B$10,Paramètres!$A$1:$I$89,5,0)</f>
        <v>2.0761171142278725</v>
      </c>
      <c r="AK7" s="13">
        <f t="shared" si="35"/>
        <v>0.87877116536856548</v>
      </c>
      <c r="AL7" s="20">
        <f t="shared" si="4"/>
        <v>5.14643042029713</v>
      </c>
      <c r="AM7" s="59">
        <f t="shared" si="5"/>
        <v>298.47976375363044</v>
      </c>
      <c r="AN7" s="59">
        <f ca="1">AVERAGE(OFFSET($AM$3,0,0,'Données projet'!$E$10+1,1))-AVERAGE(OFFSET($H$3,0,0,'Données projet'!$E$10+1,1))</f>
        <v>244.70751760575268</v>
      </c>
      <c r="AO7" s="59">
        <f t="shared" si="36"/>
        <v>248.77995374147798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1.1000000000000001</v>
      </c>
      <c r="BD7" s="12">
        <f>IF('Données projet'!$A$88&gt;35,BD6+BC7-BL6,IF(A7&lt;'Données projet'!$A$88,$BA$205^A7,IF(A7='Données projet'!$A$88,'Données projet'!$B$88,BD6+BC7-BL6)))</f>
        <v>2.6094986352788743</v>
      </c>
      <c r="BE7" s="13">
        <f>BD7*VLOOKUP('Données projet'!$B$11,Paramètres!$A$1:$I$89,3,0)*VLOOKUP('Données projet'!$B$11,Paramètres!$A$1:$I$89,5,0)</f>
        <v>1.7504516845450688</v>
      </c>
      <c r="BF7" s="13">
        <f t="shared" si="37"/>
        <v>0.75578717481691204</v>
      </c>
      <c r="BG7" s="20">
        <f t="shared" si="7"/>
        <v>4.3650326800554504</v>
      </c>
      <c r="BH7" s="59">
        <f t="shared" si="8"/>
        <v>297.69836601338875</v>
      </c>
      <c r="BI7" s="59">
        <f ca="1">AVERAGE(OFFSET($BH$3,0,0,'Données projet'!$E$11+1,1))-AVERAGE(OFFSET($H$3,0,0,'Données projet'!$E$11+1,1))</f>
        <v>195.02599095557656</v>
      </c>
      <c r="BJ7" s="59">
        <f t="shared" si="38"/>
        <v>201.41413798956927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4.3680000000000003</v>
      </c>
      <c r="D8" s="11">
        <f t="shared" si="32"/>
        <v>1.6955312417477204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46.806206076649083</v>
      </c>
      <c r="H8" s="66">
        <f t="shared" si="1"/>
        <v>303.89398357937728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2.462345970666743</v>
      </c>
      <c r="P8" s="13">
        <f t="shared" si="33"/>
        <v>1.021758139251189</v>
      </c>
      <c r="Q8" s="20">
        <f t="shared" si="2"/>
        <v>6.068147991440398</v>
      </c>
      <c r="R8" s="59">
        <f t="shared" si="0"/>
        <v>299.40148132477373</v>
      </c>
      <c r="S8" s="59">
        <f ca="1">AVERAGE(OFFSET($R$3,0,0,'Données projet'!$E$9+1,1))-AVERAGE(OFFSET($H$3,0,0,'Données projet'!$E$9+1,1))</f>
        <v>267.44861001389006</v>
      </c>
      <c r="T8" s="59">
        <f t="shared" si="34"/>
        <v>165.25921510802965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1.1000000000000001</v>
      </c>
      <c r="AI8" s="13">
        <f>IF('Données projet'!$A$62&gt;35,AI7+AH8-AQ7,IF(A8&lt;'Données projet'!$A$62,$AF$205^A8,IF(A8='Données projet'!$A$62,'Données projet'!$B$62,AI7+AH8-AQ7)))</f>
        <v>3.3166247903554016</v>
      </c>
      <c r="AJ8" s="13">
        <f>AI8*VLOOKUP('Données projet'!$B$10,Paramètres!$A$1:$I$89,3,0)*VLOOKUP('Données projet'!$B$10,Paramètres!$A$1:$I$89,5,0)</f>
        <v>2.6387066832067574</v>
      </c>
      <c r="AK8" s="13">
        <f t="shared" si="35"/>
        <v>1.0861586266766543</v>
      </c>
      <c r="AL8" s="20">
        <f t="shared" si="4"/>
        <v>6.4874737480469413</v>
      </c>
      <c r="AM8" s="59">
        <f t="shared" si="5"/>
        <v>299.82080708138028</v>
      </c>
      <c r="AN8" s="59">
        <f ca="1">AVERAGE(OFFSET($AM$3,0,0,'Données projet'!$E$10+1,1))-AVERAGE(OFFSET($H$3,0,0,'Données projet'!$E$10+1,1))</f>
        <v>244.70751760575268</v>
      </c>
      <c r="AO8" s="59">
        <f t="shared" si="36"/>
        <v>248.77995374147798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1.1000000000000001</v>
      </c>
      <c r="BD8" s="12">
        <f>IF('Données projet'!$A$88&gt;35,BD7+BC8-BL7,IF(A8&lt;'Données projet'!$A$88,$BA$205^A8,IF(A8='Données projet'!$A$88,'Données projet'!$B$88,BD7+BC8-BL7)))</f>
        <v>3.3166247903554016</v>
      </c>
      <c r="BE8" s="13">
        <f>BD8*VLOOKUP('Données projet'!$B$11,Paramètres!$A$1:$I$89,3,0)*VLOOKUP('Données projet'!$B$11,Paramètres!$A$1:$I$89,5,0)</f>
        <v>2.2247919093704032</v>
      </c>
      <c r="BF8" s="13">
        <f t="shared" si="37"/>
        <v>0.93415076894867155</v>
      </c>
      <c r="BG8" s="20">
        <f t="shared" si="7"/>
        <v>5.5018251647390555</v>
      </c>
      <c r="BH8" s="59">
        <f t="shared" si="8"/>
        <v>298.83515849807236</v>
      </c>
      <c r="BI8" s="59">
        <f ca="1">AVERAGE(OFFSET($BH$3,0,0,'Données projet'!$E$11+1,1))-AVERAGE(OFFSET($H$3,0,0,'Données projet'!$E$11+1,1))</f>
        <v>195.02599095557656</v>
      </c>
      <c r="BJ8" s="59">
        <f t="shared" si="38"/>
        <v>201.41413798956927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5.2416</v>
      </c>
      <c r="D9" s="11">
        <f t="shared" si="32"/>
        <v>1.9919129059043814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55.83764348417418</v>
      </c>
      <c r="H9" s="66">
        <f t="shared" si="1"/>
        <v>305.93170164445013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3.0515129419874016</v>
      </c>
      <c r="P9" s="13">
        <f t="shared" si="33"/>
        <v>1.2350078267772846</v>
      </c>
      <c r="Q9" s="20">
        <f t="shared" si="2"/>
        <v>7.4656903389318279</v>
      </c>
      <c r="R9" s="59">
        <f t="shared" si="0"/>
        <v>300.79902367226515</v>
      </c>
      <c r="S9" s="59">
        <f ca="1">AVERAGE(OFFSET($R$3,0,0,'Données projet'!$E$9+1,1))-AVERAGE(OFFSET($H$3,0,0,'Données projet'!$E$9+1,1))</f>
        <v>267.44861001389006</v>
      </c>
      <c r="T9" s="59">
        <f t="shared" si="34"/>
        <v>165.25921510802965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1.1000000000000001</v>
      </c>
      <c r="AI9" s="13">
        <f>IF('Données projet'!$A$62&gt;35,AI8+AH9-AQ8,IF(A9&lt;'Données projet'!$A$62,$AF$205^A9,IF(A9='Données projet'!$A$62,'Données projet'!$B$62,AI8+AH9-AQ8)))</f>
        <v>4.2153691330919028</v>
      </c>
      <c r="AJ9" s="13">
        <f>AI9*VLOOKUP('Données projet'!$B$10,Paramètres!$A$1:$I$89,3,0)*VLOOKUP('Données projet'!$B$10,Paramètres!$A$1:$I$89,5,0)</f>
        <v>3.353747682287918</v>
      </c>
      <c r="AK9" s="13">
        <f t="shared" si="35"/>
        <v>1.3424889309030987</v>
      </c>
      <c r="AL9" s="20">
        <f t="shared" si="4"/>
        <v>8.1792787679743544</v>
      </c>
      <c r="AM9" s="59">
        <f t="shared" si="5"/>
        <v>301.5126121013077</v>
      </c>
      <c r="AN9" s="59">
        <f ca="1">AVERAGE(OFFSET($AM$3,0,0,'Données projet'!$E$10+1,1))-AVERAGE(OFFSET($H$3,0,0,'Données projet'!$E$10+1,1))</f>
        <v>244.70751760575268</v>
      </c>
      <c r="AO9" s="59">
        <f t="shared" si="36"/>
        <v>248.77995374147798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1.1000000000000001</v>
      </c>
      <c r="BD9" s="12">
        <f>IF('Données projet'!$A$88&gt;35,BD8+BC9-BL8,IF(A9&lt;'Données projet'!$A$88,$BA$205^A9,IF(A9='Données projet'!$A$88,'Données projet'!$B$88,BD8+BC9-BL8)))</f>
        <v>4.2153691330919028</v>
      </c>
      <c r="BE9" s="13">
        <f>BD9*VLOOKUP('Données projet'!$B$11,Paramètres!$A$1:$I$89,3,0)*VLOOKUP('Données projet'!$B$11,Paramètres!$A$1:$I$89,5,0)</f>
        <v>2.8276696144780482</v>
      </c>
      <c r="BF9" s="13">
        <f t="shared" si="37"/>
        <v>1.1546076570283019</v>
      </c>
      <c r="BG9" s="20">
        <f t="shared" si="7"/>
        <v>6.9357995812068935</v>
      </c>
      <c r="BH9" s="59">
        <f t="shared" si="8"/>
        <v>300.26913291454019</v>
      </c>
      <c r="BI9" s="59">
        <f ca="1">AVERAGE(OFFSET($BH$3,0,0,'Données projet'!$E$11+1,1))-AVERAGE(OFFSET($H$3,0,0,'Données projet'!$E$11+1,1))</f>
        <v>195.02599095557656</v>
      </c>
      <c r="BJ9" s="59">
        <f t="shared" si="38"/>
        <v>201.41413798956927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6.1151999999999997</v>
      </c>
      <c r="D10" s="11">
        <f t="shared" si="32"/>
        <v>2.2825722273844922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64.824908421915381</v>
      </c>
      <c r="H10" s="66">
        <f t="shared" si="1"/>
        <v>307.95945329602796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3.7816502416982529</v>
      </c>
      <c r="P10" s="13">
        <f t="shared" si="33"/>
        <v>1.492764553183741</v>
      </c>
      <c r="Q10" s="20">
        <f t="shared" si="2"/>
        <v>9.1862724344194735</v>
      </c>
      <c r="R10" s="59">
        <f t="shared" si="0"/>
        <v>302.51960576775281</v>
      </c>
      <c r="S10" s="59">
        <f ca="1">AVERAGE(OFFSET($R$3,0,0,'Données projet'!$E$9+1,1))-AVERAGE(OFFSET($H$3,0,0,'Données projet'!$E$9+1,1))</f>
        <v>267.44861001389006</v>
      </c>
      <c r="T10" s="59">
        <f t="shared" si="34"/>
        <v>165.25921510802965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1.1000000000000001</v>
      </c>
      <c r="AI10" s="13">
        <f>IF('Données projet'!$A$62&gt;35,AI9+AH10-AQ9,IF(A10&lt;'Données projet'!$A$62,$AF$205^A10,IF(A10='Données projet'!$A$62,'Données projet'!$B$62,AI9+AH10-AQ9)))</f>
        <v>5.3576566694841175</v>
      </c>
      <c r="AJ10" s="13">
        <f>AI10*VLOOKUP('Données projet'!$B$10,Paramètres!$A$1:$I$89,3,0)*VLOOKUP('Données projet'!$B$10,Paramètres!$A$1:$I$89,5,0)</f>
        <v>4.2625516462415645</v>
      </c>
      <c r="AK10" s="13">
        <f t="shared" si="35"/>
        <v>1.6593124478620722</v>
      </c>
      <c r="AL10" s="20">
        <f t="shared" si="4"/>
        <v>10.313913297230501</v>
      </c>
      <c r="AM10" s="59">
        <f t="shared" si="5"/>
        <v>303.64724663056381</v>
      </c>
      <c r="AN10" s="59">
        <f ca="1">AVERAGE(OFFSET($AM$3,0,0,'Données projet'!$E$10+1,1))-AVERAGE(OFFSET($H$3,0,0,'Données projet'!$E$10+1,1))</f>
        <v>244.70751760575268</v>
      </c>
      <c r="AO10" s="59">
        <f t="shared" si="36"/>
        <v>248.77995374147798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1.1000000000000001</v>
      </c>
      <c r="BD10" s="12">
        <f>IF('Données projet'!$A$88&gt;35,BD9+BC10-BL9,IF(A10&lt;'Données projet'!$A$88,$BA$205^A10,IF(A10='Données projet'!$A$88,'Données projet'!$B$88,BD9+BC10-BL9)))</f>
        <v>5.3576566694841175</v>
      </c>
      <c r="BE10" s="13">
        <f>BD10*VLOOKUP('Données projet'!$B$11,Paramètres!$A$1:$I$89,3,0)*VLOOKUP('Données projet'!$B$11,Paramètres!$A$1:$I$89,5,0)</f>
        <v>3.5939160938899462</v>
      </c>
      <c r="BF10" s="13">
        <f t="shared" si="37"/>
        <v>1.4270917350619183</v>
      </c>
      <c r="BG10" s="20">
        <f t="shared" si="7"/>
        <v>8.7449219687578292</v>
      </c>
      <c r="BH10" s="59">
        <f t="shared" si="8"/>
        <v>302.07825530209112</v>
      </c>
      <c r="BI10" s="59">
        <f ca="1">AVERAGE(OFFSET($BH$3,0,0,'Données projet'!$E$11+1,1))-AVERAGE(OFFSET($H$3,0,0,'Données projet'!$E$11+1,1))</f>
        <v>195.02599095557656</v>
      </c>
      <c r="BJ10" s="59">
        <f t="shared" si="38"/>
        <v>201.41413798956927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6.9887999999999995</v>
      </c>
      <c r="D11" s="11">
        <f t="shared" si="32"/>
        <v>2.5684210058779833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73.775039343619525</v>
      </c>
      <c r="H11" s="66">
        <f t="shared" si="1"/>
        <v>309.97882658523747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4.6864879233389463</v>
      </c>
      <c r="P11" s="13">
        <f t="shared" si="33"/>
        <v>1.8043173192324258</v>
      </c>
      <c r="Q11" s="20">
        <f t="shared" si="2"/>
        <v>11.304819130811806</v>
      </c>
      <c r="R11" s="59">
        <f t="shared" si="0"/>
        <v>304.63815246414509</v>
      </c>
      <c r="S11" s="59">
        <f ca="1">AVERAGE(OFFSET($R$3,0,0,'Données projet'!$E$9+1,1))-AVERAGE(OFFSET($H$3,0,0,'Données projet'!$E$9+1,1))</f>
        <v>267.44861001389006</v>
      </c>
      <c r="T11" s="59">
        <f t="shared" si="34"/>
        <v>165.25921510802965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1.1000000000000001</v>
      </c>
      <c r="AI11" s="13">
        <f>IF('Données projet'!$A$62&gt;35,AI10+AH11-AQ10,IF(A11&lt;'Données projet'!$A$62,$AF$205^A11,IF(A11='Données projet'!$A$62,'Données projet'!$B$62,AI10+AH11-AQ10)))</f>
        <v>6.8094831275223076</v>
      </c>
      <c r="AJ11" s="13">
        <f>AI11*VLOOKUP('Données projet'!$B$10,Paramètres!$A$1:$I$89,3,0)*VLOOKUP('Données projet'!$B$10,Paramètres!$A$1:$I$89,5,0)</f>
        <v>5.4176247762567487</v>
      </c>
      <c r="AK11" s="13">
        <f t="shared" si="35"/>
        <v>2.0509054013412618</v>
      </c>
      <c r="AL11" s="20">
        <f t="shared" si="4"/>
        <v>13.007690059316532</v>
      </c>
      <c r="AM11" s="59">
        <f t="shared" si="5"/>
        <v>306.34102339264984</v>
      </c>
      <c r="AN11" s="59">
        <f ca="1">AVERAGE(OFFSET($AM$3,0,0,'Données projet'!$E$10+1,1))-AVERAGE(OFFSET($H$3,0,0,'Données projet'!$E$10+1,1))</f>
        <v>244.70751760575268</v>
      </c>
      <c r="AO11" s="59">
        <f t="shared" si="36"/>
        <v>248.77995374147798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1.1000000000000001</v>
      </c>
      <c r="BD11" s="12">
        <f>IF('Données projet'!$A$88&gt;35,BD10+BC11-BL10,IF(A11&lt;'Données projet'!$A$88,$BA$205^A11,IF(A11='Données projet'!$A$88,'Données projet'!$B$88,BD10+BC11-BL10)))</f>
        <v>6.8094831275223076</v>
      </c>
      <c r="BE11" s="13">
        <f>BD11*VLOOKUP('Données projet'!$B$11,Paramètres!$A$1:$I$89,3,0)*VLOOKUP('Données projet'!$B$11,Paramètres!$A$1:$I$89,5,0)</f>
        <v>4.5678012819419642</v>
      </c>
      <c r="BF11" s="13">
        <f t="shared" si="37"/>
        <v>1.7638812698711521</v>
      </c>
      <c r="BG11" s="20">
        <f t="shared" si="7"/>
        <v>11.027680444407844</v>
      </c>
      <c r="BH11" s="59">
        <f t="shared" si="8"/>
        <v>304.36101377774116</v>
      </c>
      <c r="BI11" s="59">
        <f ca="1">AVERAGE(OFFSET($BH$3,0,0,'Données projet'!$E$11+1,1))-AVERAGE(OFFSET($H$3,0,0,'Données projet'!$E$11+1,1))</f>
        <v>195.02599095557656</v>
      </c>
      <c r="BJ11" s="59">
        <f t="shared" si="38"/>
        <v>201.41413798956927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7.8623999999999992</v>
      </c>
      <c r="D12" s="11">
        <f t="shared" si="32"/>
        <v>2.8501294257559762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82.693209602326831</v>
      </c>
      <c r="H12" s="66">
        <f t="shared" si="1"/>
        <v>311.99098874985827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5.8078266502347455</v>
      </c>
      <c r="P12" s="13">
        <f t="shared" si="33"/>
        <v>2.1808938198181922</v>
      </c>
      <c r="Q12" s="20">
        <f t="shared" si="2"/>
        <v>13.913688152008866</v>
      </c>
      <c r="R12" s="59">
        <f t="shared" si="0"/>
        <v>307.2470214853422</v>
      </c>
      <c r="S12" s="59">
        <f ca="1">AVERAGE(OFFSET($R$3,0,0,'Données projet'!$E$9+1,1))-AVERAGE(OFFSET($H$3,0,0,'Données projet'!$E$9+1,1))</f>
        <v>267.44861001389006</v>
      </c>
      <c r="T12" s="59">
        <f t="shared" si="34"/>
        <v>165.25921510802965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1.1000000000000001</v>
      </c>
      <c r="AI12" s="13">
        <f>IF('Données projet'!$A$62&gt;35,AI11+AH12-AQ11,IF(A12&lt;'Données projet'!$A$62,$AF$205^A12,IF(A12='Données projet'!$A$62,'Données projet'!$B$62,AI11+AH12-AQ11)))</f>
        <v>8.6547278641645029</v>
      </c>
      <c r="AJ12" s="13">
        <f>AI12*VLOOKUP('Données projet'!$B$10,Paramètres!$A$1:$I$89,3,0)*VLOOKUP('Données projet'!$B$10,Paramètres!$A$1:$I$89,5,0)</f>
        <v>6.8857014887292793</v>
      </c>
      <c r="AK12" s="13">
        <f t="shared" si="35"/>
        <v>2.5349131627802968</v>
      </c>
      <c r="AL12" s="20">
        <f t="shared" si="4"/>
        <v>16.407570518045844</v>
      </c>
      <c r="AM12" s="59">
        <f t="shared" si="5"/>
        <v>309.74090385137913</v>
      </c>
      <c r="AN12" s="59">
        <f ca="1">AVERAGE(OFFSET($AM$3,0,0,'Données projet'!$E$10+1,1))-AVERAGE(OFFSET($H$3,0,0,'Données projet'!$E$10+1,1))</f>
        <v>244.70751760575268</v>
      </c>
      <c r="AO12" s="59">
        <f t="shared" si="36"/>
        <v>248.77995374147798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1.1000000000000001</v>
      </c>
      <c r="BD12" s="12">
        <f>IF('Données projet'!$A$88&gt;35,BD11+BC12-BL11,IF(A12&lt;'Données projet'!$A$88,$BA$205^A12,IF(A12='Données projet'!$A$88,'Données projet'!$B$88,BD11+BC12-BL11)))</f>
        <v>8.6547278641645029</v>
      </c>
      <c r="BE12" s="13">
        <f>BD12*VLOOKUP('Données projet'!$B$11,Paramètres!$A$1:$I$89,3,0)*VLOOKUP('Données projet'!$B$11,Paramètres!$A$1:$I$89,5,0)</f>
        <v>5.8055914512815487</v>
      </c>
      <c r="BF12" s="13">
        <f t="shared" si="37"/>
        <v>2.1801521638461985</v>
      </c>
      <c r="BG12" s="20">
        <f t="shared" si="7"/>
        <v>13.908503463014158</v>
      </c>
      <c r="BH12" s="59">
        <f t="shared" si="8"/>
        <v>307.24183679634746</v>
      </c>
      <c r="BI12" s="59">
        <f ca="1">AVERAGE(OFFSET($BH$3,0,0,'Données projet'!$E$11+1,1))-AVERAGE(OFFSET($H$3,0,0,'Données projet'!$E$11+1,1))</f>
        <v>195.02599095557656</v>
      </c>
      <c r="BJ12" s="59">
        <f t="shared" si="38"/>
        <v>201.41413798956927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8.7359999999999989</v>
      </c>
      <c r="D13" s="11">
        <f t="shared" si="32"/>
        <v>3.1282100045396772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91.583375473639606</v>
      </c>
      <c r="H13" s="66">
        <f t="shared" si="1"/>
        <v>313.99683242457326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7.1974687550554899</v>
      </c>
      <c r="P13" s="13">
        <f t="shared" si="33"/>
        <v>2.6360650660630816</v>
      </c>
      <c r="Q13" s="20">
        <f t="shared" si="2"/>
        <v>17.126738071781514</v>
      </c>
      <c r="R13" s="59">
        <f t="shared" si="0"/>
        <v>310.46007140511483</v>
      </c>
      <c r="S13" s="59">
        <f ca="1">AVERAGE(OFFSET($R$3,0,0,'Données projet'!$E$9+1,1))-AVERAGE(OFFSET($H$3,0,0,'Données projet'!$E$9+1,1))</f>
        <v>267.44861001389006</v>
      </c>
      <c r="T13" s="59">
        <f t="shared" si="34"/>
        <v>165.25921510802965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11</v>
      </c>
      <c r="AG13" s="12">
        <f>VLOOKUP(A13,'Données projet'!$A$61:$I$81,9,0)</f>
        <v>1.1000000000000001</v>
      </c>
      <c r="AH13" s="12">
        <f t="array" ref="AH13">INDEX(AG:AG,MIN(IF(ISNUMBER(AG13:AG209),ROW(AG13:AG209),"")))</f>
        <v>1.1000000000000001</v>
      </c>
      <c r="AI13" s="13">
        <f>IF('Données projet'!$A$62&gt;35,AI12+AH13-AQ12,IF(A13&lt;'Données projet'!$A$62,$AF$205^A13,IF(A13='Données projet'!$A$62,'Données projet'!$B$62,AI12+AH13-AQ12)))</f>
        <v>11</v>
      </c>
      <c r="AJ13" s="13">
        <f>AI13*VLOOKUP('Données projet'!$B$10,Paramètres!$A$1:$I$89,3,0)*VLOOKUP('Données projet'!$B$10,Paramètres!$A$1:$I$89,5,0)</f>
        <v>8.7516000000000016</v>
      </c>
      <c r="AK13" s="13">
        <f t="shared" si="35"/>
        <v>3.1331453604025001</v>
      </c>
      <c r="AL13" s="20">
        <f t="shared" si="4"/>
        <v>20.699264836034356</v>
      </c>
      <c r="AM13" s="59">
        <f t="shared" si="5"/>
        <v>314.03259816936765</v>
      </c>
      <c r="AN13" s="59">
        <f ca="1">AVERAGE(OFFSET($AM$3,0,0,'Données projet'!$E$10+1,1))-AVERAGE(OFFSET($H$3,0,0,'Données projet'!$E$10+1,1))</f>
        <v>244.70751760575268</v>
      </c>
      <c r="AO13" s="59">
        <f t="shared" si="36"/>
        <v>248.77995374147798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11</v>
      </c>
      <c r="BB13" s="12">
        <f>VLOOKUP(A13,'Données projet'!$A$87:$I$107,9,0)</f>
        <v>1.1000000000000001</v>
      </c>
      <c r="BC13" s="12">
        <f t="array" ref="BC13">INDEX(BB:BB,MIN(IF(ISNUMBER(BB13:BB209),ROW(BB13:BB209),"")))</f>
        <v>1.1000000000000001</v>
      </c>
      <c r="BD13" s="12">
        <f>IF('Données projet'!$A$88&gt;35,BD12+BC13-BL12,IF(A13&lt;'Données projet'!$A$88,$BA$205^A13,IF(A13='Données projet'!$A$88,'Données projet'!$B$88,BD12+BC13-BL12)))</f>
        <v>11</v>
      </c>
      <c r="BE13" s="13">
        <f>BD13*VLOOKUP('Données projet'!$B$11,Paramètres!$A$1:$I$89,3,0)*VLOOKUP('Données projet'!$B$11,Paramètres!$A$1:$I$89,5,0)</f>
        <v>7.3787999999999991</v>
      </c>
      <c r="BF13" s="13">
        <f t="shared" si="37"/>
        <v>2.6946617885853841</v>
      </c>
      <c r="BG13" s="20">
        <f t="shared" si="7"/>
        <v>17.544612615119544</v>
      </c>
      <c r="BH13" s="59">
        <f t="shared" si="8"/>
        <v>310.87794594845286</v>
      </c>
      <c r="BI13" s="59">
        <f ca="1">AVERAGE(OFFSET($BH$3,0,0,'Données projet'!$E$11+1,1))-AVERAGE(OFFSET($H$3,0,0,'Données projet'!$E$11+1,1))</f>
        <v>195.02599095557656</v>
      </c>
      <c r="BJ13" s="59">
        <f t="shared" si="38"/>
        <v>201.41413798956927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9.6095999999999986</v>
      </c>
      <c r="D14" s="11">
        <f t="shared" si="32"/>
        <v>3.4030668246422189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100.44865619022063</v>
      </c>
      <c r="H14" s="66">
        <f t="shared" si="1"/>
        <v>315.99706138625186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8.9196113451330703</v>
      </c>
      <c r="P14" s="13">
        <f t="shared" si="33"/>
        <v>3.186234455512118</v>
      </c>
      <c r="Q14" s="20">
        <f t="shared" si="2"/>
        <v>21.084348102790369</v>
      </c>
      <c r="R14" s="59">
        <f t="shared" si="0"/>
        <v>314.4176814361237</v>
      </c>
      <c r="S14" s="59">
        <f ca="1">AVERAGE(OFFSET($R$3,0,0,'Données projet'!$E$9+1,1))-AVERAGE(OFFSET($H$3,0,0,'Données projet'!$E$9+1,1))</f>
        <v>267.44861001389006</v>
      </c>
      <c r="T14" s="59">
        <f t="shared" si="34"/>
        <v>165.25921510802965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10.8</v>
      </c>
      <c r="AI14" s="13">
        <f>IF('Données projet'!$A$62&gt;35,AI13+AH14-AQ13,IF(A14&lt;'Données projet'!$A$62,$AF$205^A14,IF(A14='Données projet'!$A$62,'Données projet'!$B$62,AI13+AH14-AQ13)))</f>
        <v>21.8</v>
      </c>
      <c r="AJ14" s="13">
        <f>AI14*VLOOKUP('Données projet'!$B$10,Paramètres!$A$1:$I$89,3,0)*VLOOKUP('Données projet'!$B$10,Paramètres!$A$1:$I$89,5,0)</f>
        <v>17.344080000000002</v>
      </c>
      <c r="AK14" s="13">
        <f t="shared" si="35"/>
        <v>5.7341113912136308</v>
      </c>
      <c r="AL14" s="20">
        <f t="shared" si="4"/>
        <v>40.194516673030414</v>
      </c>
      <c r="AM14" s="59">
        <f t="shared" si="5"/>
        <v>333.52785000636374</v>
      </c>
      <c r="AN14" s="59">
        <f ca="1">AVERAGE(OFFSET($AM$3,0,0,'Données projet'!$E$10+1,1))-AVERAGE(OFFSET($H$3,0,0,'Données projet'!$E$10+1,1))</f>
        <v>244.70751760575268</v>
      </c>
      <c r="AO14" s="59">
        <f t="shared" si="36"/>
        <v>248.77995374147798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10.8</v>
      </c>
      <c r="BD14" s="12">
        <f>IF('Données projet'!$A$88&gt;35,BD13+BC14-BL13,IF(A14&lt;'Données projet'!$A$88,$BA$205^A14,IF(A14='Données projet'!$A$88,'Données projet'!$B$88,BD13+BC14-BL13)))</f>
        <v>21.8</v>
      </c>
      <c r="BE14" s="13">
        <f>BD14*VLOOKUP('Données projet'!$B$11,Paramètres!$A$1:$I$89,3,0)*VLOOKUP('Données projet'!$B$11,Paramètres!$A$1:$I$89,5,0)</f>
        <v>14.623440000000002</v>
      </c>
      <c r="BF14" s="13">
        <f t="shared" si="37"/>
        <v>4.9316227241402482</v>
      </c>
      <c r="BG14" s="20">
        <f t="shared" si="7"/>
        <v>34.058400911210931</v>
      </c>
      <c r="BH14" s="59">
        <f t="shared" si="8"/>
        <v>327.39173424454424</v>
      </c>
      <c r="BI14" s="59">
        <f ca="1">AVERAGE(OFFSET($BH$3,0,0,'Données projet'!$E$11+1,1))-AVERAGE(OFFSET($H$3,0,0,'Données projet'!$E$11+1,1))</f>
        <v>195.02599095557656</v>
      </c>
      <c r="BJ14" s="59">
        <f t="shared" si="38"/>
        <v>201.41413798956927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10.483199999999998</v>
      </c>
      <c r="D15" s="11">
        <f t="shared" si="32"/>
        <v>3.6750262849765409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109.29157132262593</v>
      </c>
      <c r="H15" s="66">
        <f t="shared" si="1"/>
        <v>317.99224411300077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11.053812007498347</v>
      </c>
      <c r="P15" s="13">
        <f t="shared" si="33"/>
        <v>3.8512289154738402</v>
      </c>
      <c r="Q15" s="20">
        <f t="shared" si="2"/>
        <v>25.959612940843225</v>
      </c>
      <c r="R15" s="59">
        <f t="shared" si="0"/>
        <v>319.29294627417653</v>
      </c>
      <c r="S15" s="59">
        <f ca="1">AVERAGE(OFFSET($R$3,0,0,'Données projet'!$E$9+1,1))-AVERAGE(OFFSET($H$3,0,0,'Données projet'!$E$9+1,1))</f>
        <v>267.44861001389006</v>
      </c>
      <c r="T15" s="59">
        <f t="shared" si="34"/>
        <v>165.25921510802965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10.8</v>
      </c>
      <c r="AI15" s="13">
        <f>IF('Données projet'!$A$62&gt;35,AI14+AH15-AQ14,IF(A15&lt;'Données projet'!$A$62,$AF$205^A15,IF(A15='Données projet'!$A$62,'Données projet'!$B$62,AI14+AH15-AQ14)))</f>
        <v>32.6</v>
      </c>
      <c r="AJ15" s="13">
        <f>AI15*VLOOKUP('Données projet'!$B$10,Paramètres!$A$1:$I$89,3,0)*VLOOKUP('Données projet'!$B$10,Paramètres!$A$1:$I$89,5,0)</f>
        <v>25.936560000000004</v>
      </c>
      <c r="AK15" s="13">
        <f t="shared" si="35"/>
        <v>8.1824816304360635</v>
      </c>
      <c r="AL15" s="20">
        <f t="shared" si="4"/>
        <v>59.423997506342801</v>
      </c>
      <c r="AM15" s="59">
        <f t="shared" si="5"/>
        <v>352.75733083967611</v>
      </c>
      <c r="AN15" s="59">
        <f ca="1">AVERAGE(OFFSET($AM$3,0,0,'Données projet'!$E$10+1,1))-AVERAGE(OFFSET($H$3,0,0,'Données projet'!$E$10+1,1))</f>
        <v>244.70751760575268</v>
      </c>
      <c r="AO15" s="59">
        <f t="shared" si="36"/>
        <v>248.77995374147798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10.8</v>
      </c>
      <c r="BD15" s="12">
        <f>IF('Données projet'!$A$88&gt;35,BD14+BC15-BL14,IF(A15&lt;'Données projet'!$A$88,$BA$205^A15,IF(A15='Données projet'!$A$88,'Données projet'!$B$88,BD14+BC15-BL14)))</f>
        <v>32.6</v>
      </c>
      <c r="BE15" s="13">
        <f>BD15*VLOOKUP('Données projet'!$B$11,Paramètres!$A$1:$I$89,3,0)*VLOOKUP('Données projet'!$B$11,Paramètres!$A$1:$I$89,5,0)</f>
        <v>21.868080000000003</v>
      </c>
      <c r="BF15" s="13">
        <f t="shared" si="37"/>
        <v>7.0373436432280201</v>
      </c>
      <c r="BG15" s="20">
        <f t="shared" si="7"/>
        <v>50.34361284528881</v>
      </c>
      <c r="BH15" s="59">
        <f t="shared" si="8"/>
        <v>343.67694617862213</v>
      </c>
      <c r="BI15" s="59">
        <f ca="1">AVERAGE(OFFSET($BH$3,0,0,'Données projet'!$E$11+1,1))-AVERAGE(OFFSET($H$3,0,0,'Données projet'!$E$11+1,1))</f>
        <v>195.02599095557656</v>
      </c>
      <c r="BJ15" s="59">
        <f t="shared" si="38"/>
        <v>201.41413798956927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11.356799999999998</v>
      </c>
      <c r="D16" s="11">
        <f t="shared" si="32"/>
        <v>3.9443572825295607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118.11419656689485</v>
      </c>
      <c r="H16" s="66">
        <f t="shared" si="1"/>
        <v>319.98284893373898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13.698664119909786</v>
      </c>
      <c r="P16" s="13">
        <f t="shared" si="33"/>
        <v>4.6550134230463893</v>
      </c>
      <c r="Q16" s="20">
        <f t="shared" si="2"/>
        <v>31.965988387315338</v>
      </c>
      <c r="R16" s="59">
        <f t="shared" si="0"/>
        <v>325.29932172064866</v>
      </c>
      <c r="S16" s="59">
        <f ca="1">AVERAGE(OFFSET($R$3,0,0,'Données projet'!$E$9+1,1))-AVERAGE(OFFSET($H$3,0,0,'Données projet'!$E$9+1,1))</f>
        <v>267.44861001389006</v>
      </c>
      <c r="T16" s="59">
        <f t="shared" si="34"/>
        <v>165.25921510802965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10.8</v>
      </c>
      <c r="AI16" s="13">
        <f>IF('Données projet'!$A$62&gt;35,AI15+AH16-AQ15,IF(A16&lt;'Données projet'!$A$62,$AF$205^A16,IF(A16='Données projet'!$A$62,'Données projet'!$B$62,AI15+AH16-AQ15)))</f>
        <v>43.400000000000006</v>
      </c>
      <c r="AJ16" s="13">
        <f>AI16*VLOOKUP('Données projet'!$B$10,Paramètres!$A$1:$I$89,3,0)*VLOOKUP('Données projet'!$B$10,Paramètres!$A$1:$I$89,5,0)</f>
        <v>34.529040000000009</v>
      </c>
      <c r="AK16" s="13">
        <f t="shared" si="35"/>
        <v>10.536391336679102</v>
      </c>
      <c r="AL16" s="20">
        <f t="shared" si="4"/>
        <v>78.488959578049446</v>
      </c>
      <c r="AM16" s="59">
        <f t="shared" si="5"/>
        <v>371.82229291138276</v>
      </c>
      <c r="AN16" s="59">
        <f ca="1">AVERAGE(OFFSET($AM$3,0,0,'Données projet'!$E$10+1,1))-AVERAGE(OFFSET($H$3,0,0,'Données projet'!$E$10+1,1))</f>
        <v>244.70751760575268</v>
      </c>
      <c r="AO16" s="59">
        <f t="shared" si="36"/>
        <v>248.77995374147798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10.8</v>
      </c>
      <c r="BD16" s="12">
        <f>IF('Données projet'!$A$88&gt;35,BD15+BC16-BL15,IF(A16&lt;'Données projet'!$A$88,$BA$205^A16,IF(A16='Données projet'!$A$88,'Données projet'!$B$88,BD15+BC16-BL15)))</f>
        <v>43.400000000000006</v>
      </c>
      <c r="BE16" s="13">
        <f>BD16*VLOOKUP('Données projet'!$B$11,Paramètres!$A$1:$I$89,3,0)*VLOOKUP('Données projet'!$B$11,Paramètres!$A$1:$I$89,5,0)</f>
        <v>29.112720000000007</v>
      </c>
      <c r="BF16" s="13">
        <f t="shared" si="37"/>
        <v>9.0618237772676711</v>
      </c>
      <c r="BG16" s="20">
        <f t="shared" si="7"/>
        <v>66.487330412074542</v>
      </c>
      <c r="BH16" s="59">
        <f t="shared" si="8"/>
        <v>359.82066374540784</v>
      </c>
      <c r="BI16" s="59">
        <f ca="1">AVERAGE(OFFSET($BH$3,0,0,'Données projet'!$E$11+1,1))-AVERAGE(OFFSET($H$3,0,0,'Données projet'!$E$11+1,1))</f>
        <v>195.02599095557656</v>
      </c>
      <c r="BJ16" s="59">
        <f t="shared" si="38"/>
        <v>201.41413798956927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12.230399999999998</v>
      </c>
      <c r="D17" s="11">
        <f t="shared" si="32"/>
        <v>4.2112849955088034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126.91827014076971</v>
      </c>
      <c r="H17" s="66">
        <f t="shared" si="1"/>
        <v>321.96926803384446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16.976351555717539</v>
      </c>
      <c r="P17" s="13">
        <f t="shared" si="33"/>
        <v>5.6265546516016363</v>
      </c>
      <c r="Q17" s="20">
        <f t="shared" si="2"/>
        <v>39.366728311080898</v>
      </c>
      <c r="R17" s="59">
        <f t="shared" si="0"/>
        <v>332.70006164441423</v>
      </c>
      <c r="S17" s="59">
        <f ca="1">AVERAGE(OFFSET($R$3,0,0,'Données projet'!$E$9+1,1))-AVERAGE(OFFSET($H$3,0,0,'Données projet'!$E$9+1,1))</f>
        <v>267.44861001389006</v>
      </c>
      <c r="T17" s="59">
        <f t="shared" si="34"/>
        <v>165.25921510802965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10.8</v>
      </c>
      <c r="AI17" s="13">
        <f>IF('Données projet'!$A$62&gt;35,AI16+AH17-AQ16,IF(A17&lt;'Données projet'!$A$62,$AF$205^A17,IF(A17='Données projet'!$A$62,'Données projet'!$B$62,AI16+AH17-AQ16)))</f>
        <v>54.2</v>
      </c>
      <c r="AJ17" s="13">
        <f>AI17*VLOOKUP('Données projet'!$B$10,Paramètres!$A$1:$I$89,3,0)*VLOOKUP('Données projet'!$B$10,Paramètres!$A$1:$I$89,5,0)</f>
        <v>43.121520000000004</v>
      </c>
      <c r="AK17" s="13">
        <f t="shared" si="35"/>
        <v>12.822353245070515</v>
      </c>
      <c r="AL17" s="20">
        <f t="shared" si="4"/>
        <v>97.435579235164482</v>
      </c>
      <c r="AM17" s="59">
        <f t="shared" si="5"/>
        <v>390.7689125684978</v>
      </c>
      <c r="AN17" s="59">
        <f ca="1">AVERAGE(OFFSET($AM$3,0,0,'Données projet'!$E$10+1,1))-AVERAGE(OFFSET($H$3,0,0,'Données projet'!$E$10+1,1))</f>
        <v>244.70751760575268</v>
      </c>
      <c r="AO17" s="59">
        <f t="shared" si="36"/>
        <v>248.77995374147798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10.8</v>
      </c>
      <c r="BD17" s="12">
        <f>IF('Données projet'!$A$88&gt;35,BD16+BC17-BL16,IF(A17&lt;'Données projet'!$A$88,$BA$205^A17,IF(A17='Données projet'!$A$88,'Données projet'!$B$88,BD16+BC17-BL16)))</f>
        <v>54.2</v>
      </c>
      <c r="BE17" s="13">
        <f>BD17*VLOOKUP('Données projet'!$B$11,Paramètres!$A$1:$I$89,3,0)*VLOOKUP('Données projet'!$B$11,Paramètres!$A$1:$I$89,5,0)</f>
        <v>36.35736</v>
      </c>
      <c r="BF17" s="13">
        <f t="shared" si="37"/>
        <v>11.02786540513288</v>
      </c>
      <c r="BG17" s="20">
        <f t="shared" si="7"/>
        <v>82.52926758060643</v>
      </c>
      <c r="BH17" s="59">
        <f t="shared" si="8"/>
        <v>375.86260091393973</v>
      </c>
      <c r="BI17" s="59">
        <f ca="1">AVERAGE(OFFSET($BH$3,0,0,'Données projet'!$E$11+1,1))-AVERAGE(OFFSET($H$3,0,0,'Données projet'!$E$11+1,1))</f>
        <v>195.02599095557656</v>
      </c>
      <c r="BJ17" s="59">
        <f t="shared" si="38"/>
        <v>201.41413798956927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18" s="11">
        <f t="shared" si="32"/>
        <v>4.4760006109979766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135.70526787437032</v>
      </c>
      <c r="H18" s="66">
        <f t="shared" si="1"/>
        <v>323.95183439748814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21.03829319564419</v>
      </c>
      <c r="P18" s="13">
        <f t="shared" si="33"/>
        <v>6.8008648676982615</v>
      </c>
      <c r="Q18" s="20">
        <f t="shared" si="2"/>
        <v>48.486533626988098</v>
      </c>
      <c r="R18" s="59">
        <f t="shared" si="0"/>
        <v>341.81986696032141</v>
      </c>
      <c r="S18" s="59">
        <f ca="1">AVERAGE(OFFSET($R$3,0,0,'Données projet'!$E$9+1,1))-AVERAGE(OFFSET($H$3,0,0,'Données projet'!$E$9+1,1))</f>
        <v>267.44861001389006</v>
      </c>
      <c r="T18" s="59">
        <f t="shared" si="34"/>
        <v>165.25921510802965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65</v>
      </c>
      <c r="AG18" s="12">
        <f>VLOOKUP(A18,'Données projet'!$A$61:$I$81,9,0)</f>
        <v>10.8</v>
      </c>
      <c r="AH18" s="12">
        <f t="array" ref="AH18">INDEX(AG:AG,MIN(IF(ISNUMBER(AG18:AG214),ROW(AG18:AG214),"")))</f>
        <v>10.8</v>
      </c>
      <c r="AI18" s="13">
        <f>IF('Données projet'!$A$62&gt;35,AI17+AH18-AQ17,IF(A18&lt;'Données projet'!$A$62,$AF$205^A18,IF(A18='Données projet'!$A$62,'Données projet'!$B$62,AI17+AH18-AQ17)))</f>
        <v>65</v>
      </c>
      <c r="AJ18" s="13">
        <f>AI18*VLOOKUP('Données projet'!$B$10,Paramètres!$A$1:$I$89,3,0)*VLOOKUP('Données projet'!$B$10,Paramètres!$A$1:$I$89,5,0)</f>
        <v>51.713999999999999</v>
      </c>
      <c r="AK18" s="13">
        <f t="shared" si="35"/>
        <v>15.055535578337075</v>
      </c>
      <c r="AL18" s="20">
        <f t="shared" si="4"/>
        <v>116.29027446560372</v>
      </c>
      <c r="AM18" s="59">
        <f t="shared" si="5"/>
        <v>409.62360779893703</v>
      </c>
      <c r="AN18" s="59">
        <f ca="1">AVERAGE(OFFSET($AM$3,0,0,'Données projet'!$E$10+1,1))-AVERAGE(OFFSET($H$3,0,0,'Données projet'!$E$10+1,1))</f>
        <v>244.70751760575268</v>
      </c>
      <c r="AO18" s="59">
        <f t="shared" si="36"/>
        <v>248.77995374147798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32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65</v>
      </c>
      <c r="BB18" s="12">
        <f>VLOOKUP(A18,'Données projet'!$A$87:$I$107,9,0)</f>
        <v>10.8</v>
      </c>
      <c r="BC18" s="12">
        <f t="array" ref="BC18">INDEX(BB:BB,MIN(IF(ISNUMBER(BB18:BB214),ROW(BB18:BB214),"")))</f>
        <v>10.8</v>
      </c>
      <c r="BD18" s="12">
        <f>IF('Données projet'!$A$88&gt;35,BD17+BC18-BL17,IF(A18&lt;'Données projet'!$A$88,$BA$205^A18,IF(A18='Données projet'!$A$88,'Données projet'!$B$88,BD17+BC18-BL17)))</f>
        <v>65</v>
      </c>
      <c r="BE18" s="13">
        <f>BD18*VLOOKUP('Données projet'!$B$11,Paramètres!$A$1:$I$89,3,0)*VLOOKUP('Données projet'!$B$11,Paramètres!$A$1:$I$89,5,0)</f>
        <v>43.602000000000004</v>
      </c>
      <c r="BF18" s="13">
        <f t="shared" si="37"/>
        <v>12.948513957367396</v>
      </c>
      <c r="BG18" s="20">
        <f t="shared" si="7"/>
        <v>98.492145142414884</v>
      </c>
      <c r="BH18" s="59">
        <f t="shared" si="8"/>
        <v>391.82547847574818</v>
      </c>
      <c r="BI18" s="59">
        <f ca="1">AVERAGE(OFFSET($BH$3,0,0,'Données projet'!$E$11+1,1))-AVERAGE(OFFSET($H$3,0,0,'Données projet'!$E$11+1,1))</f>
        <v>195.02599095557656</v>
      </c>
      <c r="BJ18" s="59">
        <f t="shared" si="38"/>
        <v>201.41413798956927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32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13.977599999999997</v>
      </c>
      <c r="D19" s="11">
        <f t="shared" si="32"/>
        <v>4.7386683822915021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144.47645768786421</v>
      </c>
      <c r="H19" s="66">
        <f t="shared" si="1"/>
        <v>325.93083409915766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26.072138005225284</v>
      </c>
      <c r="P19" s="13">
        <f t="shared" si="33"/>
        <v>8.2202636982343371</v>
      </c>
      <c r="Q19" s="20">
        <f t="shared" si="2"/>
        <v>59.725932966858835</v>
      </c>
      <c r="R19" s="59">
        <f t="shared" si="0"/>
        <v>353.05926630019212</v>
      </c>
      <c r="S19" s="59">
        <f ca="1">AVERAGE(OFFSET($R$3,0,0,'Données projet'!$E$9+1,1))-AVERAGE(OFFSET($H$3,0,0,'Données projet'!$E$9+1,1))</f>
        <v>267.44861001389006</v>
      </c>
      <c r="T19" s="59">
        <f t="shared" si="34"/>
        <v>165.25921510802965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13.8</v>
      </c>
      <c r="AI19" s="13">
        <f>IF('Données projet'!$A$62&gt;35,AI18+AH19-AQ18,IF(A19&lt;'Données projet'!$A$62,$AF$205^A19,IF(A19='Données projet'!$A$62,'Données projet'!$B$62,AI18+AH19-AQ18)))</f>
        <v>46.8</v>
      </c>
      <c r="AJ19" s="13">
        <f>AI19*VLOOKUP('Données projet'!$B$10,Paramètres!$A$1:$I$89,3,0)*VLOOKUP('Données projet'!$B$10,Paramètres!$A$1:$I$89,5,0)</f>
        <v>37.234079999999999</v>
      </c>
      <c r="AK19" s="13">
        <f t="shared" si="35"/>
        <v>11.262510356679771</v>
      </c>
      <c r="AL19" s="20">
        <f t="shared" si="4"/>
        <v>84.464894871217254</v>
      </c>
      <c r="AM19" s="59">
        <f t="shared" si="5"/>
        <v>377.79822820455058</v>
      </c>
      <c r="AN19" s="59">
        <f ca="1">AVERAGE(OFFSET($AM$3,0,0,'Données projet'!$E$10+1,1))-AVERAGE(OFFSET($H$3,0,0,'Données projet'!$E$10+1,1))</f>
        <v>244.70751760575268</v>
      </c>
      <c r="AO19" s="59">
        <f t="shared" si="36"/>
        <v>248.77995374147798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13.8</v>
      </c>
      <c r="BD19" s="12">
        <f>IF('Données projet'!$A$88&gt;35,BD18+BC19-BL18,IF(A19&lt;'Données projet'!$A$88,$BA$205^A19,IF(A19='Données projet'!$A$88,'Données projet'!$B$88,BD18+BC19-BL18)))</f>
        <v>46.8</v>
      </c>
      <c r="BE19" s="13">
        <f>BD19*VLOOKUP('Données projet'!$B$11,Paramètres!$A$1:$I$89,3,0)*VLOOKUP('Données projet'!$B$11,Paramètres!$A$1:$I$89,5,0)</f>
        <v>31.393439999999998</v>
      </c>
      <c r="BF19" s="13">
        <f t="shared" si="37"/>
        <v>9.6863224685475071</v>
      </c>
      <c r="BG19" s="20">
        <f t="shared" si="7"/>
        <v>71.547252966053563</v>
      </c>
      <c r="BH19" s="59">
        <f t="shared" si="8"/>
        <v>364.88058629938689</v>
      </c>
      <c r="BI19" s="59">
        <f ca="1">AVERAGE(OFFSET($BH$3,0,0,'Données projet'!$E$11+1,1))-AVERAGE(OFFSET($H$3,0,0,'Données projet'!$E$11+1,1))</f>
        <v>195.02599095557656</v>
      </c>
      <c r="BJ19" s="59">
        <f t="shared" si="38"/>
        <v>201.41413798956927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14.851199999999997</v>
      </c>
      <c r="D20" s="11">
        <f t="shared" si="32"/>
        <v>4.9994308705687178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153.23294005351292</v>
      </c>
      <c r="H20" s="66">
        <f t="shared" si="1"/>
        <v>327.90651543290716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32.310433828550828</v>
      </c>
      <c r="P20" s="13">
        <f t="shared" si="33"/>
        <v>9.9359032392271498</v>
      </c>
      <c r="Q20" s="20">
        <f t="shared" si="2"/>
        <v>73.579037059713301</v>
      </c>
      <c r="R20" s="59">
        <f t="shared" si="0"/>
        <v>366.91237039304661</v>
      </c>
      <c r="S20" s="59">
        <f ca="1">AVERAGE(OFFSET($R$3,0,0,'Données projet'!$E$9+1,1))-AVERAGE(OFFSET($H$3,0,0,'Données projet'!$E$9+1,1))</f>
        <v>267.44861001389006</v>
      </c>
      <c r="T20" s="59">
        <f t="shared" si="34"/>
        <v>165.25921510802965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13.8</v>
      </c>
      <c r="AI20" s="13">
        <f>IF('Données projet'!$A$62&gt;35,AI19+AH20-AQ19,IF(A20&lt;'Données projet'!$A$62,$AF$205^A20,IF(A20='Données projet'!$A$62,'Données projet'!$B$62,AI19+AH20-AQ19)))</f>
        <v>60.599999999999994</v>
      </c>
      <c r="AJ20" s="13">
        <f>AI20*VLOOKUP('Données projet'!$B$10,Paramètres!$A$1:$I$89,3,0)*VLOOKUP('Données projet'!$B$10,Paramètres!$A$1:$I$89,5,0)</f>
        <v>48.213360000000002</v>
      </c>
      <c r="AK20" s="13">
        <f t="shared" si="35"/>
        <v>14.151379520104694</v>
      </c>
      <c r="AL20" s="20">
        <f t="shared" si="4"/>
        <v>108.61858799751566</v>
      </c>
      <c r="AM20" s="59">
        <f t="shared" si="5"/>
        <v>401.95192133084896</v>
      </c>
      <c r="AN20" s="59">
        <f ca="1">AVERAGE(OFFSET($AM$3,0,0,'Données projet'!$E$10+1,1))-AVERAGE(OFFSET($H$3,0,0,'Données projet'!$E$10+1,1))</f>
        <v>244.70751760575268</v>
      </c>
      <c r="AO20" s="59">
        <f t="shared" si="36"/>
        <v>248.77995374147798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13.8</v>
      </c>
      <c r="BD20" s="12">
        <f>IF('Données projet'!$A$88&gt;35,BD19+BC20-BL19,IF(A20&lt;'Données projet'!$A$88,$BA$205^A20,IF(A20='Données projet'!$A$88,'Données projet'!$B$88,BD19+BC20-BL19)))</f>
        <v>60.599999999999994</v>
      </c>
      <c r="BE20" s="13">
        <f>BD20*VLOOKUP('Données projet'!$B$11,Paramètres!$A$1:$I$89,3,0)*VLOOKUP('Données projet'!$B$11,Paramètres!$A$1:$I$89,5,0)</f>
        <v>40.650479999999995</v>
      </c>
      <c r="BF20" s="13">
        <f t="shared" si="37"/>
        <v>12.170894504459611</v>
      </c>
      <c r="BG20" s="20">
        <f t="shared" si="7"/>
        <v>91.997227261933816</v>
      </c>
      <c r="BH20" s="59">
        <f t="shared" si="8"/>
        <v>385.33056059526712</v>
      </c>
      <c r="BI20" s="59">
        <f ca="1">AVERAGE(OFFSET($BH$3,0,0,'Données projet'!$E$11+1,1))-AVERAGE(OFFSET($H$3,0,0,'Données projet'!$E$11+1,1))</f>
        <v>195.02599095557656</v>
      </c>
      <c r="BJ20" s="59">
        <f t="shared" si="38"/>
        <v>201.41413798956927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15.724799999999997</v>
      </c>
      <c r="D21" s="11">
        <f t="shared" si="32"/>
        <v>5.2584129176484726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161.9756786625496</v>
      </c>
      <c r="H21" s="66">
        <f t="shared" si="1"/>
        <v>329.87909583157108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40.041370369393334</v>
      </c>
      <c r="P21" s="13">
        <f t="shared" si="33"/>
        <v>12.009611467876571</v>
      </c>
      <c r="Q21" s="20">
        <f t="shared" si="2"/>
        <v>90.655460033245092</v>
      </c>
      <c r="R21" s="59">
        <f t="shared" si="0"/>
        <v>383.98879336657842</v>
      </c>
      <c r="S21" s="59">
        <f ca="1">AVERAGE(OFFSET($R$3,0,0,'Données projet'!$E$9+1,1))-AVERAGE(OFFSET($H$3,0,0,'Données projet'!$E$9+1,1))</f>
        <v>267.44861001389006</v>
      </c>
      <c r="T21" s="59">
        <f t="shared" si="34"/>
        <v>165.25921510802965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13.8</v>
      </c>
      <c r="AI21" s="13">
        <f>IF('Données projet'!$A$62&gt;35,AI20+AH21-AQ20,IF(A21&lt;'Données projet'!$A$62,$AF$205^A21,IF(A21='Données projet'!$A$62,'Données projet'!$B$62,AI20+AH21-AQ20)))</f>
        <v>74.399999999999991</v>
      </c>
      <c r="AJ21" s="13">
        <f>AI21*VLOOKUP('Données projet'!$B$10,Paramètres!$A$1:$I$89,3,0)*VLOOKUP('Données projet'!$B$10,Paramètres!$A$1:$I$89,5,0)</f>
        <v>59.192639999999997</v>
      </c>
      <c r="AK21" s="13">
        <f t="shared" si="35"/>
        <v>16.963982408330725</v>
      </c>
      <c r="AL21" s="20">
        <f t="shared" si="4"/>
        <v>132.63945069450935</v>
      </c>
      <c r="AM21" s="59">
        <f t="shared" si="5"/>
        <v>425.97278402784264</v>
      </c>
      <c r="AN21" s="59">
        <f ca="1">AVERAGE(OFFSET($AM$3,0,0,'Données projet'!$E$10+1,1))-AVERAGE(OFFSET($H$3,0,0,'Données projet'!$E$10+1,1))</f>
        <v>244.70751760575268</v>
      </c>
      <c r="AO21" s="59">
        <f t="shared" si="36"/>
        <v>248.77995374147798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13.8</v>
      </c>
      <c r="BD21" s="12">
        <f>IF('Données projet'!$A$88&gt;35,BD20+BC21-BL20,IF(A21&lt;'Données projet'!$A$88,$BA$205^A21,IF(A21='Données projet'!$A$88,'Données projet'!$B$88,BD20+BC21-BL20)))</f>
        <v>74.399999999999991</v>
      </c>
      <c r="BE21" s="13">
        <f>BD21*VLOOKUP('Données projet'!$B$11,Paramètres!$A$1:$I$89,3,0)*VLOOKUP('Données projet'!$B$11,Paramètres!$A$1:$I$89,5,0)</f>
        <v>49.907519999999998</v>
      </c>
      <c r="BF21" s="13">
        <f t="shared" si="37"/>
        <v>14.589873727432503</v>
      </c>
      <c r="BG21" s="20">
        <f t="shared" si="7"/>
        <v>112.33296074194493</v>
      </c>
      <c r="BH21" s="59">
        <f t="shared" si="8"/>
        <v>405.66629407527824</v>
      </c>
      <c r="BI21" s="59">
        <f ca="1">AVERAGE(OFFSET($BH$3,0,0,'Données projet'!$E$11+1,1))-AVERAGE(OFFSET($H$3,0,0,'Données projet'!$E$11+1,1))</f>
        <v>195.02599095557656</v>
      </c>
      <c r="BJ21" s="59">
        <f t="shared" si="38"/>
        <v>201.41413798956927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16.598399999999998</v>
      </c>
      <c r="D22" s="11">
        <f t="shared" si="32"/>
        <v>5.5157247105992537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170.70552408181879</v>
      </c>
      <c r="H22" s="66">
        <f t="shared" si="1"/>
        <v>331.84876720429367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49.622092651760646</v>
      </c>
      <c r="P22" s="13">
        <f t="shared" si="33"/>
        <v>14.516120390537463</v>
      </c>
      <c r="Q22" s="20">
        <f t="shared" si="2"/>
        <v>111.70738771533587</v>
      </c>
      <c r="R22" s="59">
        <f t="shared" si="0"/>
        <v>405.04072104866918</v>
      </c>
      <c r="S22" s="59">
        <f ca="1">AVERAGE(OFFSET($R$3,0,0,'Données projet'!$E$9+1,1))-AVERAGE(OFFSET($H$3,0,0,'Données projet'!$E$9+1,1))</f>
        <v>267.44861001389006</v>
      </c>
      <c r="T22" s="59">
        <f t="shared" si="34"/>
        <v>165.25921510802965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13.8</v>
      </c>
      <c r="AI22" s="13">
        <f>IF('Données projet'!$A$62&gt;35,AI21+AH22-AQ21,IF(A22&lt;'Données projet'!$A$62,$AF$205^A22,IF(A22='Données projet'!$A$62,'Données projet'!$B$62,AI21+AH22-AQ21)))</f>
        <v>88.199999999999989</v>
      </c>
      <c r="AJ22" s="13">
        <f>AI22*VLOOKUP('Données projet'!$B$10,Paramètres!$A$1:$I$89,3,0)*VLOOKUP('Données projet'!$B$10,Paramètres!$A$1:$I$89,5,0)</f>
        <v>70.171919999999986</v>
      </c>
      <c r="AK22" s="13">
        <f t="shared" si="35"/>
        <v>19.716145269554726</v>
      </c>
      <c r="AL22" s="20">
        <f t="shared" si="4"/>
        <v>156.55504701114111</v>
      </c>
      <c r="AM22" s="59">
        <f t="shared" si="5"/>
        <v>449.8883803444744</v>
      </c>
      <c r="AN22" s="59">
        <f ca="1">AVERAGE(OFFSET($AM$3,0,0,'Données projet'!$E$10+1,1))-AVERAGE(OFFSET($H$3,0,0,'Données projet'!$E$10+1,1))</f>
        <v>244.70751760575268</v>
      </c>
      <c r="AO22" s="59">
        <f t="shared" si="36"/>
        <v>248.77995374147798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13.8</v>
      </c>
      <c r="BD22" s="12">
        <f>IF('Données projet'!$A$88&gt;35,BD21+BC22-BL21,IF(A22&lt;'Données projet'!$A$88,$BA$205^A22,IF(A22='Données projet'!$A$88,'Données projet'!$B$88,BD21+BC22-BL21)))</f>
        <v>88.199999999999989</v>
      </c>
      <c r="BE22" s="13">
        <f>BD22*VLOOKUP('Données projet'!$B$11,Paramètres!$A$1:$I$89,3,0)*VLOOKUP('Données projet'!$B$11,Paramètres!$A$1:$I$89,5,0)</f>
        <v>59.164559999999994</v>
      </c>
      <c r="BF22" s="13">
        <f t="shared" si="37"/>
        <v>16.956871502840986</v>
      </c>
      <c r="BG22" s="20">
        <f t="shared" si="7"/>
        <v>132.57815986744802</v>
      </c>
      <c r="BH22" s="59">
        <f t="shared" si="8"/>
        <v>425.91149320078136</v>
      </c>
      <c r="BI22" s="59">
        <f ca="1">AVERAGE(OFFSET($BH$3,0,0,'Données projet'!$E$11+1,1))-AVERAGE(OFFSET($H$3,0,0,'Données projet'!$E$11+1,1))</f>
        <v>195.02599095557656</v>
      </c>
      <c r="BJ22" s="59">
        <f t="shared" si="38"/>
        <v>201.41413798956927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17.471999999999998</v>
      </c>
      <c r="D23" s="11">
        <f t="shared" si="32"/>
        <v>5.7714641827626956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179.42323228799273</v>
      </c>
      <c r="H23" s="66">
        <f t="shared" si="1"/>
        <v>333.81570011831167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61.495200000000004</v>
      </c>
      <c r="P23" s="13">
        <f t="shared" si="33"/>
        <v>17.545759224285259</v>
      </c>
      <c r="Q23" s="20">
        <f t="shared" si="2"/>
        <v>137.66300398229683</v>
      </c>
      <c r="R23" s="59">
        <f t="shared" si="0"/>
        <v>430.99633731563017</v>
      </c>
      <c r="S23" s="59">
        <f ca="1">AVERAGE(OFFSET($R$3,0,0,'Données projet'!$E$9+1,1))-AVERAGE(OFFSET($H$3,0,0,'Données projet'!$E$9+1,1))</f>
        <v>267.44861001389006</v>
      </c>
      <c r="T23" s="59">
        <f t="shared" si="34"/>
        <v>165.25921510802965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6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102</v>
      </c>
      <c r="AG23" s="12">
        <f>VLOOKUP(A23,'Données projet'!$A$61:$I$81,9,0)</f>
        <v>13.8</v>
      </c>
      <c r="AH23" s="12">
        <f t="array" ref="AH23">INDEX(AG:AG,MIN(IF(ISNUMBER(AG23:AG219),ROW(AG23:AG219),"")))</f>
        <v>13.8</v>
      </c>
      <c r="AI23" s="13">
        <f>IF('Données projet'!$A$62&gt;35,AI22+AH23-AQ22,IF(A23&lt;'Données projet'!$A$62,$AF$205^A23,IF(A23='Données projet'!$A$62,'Données projet'!$B$62,AI22+AH23-AQ22)))</f>
        <v>101.99999999999999</v>
      </c>
      <c r="AJ23" s="13">
        <f>AI23*VLOOKUP('Données projet'!$B$10,Paramètres!$A$1:$I$89,3,0)*VLOOKUP('Données projet'!$B$10,Paramètres!$A$1:$I$89,5,0)</f>
        <v>81.151200000000003</v>
      </c>
      <c r="AK23" s="13">
        <f t="shared" si="35"/>
        <v>22.418424032002342</v>
      </c>
      <c r="AL23" s="20">
        <f t="shared" si="4"/>
        <v>180.38376185573739</v>
      </c>
      <c r="AM23" s="59">
        <f t="shared" si="5"/>
        <v>473.71709518907073</v>
      </c>
      <c r="AN23" s="59">
        <f ca="1">AVERAGE(OFFSET($AM$3,0,0,'Données projet'!$E$10+1,1))-AVERAGE(OFFSET($H$3,0,0,'Données projet'!$E$10+1,1))</f>
        <v>244.70751760575268</v>
      </c>
      <c r="AO23" s="59">
        <f t="shared" si="36"/>
        <v>248.77995374147798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35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102</v>
      </c>
      <c r="BB23" s="12">
        <f>VLOOKUP(A23,'Données projet'!$A$87:$I$107,9,0)</f>
        <v>13.8</v>
      </c>
      <c r="BC23" s="12">
        <f t="array" ref="BC23">INDEX(BB:BB,MIN(IF(ISNUMBER(BB23:BB219),ROW(BB23:BB219),"")))</f>
        <v>13.8</v>
      </c>
      <c r="BD23" s="12">
        <f>IF('Données projet'!$A$88&gt;35,BD22+BC23-BL22,IF(A23&lt;'Données projet'!$A$88,$BA$205^A23,IF(A23='Données projet'!$A$88,'Données projet'!$B$88,BD22+BC23-BL22)))</f>
        <v>101.99999999999999</v>
      </c>
      <c r="BE23" s="13">
        <f>BD23*VLOOKUP('Données projet'!$B$11,Paramètres!$A$1:$I$89,3,0)*VLOOKUP('Données projet'!$B$11,Paramètres!$A$1:$I$89,5,0)</f>
        <v>68.421599999999984</v>
      </c>
      <c r="BF23" s="13">
        <f t="shared" si="37"/>
        <v>19.280966457164443</v>
      </c>
      <c r="BG23" s="20">
        <f t="shared" si="7"/>
        <v>152.74863657956135</v>
      </c>
      <c r="BH23" s="59">
        <f t="shared" si="8"/>
        <v>446.08196991289469</v>
      </c>
      <c r="BI23" s="59">
        <f ca="1">AVERAGE(OFFSET($BH$3,0,0,'Données projet'!$E$11+1,1))-AVERAGE(OFFSET($H$3,0,0,'Données projet'!$E$11+1,1))</f>
        <v>195.02599095557656</v>
      </c>
      <c r="BJ23" s="59">
        <f t="shared" si="38"/>
        <v>201.41413798956927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35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18.345599999999997</v>
      </c>
      <c r="D24" s="11">
        <f t="shared" si="32"/>
        <v>6.0257189209257707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188.12947938960238</v>
      </c>
      <c r="H24" s="66">
        <f t="shared" si="1"/>
        <v>335.78004712061238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7.2</v>
      </c>
      <c r="N24" s="13">
        <f>IF('Données projet'!$A$36&gt;35,N23+M24-V23,IF(A24&lt;'Données projet'!$A$36,$K$205^A24,IF(A24='Données projet'!$A$36,'Données projet'!$B$36,N23+M24-V23)))</f>
        <v>74.2</v>
      </c>
      <c r="O24" s="13">
        <f>N24*VLOOKUP('Données projet'!$B$9,Paramètres!$A$1:$I$89,3,0)*VLOOKUP('Données projet'!$B$9,Paramètres!$A$1:$I$89,5,0)</f>
        <v>62.506080000000011</v>
      </c>
      <c r="P24" s="13">
        <f t="shared" si="33"/>
        <v>17.800367834870475</v>
      </c>
      <c r="Q24" s="20">
        <f t="shared" si="2"/>
        <v>139.86706331239944</v>
      </c>
      <c r="R24" s="59">
        <f t="shared" si="0"/>
        <v>433.20039664573278</v>
      </c>
      <c r="S24" s="59">
        <f ca="1">AVERAGE(OFFSET($R$3,0,0,'Données projet'!$E$9+1,1))-AVERAGE(OFFSET($H$3,0,0,'Données projet'!$E$9+1,1))</f>
        <v>267.44861001389006</v>
      </c>
      <c r="T24" s="59">
        <f t="shared" si="34"/>
        <v>165.25921510802965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14.8</v>
      </c>
      <c r="AI24" s="13">
        <f>IF('Données projet'!$A$62&gt;35,AI23+AH24-AQ23,IF(A24&lt;'Données projet'!$A$62,$AF$205^A24,IF(A24='Données projet'!$A$62,'Données projet'!$B$62,AI23+AH24-AQ23)))</f>
        <v>81.799999999999983</v>
      </c>
      <c r="AJ24" s="13">
        <f>AI24*VLOOKUP('Données projet'!$B$10,Paramètres!$A$1:$I$89,3,0)*VLOOKUP('Données projet'!$B$10,Paramètres!$A$1:$I$89,5,0)</f>
        <v>65.080079999999981</v>
      </c>
      <c r="AK24" s="13">
        <f t="shared" si="35"/>
        <v>18.44653442602603</v>
      </c>
      <c r="AL24" s="20">
        <f t="shared" si="4"/>
        <v>145.47552012532864</v>
      </c>
      <c r="AM24" s="59">
        <f t="shared" si="5"/>
        <v>438.80885345866193</v>
      </c>
      <c r="AN24" s="59">
        <f ca="1">AVERAGE(OFFSET($AM$3,0,0,'Données projet'!$E$10+1,1))-AVERAGE(OFFSET($H$3,0,0,'Données projet'!$E$10+1,1))</f>
        <v>244.70751760575268</v>
      </c>
      <c r="AO24" s="59">
        <f t="shared" si="36"/>
        <v>248.77995374147798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14.8</v>
      </c>
      <c r="BD24" s="12">
        <f>IF('Données projet'!$A$88&gt;35,BD23+BC24-BL23,IF(A24&lt;'Données projet'!$A$88,$BA$205^A24,IF(A24='Données projet'!$A$88,'Données projet'!$B$88,BD23+BC24-BL23)))</f>
        <v>81.799999999999983</v>
      </c>
      <c r="BE24" s="13">
        <f>BD24*VLOOKUP('Données projet'!$B$11,Paramètres!$A$1:$I$89,3,0)*VLOOKUP('Données projet'!$B$11,Paramètres!$A$1:$I$89,5,0)</f>
        <v>54.871439999999993</v>
      </c>
      <c r="BF24" s="13">
        <f t="shared" si="37"/>
        <v>15.864942647682177</v>
      </c>
      <c r="BG24" s="20">
        <f t="shared" si="7"/>
        <v>123.19919977804646</v>
      </c>
      <c r="BH24" s="59">
        <f t="shared" si="8"/>
        <v>416.53253311137979</v>
      </c>
      <c r="BI24" s="59">
        <f ca="1">AVERAGE(OFFSET($BH$3,0,0,'Données projet'!$E$11+1,1))-AVERAGE(OFFSET($H$3,0,0,'Données projet'!$E$11+1,1))</f>
        <v>195.02599095557656</v>
      </c>
      <c r="BJ24" s="59">
        <f t="shared" si="38"/>
        <v>201.41413798956927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19.219199999999997</v>
      </c>
      <c r="D25" s="11">
        <f t="shared" si="32"/>
        <v>6.2785676989293835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196.82487346541976</v>
      </c>
      <c r="H25" s="66">
        <f t="shared" si="1"/>
        <v>337.74194540896866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7.2</v>
      </c>
      <c r="N25" s="13">
        <f>IF('Données projet'!$A$36&gt;35,N24+M25-V24,IF(A25&lt;'Données projet'!$A$36,$K$205^A25,IF(A25='Données projet'!$A$36,'Données projet'!$B$36,N24+M25-V24)))</f>
        <v>81.400000000000006</v>
      </c>
      <c r="O25" s="13">
        <f>N25*VLOOKUP('Données projet'!$B$9,Paramètres!$A$1:$I$89,3,0)*VLOOKUP('Données projet'!$B$9,Paramètres!$A$1:$I$89,5,0)</f>
        <v>68.571360000000013</v>
      </c>
      <c r="P25" s="13">
        <f t="shared" si="33"/>
        <v>19.318251258205343</v>
      </c>
      <c r="Q25" s="20">
        <f t="shared" si="2"/>
        <v>153.07440627470763</v>
      </c>
      <c r="R25" s="59">
        <f t="shared" si="0"/>
        <v>446.40773960804097</v>
      </c>
      <c r="S25" s="59">
        <f ca="1">AVERAGE(OFFSET($R$3,0,0,'Données projet'!$E$9+1,1))-AVERAGE(OFFSET($H$3,0,0,'Données projet'!$E$9+1,1))</f>
        <v>267.44861001389006</v>
      </c>
      <c r="T25" s="59">
        <f t="shared" si="34"/>
        <v>165.25921510802965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14.8</v>
      </c>
      <c r="AI25" s="13">
        <f>IF('Données projet'!$A$62&gt;35,AI24+AH25-AQ24,IF(A25&lt;'Données projet'!$A$62,$AF$205^A25,IF(A25='Données projet'!$A$62,'Données projet'!$B$62,AI24+AH25-AQ24)))</f>
        <v>96.59999999999998</v>
      </c>
      <c r="AJ25" s="13">
        <f>AI25*VLOOKUP('Données projet'!$B$10,Paramètres!$A$1:$I$89,3,0)*VLOOKUP('Données projet'!$B$10,Paramètres!$A$1:$I$89,5,0)</f>
        <v>76.854959999999991</v>
      </c>
      <c r="AK25" s="13">
        <f t="shared" si="35"/>
        <v>21.366419773799993</v>
      </c>
      <c r="AL25" s="20">
        <f t="shared" si="4"/>
        <v>171.06890310603498</v>
      </c>
      <c r="AM25" s="59">
        <f t="shared" si="5"/>
        <v>464.40223643936827</v>
      </c>
      <c r="AN25" s="59">
        <f ca="1">AVERAGE(OFFSET($AM$3,0,0,'Données projet'!$E$10+1,1))-AVERAGE(OFFSET($H$3,0,0,'Données projet'!$E$10+1,1))</f>
        <v>244.70751760575268</v>
      </c>
      <c r="AO25" s="59">
        <f t="shared" si="36"/>
        <v>248.77995374147798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14.8</v>
      </c>
      <c r="BD25" s="12">
        <f>IF('Données projet'!$A$88&gt;35,BD24+BC25-BL24,IF(A25&lt;'Données projet'!$A$88,$BA$205^A25,IF(A25='Données projet'!$A$88,'Données projet'!$B$88,BD24+BC25-BL24)))</f>
        <v>96.59999999999998</v>
      </c>
      <c r="BE25" s="13">
        <f>BD25*VLOOKUP('Données projet'!$B$11,Paramètres!$A$1:$I$89,3,0)*VLOOKUP('Données projet'!$B$11,Paramètres!$A$1:$I$89,5,0)</f>
        <v>64.799279999999982</v>
      </c>
      <c r="BF25" s="13">
        <f t="shared" si="37"/>
        <v>18.376190154145164</v>
      </c>
      <c r="BG25" s="20">
        <f t="shared" si="7"/>
        <v>144.86394385180279</v>
      </c>
      <c r="BH25" s="59">
        <f t="shared" si="8"/>
        <v>438.1972771851361</v>
      </c>
      <c r="BI25" s="59">
        <f ca="1">AVERAGE(OFFSET($BH$3,0,0,'Données projet'!$E$11+1,1))-AVERAGE(OFFSET($H$3,0,0,'Données projet'!$E$11+1,1))</f>
        <v>195.02599095557656</v>
      </c>
      <c r="BJ25" s="59">
        <f t="shared" si="38"/>
        <v>201.41413798956927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20.092799999999997</v>
      </c>
      <c r="D26" s="11">
        <f t="shared" si="32"/>
        <v>6.5300817245569407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205.50996418956231</v>
      </c>
      <c r="H26" s="66">
        <f t="shared" si="1"/>
        <v>339.70151900360332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7.2</v>
      </c>
      <c r="N26" s="13">
        <f>IF('Données projet'!$A$36&gt;35,N25+M26-V25,IF(A26&lt;'Données projet'!$A$36,$K$205^A26,IF(A26='Données projet'!$A$36,'Données projet'!$B$36,N25+M26-V25)))</f>
        <v>88.600000000000009</v>
      </c>
      <c r="O26" s="13">
        <f>N26*VLOOKUP('Données projet'!$B$9,Paramètres!$A$1:$I$89,3,0)*VLOOKUP('Données projet'!$B$9,Paramètres!$A$1:$I$89,5,0)</f>
        <v>74.636640000000014</v>
      </c>
      <c r="P26" s="13">
        <f t="shared" si="33"/>
        <v>20.82056558443978</v>
      </c>
      <c r="Q26" s="20">
        <f t="shared" si="2"/>
        <v>166.25463305956598</v>
      </c>
      <c r="R26" s="59">
        <f t="shared" si="0"/>
        <v>459.58796639289926</v>
      </c>
      <c r="S26" s="59">
        <f ca="1">AVERAGE(OFFSET($R$3,0,0,'Données projet'!$E$9+1,1))-AVERAGE(OFFSET($H$3,0,0,'Données projet'!$E$9+1,1))</f>
        <v>267.44861001389006</v>
      </c>
      <c r="T26" s="59">
        <f t="shared" si="34"/>
        <v>165.25921510802965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14.8</v>
      </c>
      <c r="AI26" s="13">
        <f>IF('Données projet'!$A$62&gt;35,AI25+AH26-AQ25,IF(A26&lt;'Données projet'!$A$62,$AF$205^A26,IF(A26='Données projet'!$A$62,'Données projet'!$B$62,AI25+AH26-AQ25)))</f>
        <v>111.39999999999998</v>
      </c>
      <c r="AJ26" s="13">
        <f>AI26*VLOOKUP('Données projet'!$B$10,Paramètres!$A$1:$I$89,3,0)*VLOOKUP('Données projet'!$B$10,Paramètres!$A$1:$I$89,5,0)</f>
        <v>88.629839999999987</v>
      </c>
      <c r="AK26" s="13">
        <f t="shared" si="35"/>
        <v>24.23448093253452</v>
      </c>
      <c r="AL26" s="20">
        <f t="shared" si="4"/>
        <v>196.57202562416424</v>
      </c>
      <c r="AM26" s="59">
        <f t="shared" si="5"/>
        <v>489.90535895749758</v>
      </c>
      <c r="AN26" s="59">
        <f ca="1">AVERAGE(OFFSET($AM$3,0,0,'Données projet'!$E$10+1,1))-AVERAGE(OFFSET($H$3,0,0,'Données projet'!$E$10+1,1))</f>
        <v>244.70751760575268</v>
      </c>
      <c r="AO26" s="59">
        <f t="shared" si="36"/>
        <v>248.77995374147798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14.8</v>
      </c>
      <c r="BD26" s="12">
        <f>IF('Données projet'!$A$88&gt;35,BD25+BC26-BL25,IF(A26&lt;'Données projet'!$A$88,$BA$205^A26,IF(A26='Données projet'!$A$88,'Données projet'!$B$88,BD25+BC26-BL25)))</f>
        <v>111.39999999999998</v>
      </c>
      <c r="BE26" s="13">
        <f>BD26*VLOOKUP('Données projet'!$B$11,Paramètres!$A$1:$I$89,3,0)*VLOOKUP('Données projet'!$B$11,Paramètres!$A$1:$I$89,5,0)</f>
        <v>74.727119999999985</v>
      </c>
      <c r="BF26" s="13">
        <f t="shared" si="37"/>
        <v>20.842866264817221</v>
      </c>
      <c r="BG26" s="20">
        <f t="shared" si="7"/>
        <v>166.4510594112233</v>
      </c>
      <c r="BH26" s="59">
        <f t="shared" si="8"/>
        <v>459.78439274455661</v>
      </c>
      <c r="BI26" s="59">
        <f ca="1">AVERAGE(OFFSET($BH$3,0,0,'Données projet'!$E$11+1,1))-AVERAGE(OFFSET($H$3,0,0,'Données projet'!$E$11+1,1))</f>
        <v>195.02599095557656</v>
      </c>
      <c r="BJ26" s="59">
        <f t="shared" si="38"/>
        <v>201.41413798956927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20.966399999999997</v>
      </c>
      <c r="D27" s="11">
        <f t="shared" si="32"/>
        <v>6.7803256634538833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214.18525073543344</v>
      </c>
      <c r="H27" s="66">
        <f t="shared" si="1"/>
        <v>341.65888053051549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7.2</v>
      </c>
      <c r="N27" s="13">
        <f>IF('Données projet'!$A$36&gt;35,N26+M27-V26,IF(A27&lt;'Données projet'!$A$36,$K$205^A27,IF(A27='Données projet'!$A$36,'Données projet'!$B$36,N26+M27-V26)))</f>
        <v>95.800000000000011</v>
      </c>
      <c r="O27" s="13">
        <f>N27*VLOOKUP('Données projet'!$B$9,Paramètres!$A$1:$I$89,3,0)*VLOOKUP('Données projet'!$B$9,Paramètres!$A$1:$I$89,5,0)</f>
        <v>80.701920000000015</v>
      </c>
      <c r="P27" s="13">
        <f t="shared" si="33"/>
        <v>22.308719863780368</v>
      </c>
      <c r="Q27" s="20">
        <f t="shared" si="2"/>
        <v>179.41019776275084</v>
      </c>
      <c r="R27" s="59">
        <f t="shared" si="0"/>
        <v>472.74353109608415</v>
      </c>
      <c r="S27" s="59">
        <f ca="1">AVERAGE(OFFSET($R$3,0,0,'Données projet'!$E$9+1,1))-AVERAGE(OFFSET($H$3,0,0,'Données projet'!$E$9+1,1))</f>
        <v>267.44861001389006</v>
      </c>
      <c r="T27" s="59">
        <f t="shared" si="34"/>
        <v>165.25921510802965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14.8</v>
      </c>
      <c r="AI27" s="13">
        <f>IF('Données projet'!$A$62&gt;35,AI26+AH27-AQ26,IF(A27&lt;'Données projet'!$A$62,$AF$205^A27,IF(A27='Données projet'!$A$62,'Données projet'!$B$62,AI26+AH27-AQ26)))</f>
        <v>126.19999999999997</v>
      </c>
      <c r="AJ27" s="13">
        <f>AI27*VLOOKUP('Données projet'!$B$10,Paramètres!$A$1:$I$89,3,0)*VLOOKUP('Données projet'!$B$10,Paramètres!$A$1:$I$89,5,0)</f>
        <v>100.40472</v>
      </c>
      <c r="AK27" s="13">
        <f t="shared" si="35"/>
        <v>27.058393830330502</v>
      </c>
      <c r="AL27" s="20">
        <f t="shared" si="4"/>
        <v>221.99825658782561</v>
      </c>
      <c r="AM27" s="59">
        <f t="shared" si="5"/>
        <v>515.33158992115887</v>
      </c>
      <c r="AN27" s="59">
        <f ca="1">AVERAGE(OFFSET($AM$3,0,0,'Données projet'!$E$10+1,1))-AVERAGE(OFFSET($H$3,0,0,'Données projet'!$E$10+1,1))</f>
        <v>244.70751760575268</v>
      </c>
      <c r="AO27" s="59">
        <f t="shared" si="36"/>
        <v>248.77995374147798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14.8</v>
      </c>
      <c r="BD27" s="12">
        <f>IF('Données projet'!$A$88&gt;35,BD26+BC27-BL26,IF(A27&lt;'Données projet'!$A$88,$BA$205^A27,IF(A27='Données projet'!$A$88,'Données projet'!$B$88,BD26+BC27-BL26)))</f>
        <v>126.19999999999997</v>
      </c>
      <c r="BE27" s="13">
        <f>BD27*VLOOKUP('Données projet'!$B$11,Paramètres!$A$1:$I$89,3,0)*VLOOKUP('Données projet'!$B$11,Paramètres!$A$1:$I$89,5,0)</f>
        <v>84.654959999999988</v>
      </c>
      <c r="BF27" s="13">
        <f t="shared" si="37"/>
        <v>23.271572661958881</v>
      </c>
      <c r="BG27" s="20">
        <f t="shared" si="7"/>
        <v>187.97204438624502</v>
      </c>
      <c r="BH27" s="59">
        <f t="shared" si="8"/>
        <v>481.30537771957836</v>
      </c>
      <c r="BI27" s="59">
        <f ca="1">AVERAGE(OFFSET($BH$3,0,0,'Données projet'!$E$11+1,1))-AVERAGE(OFFSET($H$3,0,0,'Données projet'!$E$11+1,1))</f>
        <v>195.02599095557656</v>
      </c>
      <c r="BJ27" s="59">
        <f t="shared" si="38"/>
        <v>201.41413798956927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21.839999999999996</v>
      </c>
      <c r="D28" s="11">
        <f t="shared" si="32"/>
        <v>7.0293584875852613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222.85118832521957</v>
      </c>
      <c r="H28" s="66">
        <f t="shared" si="1"/>
        <v>343.61413269921098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103</v>
      </c>
      <c r="L28" s="12">
        <f>VLOOKUP(A28,'Données projet'!$A$35:$I$55,9,0)</f>
        <v>7.2</v>
      </c>
      <c r="M28" s="12">
        <f t="array" ref="M28">INDEX(L:L,MIN(IF(ISNUMBER(L28:L224),ROW(L28:L224),"")))</f>
        <v>7.2</v>
      </c>
      <c r="N28" s="13">
        <f>IF('Données projet'!$A$36&gt;35,N27+M28-V27,IF(A28&lt;'Données projet'!$A$36,$K$205^A28,IF(A28='Données projet'!$A$36,'Données projet'!$B$36,N27+M28-V27)))</f>
        <v>103.00000000000001</v>
      </c>
      <c r="O28" s="13">
        <f>N28*VLOOKUP('Données projet'!$B$9,Paramètres!$A$1:$I$89,3,0)*VLOOKUP('Données projet'!$B$9,Paramètres!$A$1:$I$89,5,0)</f>
        <v>86.767200000000017</v>
      </c>
      <c r="P28" s="13">
        <f t="shared" si="33"/>
        <v>23.783899326718451</v>
      </c>
      <c r="Q28" s="20">
        <f t="shared" si="2"/>
        <v>192.54316466070134</v>
      </c>
      <c r="R28" s="59">
        <f t="shared" si="0"/>
        <v>485.87649799403465</v>
      </c>
      <c r="S28" s="59">
        <f ca="1">AVERAGE(OFFSET($R$3,0,0,'Données projet'!$E$9+1,1))-AVERAGE(OFFSET($H$3,0,0,'Données projet'!$E$9+1,1))</f>
        <v>267.44861001389006</v>
      </c>
      <c r="T28" s="59">
        <f t="shared" si="34"/>
        <v>165.25921510802965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28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141</v>
      </c>
      <c r="AG28" s="12">
        <f>VLOOKUP(A28,'Données projet'!$A$61:$I$81,9,0)</f>
        <v>14.8</v>
      </c>
      <c r="AH28" s="12">
        <f t="array" ref="AH28">INDEX(AG:AG,MIN(IF(ISNUMBER(AG28:AG224),ROW(AG28:AG224),"")))</f>
        <v>14.8</v>
      </c>
      <c r="AI28" s="13">
        <f>IF('Données projet'!$A$62&gt;35,AI27+AH28-AQ27,IF(A28&lt;'Données projet'!$A$62,$AF$205^A28,IF(A28='Données projet'!$A$62,'Données projet'!$B$62,AI27+AH28-AQ27)))</f>
        <v>140.99999999999997</v>
      </c>
      <c r="AJ28" s="13">
        <f>AI28*VLOOKUP('Données projet'!$B$10,Paramètres!$A$1:$I$89,3,0)*VLOOKUP('Données projet'!$B$10,Paramètres!$A$1:$I$89,5,0)</f>
        <v>112.17959999999998</v>
      </c>
      <c r="AK28" s="13">
        <f t="shared" si="35"/>
        <v>29.8439274472838</v>
      </c>
      <c r="AL28" s="20">
        <f t="shared" si="4"/>
        <v>247.35764363735257</v>
      </c>
      <c r="AM28" s="59">
        <f t="shared" si="5"/>
        <v>540.69097697068582</v>
      </c>
      <c r="AN28" s="59">
        <f ca="1">AVERAGE(OFFSET($AM$3,0,0,'Données projet'!$E$10+1,1))-AVERAGE(OFFSET($H$3,0,0,'Données projet'!$E$10+1,1))</f>
        <v>244.70751760575268</v>
      </c>
      <c r="AO28" s="59">
        <f t="shared" si="36"/>
        <v>248.77995374147798</v>
      </c>
      <c r="AP28" s="15">
        <f>IF(ISNA(VLOOKUP(A28,'Données projet'!$A$61:$I$81,3,0)),0,VLOOKUP(A28,'Données projet'!$A$61:$I$81,3,0))</f>
        <v>3</v>
      </c>
      <c r="AQ28" s="15">
        <f>IF(ISNA(VLOOKUP(A28,'Données projet'!$A$61:$I$81,4,0)),0,VLOOKUP(A28,'Données projet'!$A$61:$I$81,4,0))</f>
        <v>35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141</v>
      </c>
      <c r="BB28" s="12">
        <f>VLOOKUP(A28,'Données projet'!$A$87:$I$107,9,0)</f>
        <v>14.8</v>
      </c>
      <c r="BC28" s="12">
        <f t="array" ref="BC28">INDEX(BB:BB,MIN(IF(ISNUMBER(BB28:BB224),ROW(BB28:BB224),"")))</f>
        <v>14.8</v>
      </c>
      <c r="BD28" s="12">
        <f>IF('Données projet'!$A$88&gt;35,BD27+BC28-BL27,IF(A28&lt;'Données projet'!$A$88,$BA$205^A28,IF(A28='Données projet'!$A$88,'Données projet'!$B$88,BD27+BC28-BL27)))</f>
        <v>140.99999999999997</v>
      </c>
      <c r="BE28" s="13">
        <f>BD28*VLOOKUP('Données projet'!$B$11,Paramètres!$A$1:$I$89,3,0)*VLOOKUP('Données projet'!$B$11,Paramètres!$A$1:$I$89,5,0)</f>
        <v>94.582799999999992</v>
      </c>
      <c r="BF28" s="13">
        <f t="shared" si="37"/>
        <v>25.667270957125069</v>
      </c>
      <c r="BG28" s="20">
        <f t="shared" si="7"/>
        <v>209.43554025032617</v>
      </c>
      <c r="BH28" s="59">
        <f t="shared" si="8"/>
        <v>502.76887358365946</v>
      </c>
      <c r="BI28" s="59">
        <f ca="1">AVERAGE(OFFSET($BH$3,0,0,'Données projet'!$E$11+1,1))-AVERAGE(OFFSET($H$3,0,0,'Données projet'!$E$11+1,1))</f>
        <v>195.02599095557656</v>
      </c>
      <c r="BJ28" s="59">
        <f t="shared" si="38"/>
        <v>201.41413798956927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35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22.713599999999996</v>
      </c>
      <c r="D29" s="11">
        <f t="shared" si="32"/>
        <v>7.2772341841187966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231.50819370196962</v>
      </c>
      <c r="H29" s="66">
        <f t="shared" si="1"/>
        <v>345.5673695373402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84.200000000000017</v>
      </c>
      <c r="O29" s="13">
        <f>N29*VLOOKUP('Données projet'!$B$9,Paramètres!$A$1:$I$89,3,0)*VLOOKUP('Données projet'!$B$9,Paramètres!$A$1:$I$89,5,0)</f>
        <v>70.930080000000018</v>
      </c>
      <c r="P29" s="13">
        <f t="shared" si="33"/>
        <v>19.904251483253464</v>
      </c>
      <c r="Q29" s="20">
        <f t="shared" si="2"/>
        <v>158.20312733333313</v>
      </c>
      <c r="R29" s="59">
        <f t="shared" si="0"/>
        <v>451.53646066666647</v>
      </c>
      <c r="S29" s="59">
        <f ca="1">AVERAGE(OFFSET($R$3,0,0,'Données projet'!$E$9+1,1))-AVERAGE(OFFSET($H$3,0,0,'Données projet'!$E$9+1,1))</f>
        <v>267.44861001389006</v>
      </c>
      <c r="T29" s="59">
        <f t="shared" si="34"/>
        <v>165.25921510802965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14.2</v>
      </c>
      <c r="AI29" s="13">
        <f>IF('Données projet'!$A$62&gt;35,AI28+AH29-AQ28,IF(A29&lt;'Données projet'!$A$62,$AF$205^A29,IF(A29='Données projet'!$A$62,'Données projet'!$B$62,AI28+AH29-AQ28)))</f>
        <v>120.19999999999996</v>
      </c>
      <c r="AJ29" s="13">
        <f>AI29*VLOOKUP('Données projet'!$B$10,Paramètres!$A$1:$I$89,3,0)*VLOOKUP('Données projet'!$B$10,Paramètres!$A$1:$I$89,5,0)</f>
        <v>95.631119999999967</v>
      </c>
      <c r="AK29" s="13">
        <f t="shared" si="35"/>
        <v>25.918481589892234</v>
      </c>
      <c r="AL29" s="20">
        <f t="shared" si="4"/>
        <v>211.69888943572892</v>
      </c>
      <c r="AM29" s="59">
        <f t="shared" si="5"/>
        <v>505.03222276906223</v>
      </c>
      <c r="AN29" s="59">
        <f ca="1">AVERAGE(OFFSET($AM$3,0,0,'Données projet'!$E$10+1,1))-AVERAGE(OFFSET($H$3,0,0,'Données projet'!$E$10+1,1))</f>
        <v>244.70751760575268</v>
      </c>
      <c r="AO29" s="59">
        <f t="shared" si="36"/>
        <v>248.77995374147798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14.2</v>
      </c>
      <c r="BD29" s="12">
        <f>IF('Données projet'!$A$88&gt;35,BD28+BC29-BL28,IF(A29&lt;'Données projet'!$A$88,$BA$205^A29,IF(A29='Données projet'!$A$88,'Données projet'!$B$88,BD28+BC29-BL28)))</f>
        <v>120.19999999999996</v>
      </c>
      <c r="BE29" s="13">
        <f>BD29*VLOOKUP('Données projet'!$B$11,Paramètres!$A$1:$I$89,3,0)*VLOOKUP('Données projet'!$B$11,Paramètres!$A$1:$I$89,5,0)</f>
        <v>80.630159999999975</v>
      </c>
      <c r="BF29" s="13">
        <f t="shared" si="37"/>
        <v>22.291191095412245</v>
      </c>
      <c r="BG29" s="20">
        <f t="shared" si="7"/>
        <v>179.25468649117627</v>
      </c>
      <c r="BH29" s="59">
        <f t="shared" si="8"/>
        <v>472.58801982450962</v>
      </c>
      <c r="BI29" s="59">
        <f ca="1">AVERAGE(OFFSET($BH$3,0,0,'Données projet'!$E$11+1,1))-AVERAGE(OFFSET($H$3,0,0,'Données projet'!$E$11+1,1))</f>
        <v>195.02599095557656</v>
      </c>
      <c r="BJ29" s="59">
        <f t="shared" si="38"/>
        <v>201.41413798956927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23.587199999999996</v>
      </c>
      <c r="D30" s="11">
        <f t="shared" si="32"/>
        <v>7.5240023521814967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240.15664973613787</v>
      </c>
      <c r="H30" s="66">
        <f t="shared" si="1"/>
        <v>347.51867743004942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93.40000000000002</v>
      </c>
      <c r="O30" s="13">
        <f>N30*VLOOKUP('Données projet'!$B$9,Paramètres!$A$1:$I$89,3,0)*VLOOKUP('Données projet'!$B$9,Paramètres!$A$1:$I$89,5,0)</f>
        <v>78.680160000000029</v>
      </c>
      <c r="P30" s="13">
        <f t="shared" si="33"/>
        <v>21.814164609384523</v>
      </c>
      <c r="Q30" s="20">
        <f t="shared" si="2"/>
        <v>175.02761536134474</v>
      </c>
      <c r="R30" s="59">
        <f t="shared" si="0"/>
        <v>468.36094869467809</v>
      </c>
      <c r="S30" s="59">
        <f ca="1">AVERAGE(OFFSET($R$3,0,0,'Données projet'!$E$9+1,1))-AVERAGE(OFFSET($H$3,0,0,'Données projet'!$E$9+1,1))</f>
        <v>267.44861001389006</v>
      </c>
      <c r="T30" s="59">
        <f t="shared" si="34"/>
        <v>165.25921510802965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14.2</v>
      </c>
      <c r="AI30" s="13">
        <f>IF('Données projet'!$A$62&gt;35,AI29+AH30-AQ29,IF(A30&lt;'Données projet'!$A$62,$AF$205^A30,IF(A30='Données projet'!$A$62,'Données projet'!$B$62,AI29+AH30-AQ29)))</f>
        <v>134.39999999999995</v>
      </c>
      <c r="AJ30" s="13">
        <f>AI30*VLOOKUP('Données projet'!$B$10,Paramètres!$A$1:$I$89,3,0)*VLOOKUP('Données projet'!$B$10,Paramètres!$A$1:$I$89,5,0)</f>
        <v>106.92863999999996</v>
      </c>
      <c r="AK30" s="13">
        <f t="shared" si="35"/>
        <v>28.606159868782917</v>
      </c>
      <c r="AL30" s="20">
        <f t="shared" si="4"/>
        <v>236.05644310479681</v>
      </c>
      <c r="AM30" s="59">
        <f t="shared" si="5"/>
        <v>529.38977643813018</v>
      </c>
      <c r="AN30" s="59">
        <f ca="1">AVERAGE(OFFSET($AM$3,0,0,'Données projet'!$E$10+1,1))-AVERAGE(OFFSET($H$3,0,0,'Données projet'!$E$10+1,1))</f>
        <v>244.70751760575268</v>
      </c>
      <c r="AO30" s="59">
        <f t="shared" si="36"/>
        <v>248.77995374147798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14.2</v>
      </c>
      <c r="BD30" s="12">
        <f>IF('Données projet'!$A$88&gt;35,BD29+BC30-BL29,IF(A30&lt;'Données projet'!$A$88,$BA$205^A30,IF(A30='Données projet'!$A$88,'Données projet'!$B$88,BD29+BC30-BL29)))</f>
        <v>134.39999999999995</v>
      </c>
      <c r="BE30" s="13">
        <f>BD30*VLOOKUP('Données projet'!$B$11,Paramètres!$A$1:$I$89,3,0)*VLOOKUP('Données projet'!$B$11,Paramètres!$A$1:$I$89,5,0)</f>
        <v>90.155519999999967</v>
      </c>
      <c r="BF30" s="13">
        <f t="shared" si="37"/>
        <v>24.60272890328697</v>
      </c>
      <c r="BG30" s="20">
        <f t="shared" si="7"/>
        <v>199.87061683989143</v>
      </c>
      <c r="BH30" s="59">
        <f t="shared" si="8"/>
        <v>493.20395017322471</v>
      </c>
      <c r="BI30" s="59">
        <f ca="1">AVERAGE(OFFSET($BH$3,0,0,'Données projet'!$E$11+1,1))-AVERAGE(OFFSET($H$3,0,0,'Données projet'!$E$11+1,1))</f>
        <v>195.02599095557656</v>
      </c>
      <c r="BJ30" s="59">
        <f t="shared" si="38"/>
        <v>201.41413798956927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24.460799999999995</v>
      </c>
      <c r="D31" s="11">
        <f t="shared" si="32"/>
        <v>7.7697087087225771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248.79690933049005</v>
      </c>
      <c r="H31" s="66">
        <f t="shared" si="1"/>
        <v>349.46813600102513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102.60000000000002</v>
      </c>
      <c r="O31" s="13">
        <f>N31*VLOOKUP('Données projet'!$B$9,Paramètres!$A$1:$I$89,3,0)*VLOOKUP('Données projet'!$B$9,Paramètres!$A$1:$I$89,5,0)</f>
        <v>86.430240000000026</v>
      </c>
      <c r="P31" s="13">
        <f t="shared" si="33"/>
        <v>23.702267442352529</v>
      </c>
      <c r="Q31" s="20">
        <f t="shared" si="2"/>
        <v>191.81411712876402</v>
      </c>
      <c r="R31" s="59">
        <f t="shared" si="0"/>
        <v>485.14745046209737</v>
      </c>
      <c r="S31" s="59">
        <f ca="1">AVERAGE(OFFSET($R$3,0,0,'Données projet'!$E$9+1,1))-AVERAGE(OFFSET($H$3,0,0,'Données projet'!$E$9+1,1))</f>
        <v>267.44861001389006</v>
      </c>
      <c r="T31" s="59">
        <f t="shared" si="34"/>
        <v>165.25921510802965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14.2</v>
      </c>
      <c r="AI31" s="13">
        <f>IF('Données projet'!$A$62&gt;35,AI30+AH31-AQ30,IF(A31&lt;'Données projet'!$A$62,$AF$205^A31,IF(A31='Données projet'!$A$62,'Données projet'!$B$62,AI30+AH31-AQ30)))</f>
        <v>148.59999999999994</v>
      </c>
      <c r="AJ31" s="13">
        <f>AI31*VLOOKUP('Données projet'!$B$10,Paramètres!$A$1:$I$89,3,0)*VLOOKUP('Données projet'!$B$10,Paramètres!$A$1:$I$89,5,0)</f>
        <v>118.22615999999996</v>
      </c>
      <c r="AK31" s="13">
        <f t="shared" si="35"/>
        <v>31.260922342884676</v>
      </c>
      <c r="AL31" s="20">
        <f t="shared" si="4"/>
        <v>260.35666841385739</v>
      </c>
      <c r="AM31" s="59">
        <f t="shared" si="5"/>
        <v>553.69000174719076</v>
      </c>
      <c r="AN31" s="59">
        <f ca="1">AVERAGE(OFFSET($AM$3,0,0,'Données projet'!$E$10+1,1))-AVERAGE(OFFSET($H$3,0,0,'Données projet'!$E$10+1,1))</f>
        <v>244.70751760575268</v>
      </c>
      <c r="AO31" s="59">
        <f t="shared" si="36"/>
        <v>248.77995374147798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14.2</v>
      </c>
      <c r="BD31" s="12">
        <f>IF('Données projet'!$A$88&gt;35,BD30+BC31-BL30,IF(A31&lt;'Données projet'!$A$88,$BA$205^A31,IF(A31='Données projet'!$A$88,'Données projet'!$B$88,BD30+BC31-BL30)))</f>
        <v>148.59999999999994</v>
      </c>
      <c r="BE31" s="13">
        <f>BD31*VLOOKUP('Données projet'!$B$11,Paramètres!$A$1:$I$89,3,0)*VLOOKUP('Données projet'!$B$11,Paramètres!$A$1:$I$89,5,0)</f>
        <v>99.680879999999959</v>
      </c>
      <c r="BF31" s="13">
        <f t="shared" si="37"/>
        <v>26.885957471977871</v>
      </c>
      <c r="BG31" s="20">
        <f t="shared" si="7"/>
        <v>220.43724193036135</v>
      </c>
      <c r="BH31" s="59">
        <f t="shared" si="8"/>
        <v>513.7705752636947</v>
      </c>
      <c r="BI31" s="59">
        <f ca="1">AVERAGE(OFFSET($BH$3,0,0,'Données projet'!$E$11+1,1))-AVERAGE(OFFSET($H$3,0,0,'Données projet'!$E$11+1,1))</f>
        <v>195.02599095557656</v>
      </c>
      <c r="BJ31" s="59">
        <f t="shared" si="38"/>
        <v>201.41413798956927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25.334399999999995</v>
      </c>
      <c r="D32" s="11">
        <f t="shared" si="32"/>
        <v>8.0143955200794537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257.42929875149048</v>
      </c>
      <c r="H32" s="66">
        <f t="shared" si="1"/>
        <v>351.41581886413837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111.80000000000003</v>
      </c>
      <c r="O32" s="13">
        <f>N32*VLOOKUP('Données projet'!$B$9,Paramètres!$A$1:$I$89,3,0)*VLOOKUP('Données projet'!$B$9,Paramètres!$A$1:$I$89,5,0)</f>
        <v>94.180320000000037</v>
      </c>
      <c r="P32" s="13">
        <f t="shared" si="33"/>
        <v>25.570738079029208</v>
      </c>
      <c r="Q32" s="20">
        <f t="shared" si="2"/>
        <v>208.56642615430928</v>
      </c>
      <c r="R32" s="59">
        <f t="shared" si="0"/>
        <v>501.8997594876426</v>
      </c>
      <c r="S32" s="59">
        <f ca="1">AVERAGE(OFFSET($R$3,0,0,'Données projet'!$E$9+1,1))-AVERAGE(OFFSET($H$3,0,0,'Données projet'!$E$9+1,1))</f>
        <v>267.44861001389006</v>
      </c>
      <c r="T32" s="59">
        <f t="shared" si="34"/>
        <v>165.25921510802965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14.2</v>
      </c>
      <c r="AI32" s="13">
        <f>IF('Données projet'!$A$62&gt;35,AI31+AH32-AQ31,IF(A32&lt;'Données projet'!$A$62,$AF$205^A32,IF(A32='Données projet'!$A$62,'Données projet'!$B$62,AI31+AH32-AQ31)))</f>
        <v>162.79999999999993</v>
      </c>
      <c r="AJ32" s="13">
        <f>AI32*VLOOKUP('Données projet'!$B$10,Paramètres!$A$1:$I$89,3,0)*VLOOKUP('Données projet'!$B$10,Paramètres!$A$1:$I$89,5,0)</f>
        <v>129.52367999999996</v>
      </c>
      <c r="AK32" s="13">
        <f t="shared" si="35"/>
        <v>33.886272262901727</v>
      </c>
      <c r="AL32" s="20">
        <f t="shared" si="4"/>
        <v>284.60566685788712</v>
      </c>
      <c r="AM32" s="59">
        <f t="shared" si="5"/>
        <v>577.93900019122043</v>
      </c>
      <c r="AN32" s="59">
        <f ca="1">AVERAGE(OFFSET($AM$3,0,0,'Données projet'!$E$10+1,1))-AVERAGE(OFFSET($H$3,0,0,'Données projet'!$E$10+1,1))</f>
        <v>244.70751760575268</v>
      </c>
      <c r="AO32" s="59">
        <f t="shared" si="36"/>
        <v>248.77995374147798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14.2</v>
      </c>
      <c r="BD32" s="12">
        <f>IF('Données projet'!$A$88&gt;35,BD31+BC32-BL31,IF(A32&lt;'Données projet'!$A$88,$BA$205^A32,IF(A32='Données projet'!$A$88,'Données projet'!$B$88,BD31+BC32-BL31)))</f>
        <v>162.79999999999993</v>
      </c>
      <c r="BE32" s="13">
        <f>BD32*VLOOKUP('Données projet'!$B$11,Paramètres!$A$1:$I$89,3,0)*VLOOKUP('Données projet'!$B$11,Paramètres!$A$1:$I$89,5,0)</f>
        <v>109.20623999999995</v>
      </c>
      <c r="BF32" s="13">
        <f t="shared" si="37"/>
        <v>29.143889772388857</v>
      </c>
      <c r="BG32" s="20">
        <f t="shared" si="7"/>
        <v>240.95980935357719</v>
      </c>
      <c r="BH32" s="59">
        <f t="shared" si="8"/>
        <v>534.29314268691053</v>
      </c>
      <c r="BI32" s="59">
        <f ca="1">AVERAGE(OFFSET($BH$3,0,0,'Données projet'!$E$11+1,1))-AVERAGE(OFFSET($H$3,0,0,'Données projet'!$E$11+1,1))</f>
        <v>195.02599095557656</v>
      </c>
      <c r="BJ32" s="59">
        <f t="shared" si="38"/>
        <v>201.41413798956927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26.207999999999995</v>
      </c>
      <c r="D33" s="11">
        <f t="shared" si="32"/>
        <v>8.258101972345095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266.05412048827787</v>
      </c>
      <c r="H33" s="66">
        <f t="shared" si="1"/>
        <v>353.361794268501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121.00000000000003</v>
      </c>
      <c r="O33" s="13">
        <f>N33*VLOOKUP('Données projet'!$B$9,Paramètres!$A$1:$I$89,3,0)*VLOOKUP('Données projet'!$B$9,Paramètres!$A$1:$I$89,5,0)</f>
        <v>101.93040000000003</v>
      </c>
      <c r="P33" s="13">
        <f t="shared" si="33"/>
        <v>27.421375718582158</v>
      </c>
      <c r="Q33" s="20">
        <f t="shared" si="2"/>
        <v>225.28767604319731</v>
      </c>
      <c r="R33" s="59">
        <f t="shared" si="0"/>
        <v>518.62100937653065</v>
      </c>
      <c r="S33" s="59">
        <f ca="1">AVERAGE(OFFSET($R$3,0,0,'Données projet'!$E$9+1,1))-AVERAGE(OFFSET($H$3,0,0,'Données projet'!$E$9+1,1))</f>
        <v>267.44861001389006</v>
      </c>
      <c r="T33" s="59">
        <f t="shared" si="34"/>
        <v>165.25921510802965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28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177</v>
      </c>
      <c r="AG33" s="12">
        <f>VLOOKUP(A33,'Données projet'!$A$61:$I$81,9,0)</f>
        <v>14.2</v>
      </c>
      <c r="AH33" s="12">
        <f t="array" ref="AH33">INDEX(AG:AG,MIN(IF(ISNUMBER(AG33:AG229),ROW(AG33:AG229),"")))</f>
        <v>14.2</v>
      </c>
      <c r="AI33" s="13">
        <f>IF('Données projet'!$A$62&gt;35,AI32+AH33-AQ32,IF(A33&lt;'Données projet'!$A$62,$AF$205^A33,IF(A33='Données projet'!$A$62,'Données projet'!$B$62,AI32+AH33-AQ32)))</f>
        <v>176.99999999999991</v>
      </c>
      <c r="AJ33" s="13">
        <f>AI33*VLOOKUP('Données projet'!$B$10,Paramètres!$A$1:$I$89,3,0)*VLOOKUP('Données projet'!$B$10,Paramètres!$A$1:$I$89,5,0)</f>
        <v>140.82119999999992</v>
      </c>
      <c r="AK33" s="13">
        <f t="shared" si="35"/>
        <v>36.485066799987997</v>
      </c>
      <c r="AL33" s="20">
        <f t="shared" si="4"/>
        <v>308.80841467664561</v>
      </c>
      <c r="AM33" s="59">
        <f t="shared" si="5"/>
        <v>602.14174800997898</v>
      </c>
      <c r="AN33" s="59">
        <f ca="1">AVERAGE(OFFSET($AM$3,0,0,'Données projet'!$E$10+1,1))-AVERAGE(OFFSET($H$3,0,0,'Données projet'!$E$10+1,1))</f>
        <v>244.70751760575268</v>
      </c>
      <c r="AO33" s="59">
        <f t="shared" si="36"/>
        <v>248.77995374147798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35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177</v>
      </c>
      <c r="BB33" s="12">
        <f>VLOOKUP(A33,'Données projet'!$A$87:$I$107,9,0)</f>
        <v>14.2</v>
      </c>
      <c r="BC33" s="12">
        <f t="array" ref="BC33">INDEX(BB:BB,MIN(IF(ISNUMBER(BB33:BB229),ROW(BB33:BB229),"")))</f>
        <v>14.2</v>
      </c>
      <c r="BD33" s="12">
        <f>IF('Données projet'!$A$88&gt;35,BD32+BC33-BL32,IF(A33&lt;'Données projet'!$A$88,$BA$205^A33,IF(A33='Données projet'!$A$88,'Données projet'!$B$88,BD32+BC33-BL32)))</f>
        <v>176.99999999999991</v>
      </c>
      <c r="BE33" s="13">
        <f>BD33*VLOOKUP('Données projet'!$B$11,Paramètres!$A$1:$I$89,3,0)*VLOOKUP('Données projet'!$B$11,Paramètres!$A$1:$I$89,5,0)</f>
        <v>118.73159999999994</v>
      </c>
      <c r="BF33" s="13">
        <f t="shared" si="37"/>
        <v>31.378983114681567</v>
      </c>
      <c r="BG33" s="20">
        <f t="shared" si="7"/>
        <v>261.44259892473696</v>
      </c>
      <c r="BH33" s="59">
        <f t="shared" si="8"/>
        <v>554.77593225807027</v>
      </c>
      <c r="BI33" s="59">
        <f ca="1">AVERAGE(OFFSET($BH$3,0,0,'Données projet'!$E$11+1,1))-AVERAGE(OFFSET($H$3,0,0,'Données projet'!$E$11+1,1))</f>
        <v>195.02599095557656</v>
      </c>
      <c r="BJ33" s="59">
        <f t="shared" si="38"/>
        <v>201.41413798956927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35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27.081599999999995</v>
      </c>
      <c r="D34" s="11">
        <f t="shared" si="32"/>
        <v>8.5008644909657693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274.67165571973572</v>
      </c>
      <c r="H34" s="66">
        <f t="shared" si="1"/>
        <v>355.3061256550987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10.8</v>
      </c>
      <c r="N34" s="13">
        <f>IF('Données projet'!$A$36&gt;35,N33+M34-V33,IF(A34&lt;'Données projet'!$A$36,$K$205^A34,IF(A34='Données projet'!$A$36,'Données projet'!$B$36,N33+M34-V33)))</f>
        <v>103.80000000000004</v>
      </c>
      <c r="O34" s="13">
        <f>N34*VLOOKUP('Données projet'!$B$9,Paramètres!$A$1:$I$89,3,0)*VLOOKUP('Données projet'!$B$9,Paramètres!$A$1:$I$89,5,0)</f>
        <v>87.441120000000041</v>
      </c>
      <c r="P34" s="13">
        <f t="shared" si="33"/>
        <v>23.947052577122424</v>
      </c>
      <c r="Q34" s="20">
        <f t="shared" si="2"/>
        <v>194.0010672384883</v>
      </c>
      <c r="R34" s="59">
        <f t="shared" si="0"/>
        <v>487.33440057182162</v>
      </c>
      <c r="S34" s="59">
        <f ca="1">AVERAGE(OFFSET($R$3,0,0,'Données projet'!$E$9+1,1))-AVERAGE(OFFSET($H$3,0,0,'Données projet'!$E$9+1,1))</f>
        <v>267.44861001389006</v>
      </c>
      <c r="T34" s="59">
        <f t="shared" si="34"/>
        <v>165.25921510802965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12.8</v>
      </c>
      <c r="AI34" s="13">
        <f>IF('Données projet'!$A$62&gt;35,AI33+AH34-AQ33,IF(A34&lt;'Données projet'!$A$62,$AF$205^A34,IF(A34='Données projet'!$A$62,'Données projet'!$B$62,AI33+AH34-AQ33)))</f>
        <v>154.79999999999993</v>
      </c>
      <c r="AJ34" s="13">
        <f>AI34*VLOOKUP('Données projet'!$B$10,Paramètres!$A$1:$I$89,3,0)*VLOOKUP('Données projet'!$B$10,Paramètres!$A$1:$I$89,5,0)</f>
        <v>123.15887999999995</v>
      </c>
      <c r="AK34" s="13">
        <f t="shared" si="35"/>
        <v>32.410638331814873</v>
      </c>
      <c r="AL34" s="20">
        <f t="shared" si="4"/>
        <v>270.95024442791083</v>
      </c>
      <c r="AM34" s="59">
        <f t="shared" si="5"/>
        <v>564.28357776124415</v>
      </c>
      <c r="AN34" s="59">
        <f ca="1">AVERAGE(OFFSET($AM$3,0,0,'Données projet'!$E$10+1,1))-AVERAGE(OFFSET($H$3,0,0,'Données projet'!$E$10+1,1))</f>
        <v>244.70751760575268</v>
      </c>
      <c r="AO34" s="59">
        <f t="shared" si="36"/>
        <v>248.77995374147798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12.8</v>
      </c>
      <c r="BD34" s="12">
        <f>IF('Données projet'!$A$88&gt;35,BD33+BC34-BL33,IF(A34&lt;'Données projet'!$A$88,$BA$205^A34,IF(A34='Données projet'!$A$88,'Données projet'!$B$88,BD33+BC34-BL33)))</f>
        <v>154.79999999999993</v>
      </c>
      <c r="BE34" s="13">
        <f>BD34*VLOOKUP('Données projet'!$B$11,Paramètres!$A$1:$I$89,3,0)*VLOOKUP('Données projet'!$B$11,Paramètres!$A$1:$I$89,5,0)</f>
        <v>103.83983999999995</v>
      </c>
      <c r="BF34" s="13">
        <f t="shared" si="37"/>
        <v>27.874770752794774</v>
      </c>
      <c r="BG34" s="20">
        <f t="shared" si="7"/>
        <v>229.40294706111749</v>
      </c>
      <c r="BH34" s="59">
        <f t="shared" si="8"/>
        <v>522.73628039445077</v>
      </c>
      <c r="BI34" s="59">
        <f ca="1">AVERAGE(OFFSET($BH$3,0,0,'Données projet'!$E$11+1,1))-AVERAGE(OFFSET($H$3,0,0,'Données projet'!$E$11+1,1))</f>
        <v>195.02599095557656</v>
      </c>
      <c r="BJ34" s="59">
        <f t="shared" si="38"/>
        <v>201.41413798956927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27.955199999999994</v>
      </c>
      <c r="D35" s="11">
        <f t="shared" si="32"/>
        <v>8.7427170179419935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283.28216645428904</v>
      </c>
      <c r="H35" s="66">
        <f t="shared" si="1"/>
        <v>357.24887213958226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10.8</v>
      </c>
      <c r="N35" s="13">
        <f>IF('Données projet'!$A$36&gt;35,N34+M35-V34,IF(A35&lt;'Données projet'!$A$36,$K$205^A35,IF(A35='Données projet'!$A$36,'Données projet'!$B$36,N34+M35-V34)))</f>
        <v>114.60000000000004</v>
      </c>
      <c r="O35" s="13">
        <f>N35*VLOOKUP('Données projet'!$B$9,Paramètres!$A$1:$I$89,3,0)*VLOOKUP('Données projet'!$B$9,Paramètres!$A$1:$I$89,5,0)</f>
        <v>96.539040000000043</v>
      </c>
      <c r="P35" s="13">
        <f t="shared" si="33"/>
        <v>26.135788937894091</v>
      </c>
      <c r="Q35" s="20">
        <f t="shared" ref="Q35:Q66" si="53">(O35+P35)*0.475*44/12</f>
        <v>213.65866040016559</v>
      </c>
      <c r="R35" s="59">
        <f t="shared" si="0"/>
        <v>506.99199373349893</v>
      </c>
      <c r="S35" s="59">
        <f ca="1">AVERAGE(OFFSET($R$3,0,0,'Données projet'!$E$9+1,1))-AVERAGE(OFFSET($H$3,0,0,'Données projet'!$E$9+1,1))</f>
        <v>267.44861001389006</v>
      </c>
      <c r="T35" s="59">
        <f t="shared" si="34"/>
        <v>165.25921510802965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12.8</v>
      </c>
      <c r="AI35" s="13">
        <f>IF('Données projet'!$A$62&gt;35,AI34+AH35-AQ34,IF(A35&lt;'Données projet'!$A$62,$AF$205^A35,IF(A35='Données projet'!$A$62,'Données projet'!$B$62,AI34+AH35-AQ34)))</f>
        <v>167.59999999999994</v>
      </c>
      <c r="AJ35" s="13">
        <f>AI35*VLOOKUP('Données projet'!$B$10,Paramètres!$A$1:$I$89,3,0)*VLOOKUP('Données projet'!$B$10,Paramètres!$A$1:$I$89,5,0)</f>
        <v>133.34255999999996</v>
      </c>
      <c r="AK35" s="13">
        <f t="shared" si="35"/>
        <v>34.767581918978188</v>
      </c>
      <c r="AL35" s="20">
        <f t="shared" si="4"/>
        <v>292.7918305088869</v>
      </c>
      <c r="AM35" s="59">
        <f t="shared" si="5"/>
        <v>586.12516384222022</v>
      </c>
      <c r="AN35" s="59">
        <f ca="1">AVERAGE(OFFSET($AM$3,0,0,'Données projet'!$E$10+1,1))-AVERAGE(OFFSET($H$3,0,0,'Données projet'!$E$10+1,1))</f>
        <v>244.70751760575268</v>
      </c>
      <c r="AO35" s="59">
        <f t="shared" si="36"/>
        <v>248.77995374147798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12.8</v>
      </c>
      <c r="BD35" s="12">
        <f>IF('Données projet'!$A$88&gt;35,BD34+BC35-BL34,IF(A35&lt;'Données projet'!$A$88,$BA$205^A35,IF(A35='Données projet'!$A$88,'Données projet'!$B$88,BD34+BC35-BL34)))</f>
        <v>167.59999999999994</v>
      </c>
      <c r="BE35" s="13">
        <f>BD35*VLOOKUP('Données projet'!$B$11,Paramètres!$A$1:$I$89,3,0)*VLOOKUP('Données projet'!$B$11,Paramètres!$A$1:$I$89,5,0)</f>
        <v>112.42607999999996</v>
      </c>
      <c r="BF35" s="13">
        <f t="shared" si="37"/>
        <v>29.901860176237435</v>
      </c>
      <c r="BG35" s="20">
        <f t="shared" si="7"/>
        <v>247.88782914028013</v>
      </c>
      <c r="BH35" s="59">
        <f t="shared" si="8"/>
        <v>541.2211624736135</v>
      </c>
      <c r="BI35" s="59">
        <f ca="1">AVERAGE(OFFSET($BH$3,0,0,'Données projet'!$E$11+1,1))-AVERAGE(OFFSET($H$3,0,0,'Données projet'!$E$11+1,1))</f>
        <v>195.02599095557656</v>
      </c>
      <c r="BJ35" s="59">
        <f t="shared" si="38"/>
        <v>201.41413798956927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28.828799999999994</v>
      </c>
      <c r="D36" s="11">
        <f t="shared" si="32"/>
        <v>8.9836912534059454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291.88589739471257</v>
      </c>
      <c r="H36" s="66">
        <f t="shared" si="1"/>
        <v>359.19008893301532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10.8</v>
      </c>
      <c r="N36" s="13">
        <f>IF('Données projet'!$A$36&gt;35,N35+M36-V35,IF(A36&lt;'Données projet'!$A$36,$K$205^A36,IF(A36='Données projet'!$A$36,'Données projet'!$B$36,N35+M36-V35)))</f>
        <v>125.40000000000003</v>
      </c>
      <c r="O36" s="13">
        <f>N36*VLOOKUP('Données projet'!$B$9,Paramètres!$A$1:$I$89,3,0)*VLOOKUP('Données projet'!$B$9,Paramètres!$A$1:$I$89,5,0)</f>
        <v>105.63696000000004</v>
      </c>
      <c r="P36" s="13">
        <f t="shared" si="33"/>
        <v>28.300609534766192</v>
      </c>
      <c r="Q36" s="20">
        <f t="shared" si="53"/>
        <v>233.27460027305116</v>
      </c>
      <c r="R36" s="59">
        <f t="shared" si="0"/>
        <v>526.60793360638445</v>
      </c>
      <c r="S36" s="59">
        <f ca="1">AVERAGE(OFFSET($R$3,0,0,'Données projet'!$E$9+1,1))-AVERAGE(OFFSET($H$3,0,0,'Données projet'!$E$9+1,1))</f>
        <v>267.44861001389006</v>
      </c>
      <c r="T36" s="59">
        <f t="shared" si="34"/>
        <v>165.25921510802965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12.8</v>
      </c>
      <c r="AI36" s="13">
        <f>IF('Données projet'!$A$62&gt;35,AI35+AH36-AQ35,IF(A36&lt;'Données projet'!$A$62,$AF$205^A36,IF(A36='Données projet'!$A$62,'Données projet'!$B$62,AI35+AH36-AQ35)))</f>
        <v>180.39999999999995</v>
      </c>
      <c r="AJ36" s="13">
        <f>AI36*VLOOKUP('Données projet'!$B$10,Paramètres!$A$1:$I$89,3,0)*VLOOKUP('Données projet'!$B$10,Paramètres!$A$1:$I$89,5,0)</f>
        <v>143.52623999999997</v>
      </c>
      <c r="AK36" s="13">
        <f t="shared" si="35"/>
        <v>37.103644337236275</v>
      </c>
      <c r="AL36" s="20">
        <f t="shared" si="4"/>
        <v>314.59704855401981</v>
      </c>
      <c r="AM36" s="59">
        <f t="shared" si="5"/>
        <v>607.93038188735318</v>
      </c>
      <c r="AN36" s="59">
        <f ca="1">AVERAGE(OFFSET($AM$3,0,0,'Données projet'!$E$10+1,1))-AVERAGE(OFFSET($H$3,0,0,'Données projet'!$E$10+1,1))</f>
        <v>244.70751760575268</v>
      </c>
      <c r="AO36" s="59">
        <f t="shared" si="36"/>
        <v>248.77995374147798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12.8</v>
      </c>
      <c r="BD36" s="12">
        <f>IF('Données projet'!$A$88&gt;35,BD35+BC36-BL35,IF(A36&lt;'Données projet'!$A$88,$BA$205^A36,IF(A36='Données projet'!$A$88,'Données projet'!$B$88,BD35+BC36-BL35)))</f>
        <v>180.39999999999995</v>
      </c>
      <c r="BE36" s="13">
        <f>BD36*VLOOKUP('Données projet'!$B$11,Paramètres!$A$1:$I$89,3,0)*VLOOKUP('Données projet'!$B$11,Paramètres!$A$1:$I$89,5,0)</f>
        <v>121.01231999999996</v>
      </c>
      <c r="BF36" s="13">
        <f t="shared" si="37"/>
        <v>31.910990749554291</v>
      </c>
      <c r="BG36" s="20">
        <f t="shared" si="7"/>
        <v>266.34143288880699</v>
      </c>
      <c r="BH36" s="59">
        <f t="shared" si="8"/>
        <v>559.67476622214031</v>
      </c>
      <c r="BI36" s="59">
        <f ca="1">AVERAGE(OFFSET($BH$3,0,0,'Données projet'!$E$11+1,1))-AVERAGE(OFFSET($H$3,0,0,'Données projet'!$E$11+1,1))</f>
        <v>195.02599095557656</v>
      </c>
      <c r="BJ36" s="59">
        <f t="shared" si="38"/>
        <v>201.41413798956927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29.702399999999994</v>
      </c>
      <c r="D37" s="11">
        <f t="shared" si="32"/>
        <v>9.223816867094067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300.48307757055068</v>
      </c>
      <c r="H37" s="66">
        <f t="shared" si="1"/>
        <v>361.12982771018881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10.8</v>
      </c>
      <c r="N37" s="13">
        <f>IF('Données projet'!$A$36&gt;35,N36+M37-V36,IF(A37&lt;'Données projet'!$A$36,$K$205^A37,IF(A37='Données projet'!$A$36,'Données projet'!$B$36,N36+M37-V36)))</f>
        <v>136.20000000000005</v>
      </c>
      <c r="O37" s="13">
        <f>N37*VLOOKUP('Données projet'!$B$9,Paramètres!$A$1:$I$89,3,0)*VLOOKUP('Données projet'!$B$9,Paramètres!$A$1:$I$89,5,0)</f>
        <v>114.73488000000005</v>
      </c>
      <c r="P37" s="13">
        <f t="shared" si="33"/>
        <v>30.443808287231871</v>
      </c>
      <c r="Q37" s="20">
        <f t="shared" si="53"/>
        <v>252.85288210026226</v>
      </c>
      <c r="R37" s="59">
        <f t="shared" si="0"/>
        <v>546.18621543359563</v>
      </c>
      <c r="S37" s="59">
        <f ca="1">AVERAGE(OFFSET($R$3,0,0,'Données projet'!$E$9+1,1))-AVERAGE(OFFSET($H$3,0,0,'Données projet'!$E$9+1,1))</f>
        <v>267.44861001389006</v>
      </c>
      <c r="T37" s="59">
        <f t="shared" si="34"/>
        <v>165.25921510802965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12.8</v>
      </c>
      <c r="AI37" s="13">
        <f>IF('Données projet'!$A$62&gt;35,AI36+AH37-AQ36,IF(A37&lt;'Données projet'!$A$62,$AF$205^A37,IF(A37='Données projet'!$A$62,'Données projet'!$B$62,AI36+AH37-AQ36)))</f>
        <v>193.19999999999996</v>
      </c>
      <c r="AJ37" s="13">
        <f>AI37*VLOOKUP('Données projet'!$B$10,Paramètres!$A$1:$I$89,3,0)*VLOOKUP('Données projet'!$B$10,Paramètres!$A$1:$I$89,5,0)</f>
        <v>153.70991999999998</v>
      </c>
      <c r="AK37" s="13">
        <f t="shared" si="35"/>
        <v>39.420475690379831</v>
      </c>
      <c r="AL37" s="20">
        <f t="shared" si="4"/>
        <v>336.3687724940782</v>
      </c>
      <c r="AM37" s="59">
        <f t="shared" si="5"/>
        <v>629.70210582741151</v>
      </c>
      <c r="AN37" s="59">
        <f ca="1">AVERAGE(OFFSET($AM$3,0,0,'Données projet'!$E$10+1,1))-AVERAGE(OFFSET($H$3,0,0,'Données projet'!$E$10+1,1))</f>
        <v>244.70751760575268</v>
      </c>
      <c r="AO37" s="59">
        <f t="shared" si="36"/>
        <v>248.77995374147798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12.8</v>
      </c>
      <c r="BD37" s="12">
        <f>IF('Données projet'!$A$88&gt;35,BD36+BC37-BL36,IF(A37&lt;'Données projet'!$A$88,$BA$205^A37,IF(A37='Données projet'!$A$88,'Données projet'!$B$88,BD36+BC37-BL36)))</f>
        <v>193.19999999999996</v>
      </c>
      <c r="BE37" s="13">
        <f>BD37*VLOOKUP('Données projet'!$B$11,Paramètres!$A$1:$I$89,3,0)*VLOOKUP('Données projet'!$B$11,Paramètres!$A$1:$I$89,5,0)</f>
        <v>129.59855999999996</v>
      </c>
      <c r="BF37" s="13">
        <f t="shared" si="37"/>
        <v>33.903581644574395</v>
      </c>
      <c r="BG37" s="20">
        <f t="shared" si="7"/>
        <v>284.76623003096699</v>
      </c>
      <c r="BH37" s="59">
        <f t="shared" si="8"/>
        <v>578.09956336430037</v>
      </c>
      <c r="BI37" s="59">
        <f ca="1">AVERAGE(OFFSET($BH$3,0,0,'Données projet'!$E$11+1,1))-AVERAGE(OFFSET($H$3,0,0,'Données projet'!$E$11+1,1))</f>
        <v>195.02599095557656</v>
      </c>
      <c r="BJ37" s="59">
        <f t="shared" si="38"/>
        <v>201.41413798956927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30.575999999999993</v>
      </c>
      <c r="D38" s="11">
        <f t="shared" si="32"/>
        <v>9.4631216842413828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309.0739217730914</v>
      </c>
      <c r="H38" s="66">
        <f t="shared" si="1"/>
        <v>363.06813693338705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147</v>
      </c>
      <c r="L38" s="12">
        <f>VLOOKUP(A38,'Données projet'!$A$35:$I$55,9,0)</f>
        <v>10.8</v>
      </c>
      <c r="M38" s="12">
        <f t="array" ref="M38">INDEX(L:L,MIN(IF(ISNUMBER(L38:L234),ROW(L38:L234),"")))</f>
        <v>10.8</v>
      </c>
      <c r="N38" s="13">
        <f>IF('Données projet'!$A$36&gt;35,N37+M38-V37,IF(A38&lt;'Données projet'!$A$36,$K$205^A38,IF(A38='Données projet'!$A$36,'Données projet'!$B$36,N37+M38-V37)))</f>
        <v>147.00000000000006</v>
      </c>
      <c r="O38" s="13">
        <f>N38*VLOOKUP('Données projet'!$B$9,Paramètres!$A$1:$I$89,3,0)*VLOOKUP('Données projet'!$B$9,Paramètres!$A$1:$I$89,5,0)</f>
        <v>123.83280000000006</v>
      </c>
      <c r="P38" s="13">
        <f t="shared" si="33"/>
        <v>32.567294628684579</v>
      </c>
      <c r="Q38" s="20">
        <f t="shared" si="53"/>
        <v>272.39683147829243</v>
      </c>
      <c r="R38" s="59">
        <f t="shared" si="0"/>
        <v>565.73016481162574</v>
      </c>
      <c r="S38" s="59">
        <f ca="1">AVERAGE(OFFSET($R$3,0,0,'Données projet'!$E$9+1,1))-AVERAGE(OFFSET($H$3,0,0,'Données projet'!$E$9+1,1))</f>
        <v>267.44861001389006</v>
      </c>
      <c r="T38" s="59">
        <f t="shared" si="34"/>
        <v>165.25921510802965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28</v>
      </c>
      <c r="W38" s="16">
        <f>IF(ISNA(VLOOKUP(A38,'Données projet'!$A$35:$I$55,5,0)),0%,VLOOKUP(A38,'Données projet'!$A$35:$I$55,5,0)*VLOOKUP('Données projet'!$B$9,Paramètres!$A$1:$I$89,7,0))</f>
        <v>0.43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11.212228902531429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11.212228902531429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206</v>
      </c>
      <c r="AG38" s="12">
        <f>VLOOKUP(A38,'Données projet'!$A$61:$I$81,9,0)</f>
        <v>12.8</v>
      </c>
      <c r="AH38" s="12">
        <f t="array" ref="AH38">INDEX(AG:AG,MIN(IF(ISNUMBER(AG38:AG234),ROW(AG38:AG234),"")))</f>
        <v>12.8</v>
      </c>
      <c r="AI38" s="13">
        <f>IF('Données projet'!$A$62&gt;35,AI37+AH38-AQ37,IF(A38&lt;'Données projet'!$A$62,$AF$205^A38,IF(A38='Données projet'!$A$62,'Données projet'!$B$62,AI37+AH38-AQ37)))</f>
        <v>205.99999999999997</v>
      </c>
      <c r="AJ38" s="13">
        <f>AI38*VLOOKUP('Données projet'!$B$10,Paramètres!$A$1:$I$89,3,0)*VLOOKUP('Données projet'!$B$10,Paramètres!$A$1:$I$89,5,0)</f>
        <v>163.89359999999999</v>
      </c>
      <c r="AK38" s="13">
        <f t="shared" si="35"/>
        <v>41.71949506642347</v>
      </c>
      <c r="AL38" s="20">
        <f t="shared" si="4"/>
        <v>358.10947390735419</v>
      </c>
      <c r="AM38" s="59">
        <f t="shared" si="5"/>
        <v>651.44280724068744</v>
      </c>
      <c r="AN38" s="59">
        <f ca="1">AVERAGE(OFFSET($AM$3,0,0,'Données projet'!$E$10+1,1))-AVERAGE(OFFSET($H$3,0,0,'Données projet'!$E$10+1,1))</f>
        <v>244.70751760575268</v>
      </c>
      <c r="AO38" s="59">
        <f t="shared" si="36"/>
        <v>248.77995374147798</v>
      </c>
      <c r="AP38" s="15">
        <f>IF(ISNA(VLOOKUP(A38,'Données projet'!$A$61:$I$81,3,0)),0,VLOOKUP(A38,'Données projet'!$A$61:$I$81,3,0))</f>
        <v>5</v>
      </c>
      <c r="AQ38" s="15">
        <f>IF(ISNA(VLOOKUP(A38,'Données projet'!$A$61:$I$81,4,0)),0,VLOOKUP(A38,'Données projet'!$A$61:$I$81,4,0))</f>
        <v>35</v>
      </c>
      <c r="AR38" s="16">
        <f>IF(ISNA(VLOOKUP(A38,'Données projet'!$A$61:$I$81,5,0)),0%,VLOOKUP(A38,'Données projet'!$A$61:$I$81,5,0)*VLOOKUP('Données projet'!$B$10,Paramètres!$A$1:$I$89,7,0))</f>
        <v>0.53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16.314951939891504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16.314951939891504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206</v>
      </c>
      <c r="BB38" s="12">
        <f>VLOOKUP(A38,'Données projet'!$A$87:$I$107,9,0)</f>
        <v>12.8</v>
      </c>
      <c r="BC38" s="12">
        <f t="array" ref="BC38">INDEX(BB:BB,MIN(IF(ISNUMBER(BB38:BB234),ROW(BB38:BB234),"")))</f>
        <v>12.8</v>
      </c>
      <c r="BD38" s="12">
        <f>IF('Données projet'!$A$88&gt;35,BD37+BC38-BL37,IF(A38&lt;'Données projet'!$A$88,$BA$205^A38,IF(A38='Données projet'!$A$88,'Données projet'!$B$88,BD37+BC38-BL37)))</f>
        <v>205.99999999999997</v>
      </c>
      <c r="BE38" s="13">
        <f>BD38*VLOOKUP('Données projet'!$B$11,Paramètres!$A$1:$I$89,3,0)*VLOOKUP('Données projet'!$B$11,Paramètres!$A$1:$I$89,5,0)</f>
        <v>138.18479999999997</v>
      </c>
      <c r="BF38" s="13">
        <f t="shared" si="37"/>
        <v>35.88085334799969</v>
      </c>
      <c r="BG38" s="20">
        <f t="shared" si="7"/>
        <v>303.16434624776605</v>
      </c>
      <c r="BH38" s="59">
        <f t="shared" si="8"/>
        <v>596.49767958109942</v>
      </c>
      <c r="BI38" s="59">
        <f ca="1">AVERAGE(OFFSET($BH$3,0,0,'Données projet'!$E$11+1,1))-AVERAGE(OFFSET($H$3,0,0,'Données projet'!$E$11+1,1))</f>
        <v>195.02599095557656</v>
      </c>
      <c r="BJ38" s="59">
        <f t="shared" si="38"/>
        <v>201.41413798956927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35</v>
      </c>
      <c r="BM38" s="16">
        <f>IF(ISNA(VLOOKUP(A38,'Données projet'!$A$87:$I$107,5,0)),0%,VLOOKUP(A38,'Données projet'!$A$87:$I$107,5,0)*VLOOKUP('Données projet'!$B$11,Paramètres!$A$1:$I$89,7,0))</f>
        <v>0.53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13.755743792457542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13.755743792457542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31.449599999999993</v>
      </c>
      <c r="D39" s="11">
        <f t="shared" si="32"/>
        <v>9.7016318496336797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317.65863182173365</v>
      </c>
      <c r="H39" s="66">
        <f t="shared" si="1"/>
        <v>365.00506213811195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11.2</v>
      </c>
      <c r="N39" s="13">
        <f>IF('Données projet'!$A$36&gt;35,N38+M39-V38,IF(A39&lt;'Données projet'!$A$36,$K$205^A39,IF(A39='Données projet'!$A$36,'Données projet'!$B$36,N38+M39-V38)))</f>
        <v>130.20000000000005</v>
      </c>
      <c r="O39" s="13">
        <f>N39*VLOOKUP('Données projet'!$B$9,Paramètres!$A$1:$I$89,3,0)*VLOOKUP('Données projet'!$B$9,Paramètres!$A$1:$I$89,5,0)</f>
        <v>109.68048000000006</v>
      </c>
      <c r="P39" s="13">
        <f t="shared" si="33"/>
        <v>29.255690427909659</v>
      </c>
      <c r="Q39" s="20">
        <f t="shared" si="53"/>
        <v>241.9804968286094</v>
      </c>
      <c r="R39" s="59">
        <f t="shared" si="0"/>
        <v>535.31383016194275</v>
      </c>
      <c r="S39" s="59">
        <f ca="1">AVERAGE(OFFSET($R$3,0,0,'Données projet'!$E$9+1,1))-AVERAGE(OFFSET($H$3,0,0,'Données projet'!$E$9+1,1))</f>
        <v>267.44861001389006</v>
      </c>
      <c r="T39" s="59">
        <f t="shared" si="34"/>
        <v>165.25921510802965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10.992363932537144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10.992363932537144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11.4</v>
      </c>
      <c r="AI39" s="13">
        <f>IF('Données projet'!$A$62&gt;35,AI38+AH39-AQ38,IF(A39&lt;'Données projet'!$A$62,$AF$205^A39,IF(A39='Données projet'!$A$62,'Données projet'!$B$62,AI38+AH39-AQ38)))</f>
        <v>182.39999999999998</v>
      </c>
      <c r="AJ39" s="13">
        <f>AI39*VLOOKUP('Données projet'!$B$10,Paramètres!$A$1:$I$89,3,0)*VLOOKUP('Données projet'!$B$10,Paramètres!$A$1:$I$89,5,0)</f>
        <v>145.11743999999999</v>
      </c>
      <c r="AK39" s="13">
        <f t="shared" si="35"/>
        <v>37.466878406916173</v>
      </c>
      <c r="AL39" s="20">
        <f t="shared" si="4"/>
        <v>318.00102122537896</v>
      </c>
      <c r="AM39" s="59">
        <f t="shared" si="5"/>
        <v>611.33435455871222</v>
      </c>
      <c r="AN39" s="59">
        <f ca="1">AVERAGE(OFFSET($AM$3,0,0,'Données projet'!$E$10+1,1))-AVERAGE(OFFSET($H$3,0,0,'Données projet'!$E$10+1,1))</f>
        <v>244.70751760575268</v>
      </c>
      <c r="AO39" s="59">
        <f t="shared" si="36"/>
        <v>248.77995374147798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15.995025683488322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15.995025683488322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11.4</v>
      </c>
      <c r="BD39" s="12">
        <f>IF('Données projet'!$A$88&gt;35,BD38+BC39-BL38,IF(A39&lt;'Données projet'!$A$88,$BA$205^A39,IF(A39='Données projet'!$A$88,'Données projet'!$B$88,BD38+BC39-BL38)))</f>
        <v>182.39999999999998</v>
      </c>
      <c r="BE39" s="13">
        <f>BD39*VLOOKUP('Données projet'!$B$11,Paramètres!$A$1:$I$89,3,0)*VLOOKUP('Données projet'!$B$11,Paramètres!$A$1:$I$89,5,0)</f>
        <v>122.35391999999999</v>
      </c>
      <c r="BF39" s="13">
        <f t="shared" si="37"/>
        <v>32.223390225253354</v>
      </c>
      <c r="BG39" s="20">
        <f t="shared" si="7"/>
        <v>269.2221486423162</v>
      </c>
      <c r="BH39" s="59">
        <f t="shared" si="8"/>
        <v>562.55548197564951</v>
      </c>
      <c r="BI39" s="59">
        <f ca="1">AVERAGE(OFFSET($BH$3,0,0,'Données projet'!$E$11+1,1))-AVERAGE(OFFSET($H$3,0,0,'Données projet'!$E$11+1,1))</f>
        <v>195.02599095557656</v>
      </c>
      <c r="BJ39" s="59">
        <f t="shared" si="38"/>
        <v>201.41413798956927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13.486002046862701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13.486002046862701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32.323199999999993</v>
      </c>
      <c r="D40" s="11">
        <f t="shared" si="32"/>
        <v>9.9393719729191492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326.23739768569163</v>
      </c>
      <c r="H40" s="66">
        <f t="shared" si="1"/>
        <v>366.9406461861675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11.2</v>
      </c>
      <c r="N40" s="13">
        <f>IF('Données projet'!$A$36&gt;35,N39+M40-V39,IF(A40&lt;'Données projet'!$A$36,$K$205^A40,IF(A40='Données projet'!$A$36,'Données projet'!$B$36,N39+M40-V39)))</f>
        <v>141.40000000000003</v>
      </c>
      <c r="O40" s="13">
        <f>N40*VLOOKUP('Données projet'!$B$9,Paramètres!$A$1:$I$89,3,0)*VLOOKUP('Données projet'!$B$9,Paramètres!$A$1:$I$89,5,0)</f>
        <v>119.11536000000004</v>
      </c>
      <c r="P40" s="13">
        <f t="shared" si="33"/>
        <v>31.468582772748093</v>
      </c>
      <c r="Q40" s="20">
        <f t="shared" si="53"/>
        <v>262.26703366253628</v>
      </c>
      <c r="R40" s="59">
        <f t="shared" si="0"/>
        <v>555.60036699586954</v>
      </c>
      <c r="S40" s="59">
        <f ca="1">AVERAGE(OFFSET($R$3,0,0,'Données projet'!$E$9+1,1))-AVERAGE(OFFSET($H$3,0,0,'Données projet'!$E$9+1,1))</f>
        <v>267.44861001389006</v>
      </c>
      <c r="T40" s="59">
        <f t="shared" si="34"/>
        <v>165.25921510802965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10.776810380500057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10.776810380500057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11.4</v>
      </c>
      <c r="AI40" s="13">
        <f>IF('Données projet'!$A$62&gt;35,AI39+AH40-AQ39,IF(A40&lt;'Données projet'!$A$62,$AF$205^A40,IF(A40='Données projet'!$A$62,'Données projet'!$B$62,AI39+AH40-AQ39)))</f>
        <v>193.79999999999998</v>
      </c>
      <c r="AJ40" s="13">
        <f>AI40*VLOOKUP('Données projet'!$B$10,Paramètres!$A$1:$I$89,3,0)*VLOOKUP('Données projet'!$B$10,Paramètres!$A$1:$I$89,5,0)</f>
        <v>154.18727999999999</v>
      </c>
      <c r="AK40" s="13">
        <f t="shared" si="35"/>
        <v>39.528629863903078</v>
      </c>
      <c r="AL40" s="20">
        <f t="shared" si="4"/>
        <v>337.38854301296448</v>
      </c>
      <c r="AM40" s="59">
        <f t="shared" si="5"/>
        <v>630.72187634629779</v>
      </c>
      <c r="AN40" s="59">
        <f ca="1">AVERAGE(OFFSET($AM$3,0,0,'Données projet'!$E$10+1,1))-AVERAGE(OFFSET($H$3,0,0,'Données projet'!$E$10+1,1))</f>
        <v>244.70751760575268</v>
      </c>
      <c r="AO40" s="59">
        <f t="shared" si="36"/>
        <v>248.77995374147798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15.681372985837458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15.681372985837458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11.4</v>
      </c>
      <c r="BD40" s="12">
        <f>IF('Données projet'!$A$88&gt;35,BD39+BC40-BL39,IF(A40&lt;'Données projet'!$A$88,$BA$205^A40,IF(A40='Données projet'!$A$88,'Données projet'!$B$88,BD39+BC40-BL39)))</f>
        <v>193.79999999999998</v>
      </c>
      <c r="BE40" s="13">
        <f>BD40*VLOOKUP('Données projet'!$B$11,Paramètres!$A$1:$I$89,3,0)*VLOOKUP('Données projet'!$B$11,Paramètres!$A$1:$I$89,5,0)</f>
        <v>130.00103999999999</v>
      </c>
      <c r="BF40" s="13">
        <f t="shared" si="37"/>
        <v>33.996599645702723</v>
      </c>
      <c r="BG40" s="20">
        <f t="shared" si="7"/>
        <v>285.6292223829322</v>
      </c>
      <c r="BH40" s="59">
        <f t="shared" si="8"/>
        <v>578.96255571626557</v>
      </c>
      <c r="BI40" s="59">
        <f ca="1">AVERAGE(OFFSET($BH$3,0,0,'Données projet'!$E$11+1,1))-AVERAGE(OFFSET($H$3,0,0,'Données projet'!$E$11+1,1))</f>
        <v>195.02599095557656</v>
      </c>
      <c r="BJ40" s="59">
        <f t="shared" si="38"/>
        <v>201.41413798956927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13.221549772372757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13.221549772372757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33.196799999999996</v>
      </c>
      <c r="D41" s="11">
        <f t="shared" si="32"/>
        <v>10.176365257768927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334.81039848102324</v>
      </c>
      <c r="H41" s="66">
        <f t="shared" si="1"/>
        <v>368.87492949061419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11.2</v>
      </c>
      <c r="N41" s="13">
        <f>IF('Données projet'!$A$36&gt;35,N40+M41-V40,IF(A41&lt;'Données projet'!$A$36,$K$205^A41,IF(A41='Données projet'!$A$36,'Données projet'!$B$36,N40+M41-V40)))</f>
        <v>152.60000000000002</v>
      </c>
      <c r="O41" s="13">
        <f>N41*VLOOKUP('Données projet'!$B$9,Paramètres!$A$1:$I$89,3,0)*VLOOKUP('Données projet'!$B$9,Paramètres!$A$1:$I$89,5,0)</f>
        <v>128.55024000000003</v>
      </c>
      <c r="P41" s="13">
        <f t="shared" si="33"/>
        <v>33.661144026076663</v>
      </c>
      <c r="Q41" s="20">
        <f t="shared" si="53"/>
        <v>282.51816051208363</v>
      </c>
      <c r="R41" s="59">
        <f t="shared" si="0"/>
        <v>575.85149384541694</v>
      </c>
      <c r="S41" s="59">
        <f ca="1">AVERAGE(OFFSET($R$3,0,0,'Données projet'!$E$9+1,1))-AVERAGE(OFFSET($H$3,0,0,'Données projet'!$E$9+1,1))</f>
        <v>267.44861001389006</v>
      </c>
      <c r="T41" s="59">
        <f t="shared" si="34"/>
        <v>165.25921510802965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10.565483702143734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10.565483702143734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11.4</v>
      </c>
      <c r="AI41" s="13">
        <f>IF('Données projet'!$A$62&gt;35,AI40+AH41-AQ40,IF(A41&lt;'Données projet'!$A$62,$AF$205^A41,IF(A41='Données projet'!$A$62,'Données projet'!$B$62,AI40+AH41-AQ40)))</f>
        <v>205.2</v>
      </c>
      <c r="AJ41" s="13">
        <f>AI41*VLOOKUP('Données projet'!$B$10,Paramètres!$A$1:$I$89,3,0)*VLOOKUP('Données projet'!$B$10,Paramètres!$A$1:$I$89,5,0)</f>
        <v>163.25712000000001</v>
      </c>
      <c r="AK41" s="13">
        <f t="shared" si="35"/>
        <v>41.576304038313076</v>
      </c>
      <c r="AL41" s="20">
        <f t="shared" si="4"/>
        <v>356.75154686672863</v>
      </c>
      <c r="AM41" s="59">
        <f t="shared" si="5"/>
        <v>650.08488020006189</v>
      </c>
      <c r="AN41" s="59">
        <f ca="1">AVERAGE(OFFSET($AM$3,0,0,'Données projet'!$E$10+1,1))-AVERAGE(OFFSET($H$3,0,0,'Données projet'!$E$10+1,1))</f>
        <v>244.70751760575268</v>
      </c>
      <c r="AO41" s="59">
        <f t="shared" si="36"/>
        <v>248.77995374147798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15.373870826278271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15.373870826278271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11.4</v>
      </c>
      <c r="BD41" s="12">
        <f>IF('Données projet'!$A$88&gt;35,BD40+BC41-BL40,IF(A41&lt;'Données projet'!$A$88,$BA$205^A41,IF(A41='Données projet'!$A$88,'Données projet'!$B$88,BD40+BC41-BL40)))</f>
        <v>205.2</v>
      </c>
      <c r="BE41" s="13">
        <f>BD41*VLOOKUP('Données projet'!$B$11,Paramètres!$A$1:$I$89,3,0)*VLOOKUP('Données projet'!$B$11,Paramètres!$A$1:$I$89,5,0)</f>
        <v>137.64815999999999</v>
      </c>
      <c r="BF41" s="13">
        <f t="shared" si="37"/>
        <v>35.757701898726467</v>
      </c>
      <c r="BG41" s="20">
        <f t="shared" si="7"/>
        <v>302.01520947361524</v>
      </c>
      <c r="BH41" s="59">
        <f t="shared" si="8"/>
        <v>595.34854280694856</v>
      </c>
      <c r="BI41" s="59">
        <f ca="1">AVERAGE(OFFSET($BH$3,0,0,'Données projet'!$E$11+1,1))-AVERAGE(OFFSET($H$3,0,0,'Données projet'!$E$11+1,1))</f>
        <v>195.02599095557656</v>
      </c>
      <c r="BJ41" s="59">
        <f t="shared" si="38"/>
        <v>201.41413798956927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12.962283245685601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12.962283245685601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34.070399999999999</v>
      </c>
      <c r="D42" s="11">
        <f t="shared" si="32"/>
        <v>10.412633617059315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343.37780335975611</v>
      </c>
      <c r="H42" s="66">
        <f t="shared" si="1"/>
        <v>370.80795021637829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11.2</v>
      </c>
      <c r="N42" s="13">
        <f>IF('Données projet'!$A$36&gt;35,N41+M42-V41,IF(A42&lt;'Données projet'!$A$36,$K$205^A42,IF(A42='Données projet'!$A$36,'Données projet'!$B$36,N41+M42-V41)))</f>
        <v>163.80000000000001</v>
      </c>
      <c r="O42" s="13">
        <f>N42*VLOOKUP('Données projet'!$B$9,Paramètres!$A$1:$I$89,3,0)*VLOOKUP('Données projet'!$B$9,Paramètres!$A$1:$I$89,5,0)</f>
        <v>137.98512000000002</v>
      </c>
      <c r="P42" s="13">
        <f t="shared" si="33"/>
        <v>35.835036067646342</v>
      </c>
      <c r="Q42" s="20">
        <f t="shared" si="53"/>
        <v>302.73677181781744</v>
      </c>
      <c r="R42" s="59">
        <f t="shared" si="0"/>
        <v>596.07010515115076</v>
      </c>
      <c r="S42" s="59">
        <f ca="1">AVERAGE(OFFSET($R$3,0,0,'Données projet'!$E$9+1,1))-AVERAGE(OFFSET($H$3,0,0,'Données projet'!$E$9+1,1))</f>
        <v>267.44861001389006</v>
      </c>
      <c r="T42" s="59">
        <f t="shared" si="34"/>
        <v>165.25921510802965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10.358301011053431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10.358301011053431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11.4</v>
      </c>
      <c r="AI42" s="13">
        <f>IF('Données projet'!$A$62&gt;35,AI41+AH42-AQ41,IF(A42&lt;'Données projet'!$A$62,$AF$205^A42,IF(A42='Données projet'!$A$62,'Données projet'!$B$62,AI41+AH42-AQ41)))</f>
        <v>216.6</v>
      </c>
      <c r="AJ42" s="13">
        <f>AI42*VLOOKUP('Données projet'!$B$10,Paramètres!$A$1:$I$89,3,0)*VLOOKUP('Données projet'!$B$10,Paramètres!$A$1:$I$89,5,0)</f>
        <v>172.32695999999999</v>
      </c>
      <c r="AK42" s="13">
        <f t="shared" si="35"/>
        <v>43.61077213808133</v>
      </c>
      <c r="AL42" s="20">
        <f t="shared" si="4"/>
        <v>376.09155014049156</v>
      </c>
      <c r="AM42" s="59">
        <f t="shared" si="5"/>
        <v>669.42488347382482</v>
      </c>
      <c r="AN42" s="59">
        <f ca="1">AVERAGE(OFFSET($AM$3,0,0,'Données projet'!$E$10+1,1))-AVERAGE(OFFSET($H$3,0,0,'Données projet'!$E$10+1,1))</f>
        <v>244.70751760575268</v>
      </c>
      <c r="AO42" s="59">
        <f t="shared" si="36"/>
        <v>248.77995374147798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15.072398596510244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15.072398596510244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11.4</v>
      </c>
      <c r="BD42" s="12">
        <f>IF('Données projet'!$A$88&gt;35,BD41+BC42-BL41,IF(A42&lt;'Données projet'!$A$88,$BA$205^A42,IF(A42='Données projet'!$A$88,'Données projet'!$B$88,BD41+BC42-BL41)))</f>
        <v>216.6</v>
      </c>
      <c r="BE42" s="13">
        <f>BD42*VLOOKUP('Données projet'!$B$11,Paramètres!$A$1:$I$89,3,0)*VLOOKUP('Données projet'!$B$11,Paramètres!$A$1:$I$89,5,0)</f>
        <v>145.29527999999999</v>
      </c>
      <c r="BF42" s="13">
        <f t="shared" si="37"/>
        <v>37.50744626674301</v>
      </c>
      <c r="BG42" s="20">
        <f t="shared" si="7"/>
        <v>318.38141491457736</v>
      </c>
      <c r="BH42" s="59">
        <f t="shared" si="8"/>
        <v>611.71474824791062</v>
      </c>
      <c r="BI42" s="59">
        <f ca="1">AVERAGE(OFFSET($BH$3,0,0,'Données projet'!$E$11+1,1))-AVERAGE(OFFSET($H$3,0,0,'Données projet'!$E$11+1,1))</f>
        <v>195.02599095557656</v>
      </c>
      <c r="BJ42" s="59">
        <f t="shared" si="38"/>
        <v>201.41413798956927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12.708100777449813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12.708100777449813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34.944000000000003</v>
      </c>
      <c r="D43" s="11">
        <f t="shared" si="32"/>
        <v>10.648197775908045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351.93977230525508</v>
      </c>
      <c r="H43" s="66">
        <f t="shared" si="1"/>
        <v>372.73974445970651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175</v>
      </c>
      <c r="L43" s="12">
        <f>VLOOKUP(A43,'Données projet'!$A$35:$I$55,9,0)</f>
        <v>11.2</v>
      </c>
      <c r="M43" s="12">
        <f t="array" ref="M43">INDEX(L:L,MIN(IF(ISNUMBER(L43:L239),ROW(L43:L239),"")))</f>
        <v>11.2</v>
      </c>
      <c r="N43" s="13">
        <f>IF('Données projet'!$A$36&gt;35,N42+M43-V42,IF(A43&lt;'Données projet'!$A$36,$K$205^A43,IF(A43='Données projet'!$A$36,'Données projet'!$B$36,N42+M43-V42)))</f>
        <v>175</v>
      </c>
      <c r="O43" s="13">
        <f>N43*VLOOKUP('Données projet'!$B$9,Paramètres!$A$1:$I$89,3,0)*VLOOKUP('Données projet'!$B$9,Paramètres!$A$1:$I$89,5,0)</f>
        <v>147.42000000000002</v>
      </c>
      <c r="P43" s="13">
        <f t="shared" si="33"/>
        <v>37.991680647570291</v>
      </c>
      <c r="Q43" s="20">
        <f t="shared" si="53"/>
        <v>322.92534379451826</v>
      </c>
      <c r="R43" s="59">
        <f t="shared" si="0"/>
        <v>616.25867712785157</v>
      </c>
      <c r="S43" s="59">
        <f ca="1">AVERAGE(OFFSET($R$3,0,0,'Données projet'!$E$9+1,1))-AVERAGE(OFFSET($H$3,0,0,'Données projet'!$E$9+1,1))</f>
        <v>267.44861001389006</v>
      </c>
      <c r="T43" s="59">
        <f t="shared" si="34"/>
        <v>165.25921510802965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28</v>
      </c>
      <c r="W43" s="16">
        <f>IF(ISNA(VLOOKUP(A43,'Données projet'!$A$35:$I$55,5,0)),0%,VLOOKUP(A43,'Données projet'!$A$35:$I$55,5,0)*VLOOKUP('Données projet'!$B$9,Paramètres!$A$1:$I$89,7,0))</f>
        <v>0.43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21.367409948697876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21.367409948697876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228</v>
      </c>
      <c r="AG43" s="12">
        <f>VLOOKUP(A43,'Données projet'!$A$61:$I$81,9,0)</f>
        <v>11.4</v>
      </c>
      <c r="AH43" s="12">
        <f t="array" ref="AH43">INDEX(AG:AG,MIN(IF(ISNUMBER(AG43:AG239),ROW(AG43:AG239),"")))</f>
        <v>11.4</v>
      </c>
      <c r="AI43" s="13">
        <f>IF('Données projet'!$A$62&gt;35,AI42+AH43-AQ42,IF(A43&lt;'Données projet'!$A$62,$AF$205^A43,IF(A43='Données projet'!$A$62,'Données projet'!$B$62,AI42+AH43-AQ42)))</f>
        <v>228</v>
      </c>
      <c r="AJ43" s="13">
        <f>AI43*VLOOKUP('Données projet'!$B$10,Paramètres!$A$1:$I$89,3,0)*VLOOKUP('Données projet'!$B$10,Paramètres!$A$1:$I$89,5,0)</f>
        <v>181.39680000000001</v>
      </c>
      <c r="AK43" s="13">
        <f t="shared" si="35"/>
        <v>45.63280848550832</v>
      </c>
      <c r="AL43" s="20">
        <f t="shared" si="4"/>
        <v>395.40990144559368</v>
      </c>
      <c r="AM43" s="59">
        <f t="shared" si="5"/>
        <v>688.74323477892699</v>
      </c>
      <c r="AN43" s="59">
        <f ca="1">AVERAGE(OFFSET($AM$3,0,0,'Données projet'!$E$10+1,1))-AVERAGE(OFFSET($H$3,0,0,'Données projet'!$E$10+1,1))</f>
        <v>244.70751760575268</v>
      </c>
      <c r="AO43" s="59">
        <f t="shared" si="36"/>
        <v>248.77995374147798</v>
      </c>
      <c r="AP43" s="15">
        <f>IF(ISNA(VLOOKUP(A43,'Données projet'!$A$61:$I$81,3,0)),0,VLOOKUP(A43,'Données projet'!$A$61:$I$81,3,0))</f>
        <v>6</v>
      </c>
      <c r="AQ43" s="15">
        <f>IF(ISNA(VLOOKUP(A43,'Données projet'!$A$61:$I$81,4,0)),0,VLOOKUP(A43,'Données projet'!$A$61:$I$81,4,0))</f>
        <v>35</v>
      </c>
      <c r="AR43" s="16">
        <f>IF(ISNA(VLOOKUP(A43,'Données projet'!$A$61:$I$81,5,0)),0%,VLOOKUP(A43,'Données projet'!$A$61:$I$81,5,0)*VLOOKUP('Données projet'!$B$10,Paramètres!$A$1:$I$89,7,0))</f>
        <v>0.53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31.091789993179567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31.091789993179567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228</v>
      </c>
      <c r="BB43" s="12">
        <f>VLOOKUP(A43,'Données projet'!$A$87:$I$107,9,0)</f>
        <v>11.4</v>
      </c>
      <c r="BC43" s="12">
        <f t="array" ref="BC43">INDEX(BB:BB,MIN(IF(ISNUMBER(BB43:BB239),ROW(BB43:BB239),"")))</f>
        <v>11.4</v>
      </c>
      <c r="BD43" s="12">
        <f>IF('Données projet'!$A$88&gt;35,BD42+BC43-BL42,IF(A43&lt;'Données projet'!$A$88,$BA$205^A43,IF(A43='Données projet'!$A$88,'Données projet'!$B$88,BD42+BC43-BL42)))</f>
        <v>228</v>
      </c>
      <c r="BE43" s="13">
        <f>BD43*VLOOKUP('Données projet'!$B$11,Paramètres!$A$1:$I$89,3,0)*VLOOKUP('Données projet'!$B$11,Paramètres!$A$1:$I$89,5,0)</f>
        <v>152.94239999999999</v>
      </c>
      <c r="BF43" s="13">
        <f t="shared" si="37"/>
        <v>39.246498705676878</v>
      </c>
      <c r="BG43" s="20">
        <f t="shared" si="7"/>
        <v>334.72899857905389</v>
      </c>
      <c r="BH43" s="59">
        <f t="shared" si="8"/>
        <v>628.06233191238721</v>
      </c>
      <c r="BI43" s="59">
        <f ca="1">AVERAGE(OFFSET($BH$3,0,0,'Données projet'!$E$11+1,1))-AVERAGE(OFFSET($H$3,0,0,'Données projet'!$E$11+1,1))</f>
        <v>195.02599095557656</v>
      </c>
      <c r="BJ43" s="59">
        <f t="shared" si="38"/>
        <v>201.41413798956927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35</v>
      </c>
      <c r="BM43" s="16">
        <f>IF(ISNA(VLOOKUP(A43,'Données projet'!$A$87:$I$107,5,0)),0%,VLOOKUP(A43,'Données projet'!$A$87:$I$107,5,0)*VLOOKUP('Données projet'!$B$11,Paramètres!$A$1:$I$89,7,0))</f>
        <v>0.53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26.214646464837671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26.214646464837671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35.817600000000006</v>
      </c>
      <c r="D44" s="11">
        <f t="shared" si="32"/>
        <v>10.883077364116859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360.49645684581441</v>
      </c>
      <c r="H44" s="66">
        <f t="shared" si="1"/>
        <v>374.67034640917018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</v>
      </c>
      <c r="N44" s="13">
        <f>IF('Données projet'!$A$36&gt;35,N43+M44-V43,IF(A44&lt;'Données projet'!$A$36,$K$205^A44,IF(A44='Données projet'!$A$36,'Données projet'!$B$36,N43+M44-V43)))</f>
        <v>158.4</v>
      </c>
      <c r="O44" s="13">
        <f>N44*VLOOKUP('Données projet'!$B$9,Paramètres!$A$1:$I$89,3,0)*VLOOKUP('Données projet'!$B$9,Paramètres!$A$1:$I$89,5,0)</f>
        <v>133.43616000000003</v>
      </c>
      <c r="P44" s="13">
        <f t="shared" si="33"/>
        <v>34.789145432008958</v>
      </c>
      <c r="Q44" s="20">
        <f t="shared" si="53"/>
        <v>292.99240696074895</v>
      </c>
      <c r="R44" s="59">
        <f t="shared" si="0"/>
        <v>586.32574029408227</v>
      </c>
      <c r="S44" s="59">
        <f ca="1">AVERAGE(OFFSET($R$3,0,0,'Données projet'!$E$9+1,1))-AVERAGE(OFFSET($H$3,0,0,'Données projet'!$E$9+1,1))</f>
        <v>267.44861001389006</v>
      </c>
      <c r="T44" s="59">
        <f t="shared" si="34"/>
        <v>165.25921510802965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20.948408072437093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20.948408072437093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9.8000000000000007</v>
      </c>
      <c r="AI44" s="13">
        <f>IF('Données projet'!$A$62&gt;35,AI43+AH44-AQ43,IF(A44&lt;'Données projet'!$A$62,$AF$205^A44,IF(A44='Données projet'!$A$62,'Données projet'!$B$62,AI43+AH44-AQ43)))</f>
        <v>202.8</v>
      </c>
      <c r="AJ44" s="13">
        <f>AI44*VLOOKUP('Données projet'!$B$10,Paramètres!$A$1:$I$89,3,0)*VLOOKUP('Données projet'!$B$10,Paramètres!$A$1:$I$89,5,0)</f>
        <v>161.34768000000003</v>
      </c>
      <c r="AK44" s="13">
        <f t="shared" si="35"/>
        <v>41.146339844316657</v>
      </c>
      <c r="AL44" s="20">
        <f t="shared" si="4"/>
        <v>352.6770845621848</v>
      </c>
      <c r="AM44" s="59">
        <f t="shared" si="5"/>
        <v>646.01041789551812</v>
      </c>
      <c r="AN44" s="59">
        <f ca="1">AVERAGE(OFFSET($AM$3,0,0,'Données projet'!$E$10+1,1))-AVERAGE(OFFSET($H$3,0,0,'Données projet'!$E$10+1,1))</f>
        <v>244.70751760575268</v>
      </c>
      <c r="AO44" s="59">
        <f t="shared" si="36"/>
        <v>248.77995374147798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30.48209895553266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30.48209895553266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9.8000000000000007</v>
      </c>
      <c r="BD44" s="12">
        <f>IF('Données projet'!$A$88&gt;35,BD43+BC44-BL43,IF(A44&lt;'Données projet'!$A$88,$BA$205^A44,IF(A44='Données projet'!$A$88,'Données projet'!$B$88,BD43+BC44-BL43)))</f>
        <v>202.8</v>
      </c>
      <c r="BE44" s="13">
        <f>BD44*VLOOKUP('Données projet'!$B$11,Paramètres!$A$1:$I$89,3,0)*VLOOKUP('Données projet'!$B$11,Paramètres!$A$1:$I$89,5,0)</f>
        <v>136.03824000000003</v>
      </c>
      <c r="BF44" s="13">
        <f t="shared" si="37"/>
        <v>35.387911177023945</v>
      </c>
      <c r="BG44" s="20">
        <f t="shared" si="7"/>
        <v>298.56721329998339</v>
      </c>
      <c r="BH44" s="59">
        <f t="shared" si="8"/>
        <v>591.90054663331671</v>
      </c>
      <c r="BI44" s="59">
        <f ca="1">AVERAGE(OFFSET($BH$3,0,0,'Données projet'!$E$11+1,1))-AVERAGE(OFFSET($H$3,0,0,'Données projet'!$E$11+1,1))</f>
        <v>195.02599095557656</v>
      </c>
      <c r="BJ44" s="59">
        <f t="shared" si="38"/>
        <v>201.41413798956927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25.700593237017731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25.700593237017731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36.691200000000009</v>
      </c>
      <c r="D45" s="11">
        <f t="shared" si="32"/>
        <v>11.117290999341371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369.04800069667027</v>
      </c>
      <c r="H45" s="66">
        <f t="shared" si="1"/>
        <v>376.59978849051953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</v>
      </c>
      <c r="N45" s="13">
        <f>IF('Données projet'!$A$36&gt;35,N44+M45-V44,IF(A45&lt;'Données projet'!$A$36,$K$205^A45,IF(A45='Données projet'!$A$36,'Données projet'!$B$36,N44+M45-V44)))</f>
        <v>169.8</v>
      </c>
      <c r="O45" s="13">
        <f>N45*VLOOKUP('Données projet'!$B$9,Paramètres!$A$1:$I$89,3,0)*VLOOKUP('Données projet'!$B$9,Paramètres!$A$1:$I$89,5,0)</f>
        <v>143.03952000000001</v>
      </c>
      <c r="P45" s="13">
        <f t="shared" si="33"/>
        <v>36.992444033168439</v>
      </c>
      <c r="Q45" s="20">
        <f t="shared" si="53"/>
        <v>313.55567069110168</v>
      </c>
      <c r="R45" s="59">
        <f t="shared" si="0"/>
        <v>606.88900402443505</v>
      </c>
      <c r="S45" s="59">
        <f ca="1">AVERAGE(OFFSET($R$3,0,0,'Données projet'!$E$9+1,1))-AVERAGE(OFFSET($H$3,0,0,'Données projet'!$E$9+1,1))</f>
        <v>267.44861001389006</v>
      </c>
      <c r="T45" s="59">
        <f t="shared" si="34"/>
        <v>165.25921510802965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20.537622567403876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20.537622567403876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9.8000000000000007</v>
      </c>
      <c r="AI45" s="13">
        <f>IF('Données projet'!$A$62&gt;35,AI44+AH45-AQ44,IF(A45&lt;'Données projet'!$A$62,$AF$205^A45,IF(A45='Données projet'!$A$62,'Données projet'!$B$62,AI44+AH45-AQ44)))</f>
        <v>212.60000000000002</v>
      </c>
      <c r="AJ45" s="13">
        <f>AI45*VLOOKUP('Données projet'!$B$10,Paramètres!$A$1:$I$89,3,0)*VLOOKUP('Données projet'!$B$10,Paramètres!$A$1:$I$89,5,0)</f>
        <v>169.14456000000004</v>
      </c>
      <c r="AK45" s="13">
        <f t="shared" si="35"/>
        <v>42.898377267189964</v>
      </c>
      <c r="AL45" s="20">
        <f t="shared" si="4"/>
        <v>369.30811574035596</v>
      </c>
      <c r="AM45" s="59">
        <f t="shared" si="5"/>
        <v>662.64144907368927</v>
      </c>
      <c r="AN45" s="59">
        <f ca="1">AVERAGE(OFFSET($AM$3,0,0,'Données projet'!$E$10+1,1))-AVERAGE(OFFSET($H$3,0,0,'Données projet'!$E$10+1,1))</f>
        <v>244.70751760575268</v>
      </c>
      <c r="AO45" s="59">
        <f t="shared" si="36"/>
        <v>248.77995374147798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29.884363587259195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29.884363587259195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9.8000000000000007</v>
      </c>
      <c r="BD45" s="12">
        <f>IF('Données projet'!$A$88&gt;35,BD44+BC45-BL44,IF(A45&lt;'Données projet'!$A$88,$BA$205^A45,IF(A45='Données projet'!$A$88,'Données projet'!$B$88,BD44+BC45-BL44)))</f>
        <v>212.60000000000002</v>
      </c>
      <c r="BE45" s="13">
        <f>BD45*VLOOKUP('Données projet'!$B$11,Paramètres!$A$1:$I$89,3,0)*VLOOKUP('Données projet'!$B$11,Paramètres!$A$1:$I$89,5,0)</f>
        <v>142.61208000000002</v>
      </c>
      <c r="BF45" s="13">
        <f t="shared" si="37"/>
        <v>36.89475103043624</v>
      </c>
      <c r="BG45" s="20">
        <f t="shared" si="7"/>
        <v>312.64106404467651</v>
      </c>
      <c r="BH45" s="59">
        <f t="shared" si="8"/>
        <v>605.97439737800983</v>
      </c>
      <c r="BI45" s="59">
        <f ca="1">AVERAGE(OFFSET($BH$3,0,0,'Données projet'!$E$11+1,1))-AVERAGE(OFFSET($H$3,0,0,'Données projet'!$E$11+1,1))</f>
        <v>195.02599095557656</v>
      </c>
      <c r="BJ45" s="59">
        <f t="shared" si="38"/>
        <v>201.41413798956927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25.196620279453828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25.196620279453828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37.564800000000012</v>
      </c>
      <c r="D46" s="11">
        <f t="shared" si="32"/>
        <v>11.350856362116874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377.5945403391479</v>
      </c>
      <c r="H46" s="66">
        <f t="shared" si="1"/>
        <v>378.52810149735353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</v>
      </c>
      <c r="N46" s="13">
        <f>IF('Données projet'!$A$36&gt;35,N45+M46-V45,IF(A46&lt;'Données projet'!$A$36,$K$205^A46,IF(A46='Données projet'!$A$36,'Données projet'!$B$36,N45+M46-V45)))</f>
        <v>181.20000000000002</v>
      </c>
      <c r="O46" s="13">
        <f>N46*VLOOKUP('Données projet'!$B$9,Paramètres!$A$1:$I$89,3,0)*VLOOKUP('Données projet'!$B$9,Paramètres!$A$1:$I$89,5,0)</f>
        <v>152.64288000000002</v>
      </c>
      <c r="P46" s="13">
        <f t="shared" si="33"/>
        <v>39.178577703588573</v>
      </c>
      <c r="Q46" s="20">
        <f t="shared" si="53"/>
        <v>334.08903883375007</v>
      </c>
      <c r="R46" s="59">
        <f t="shared" si="0"/>
        <v>627.42237216708338</v>
      </c>
      <c r="S46" s="59">
        <f ca="1">AVERAGE(OFFSET($R$3,0,0,'Données projet'!$E$9+1,1))-AVERAGE(OFFSET($H$3,0,0,'Données projet'!$E$9+1,1))</f>
        <v>267.44861001389006</v>
      </c>
      <c r="T46" s="59">
        <f t="shared" si="34"/>
        <v>165.25921510802965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20.134892315569942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20.134892315569942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9.8000000000000007</v>
      </c>
      <c r="AI46" s="13">
        <f>IF('Données projet'!$A$62&gt;35,AI45+AH46-AQ45,IF(A46&lt;'Données projet'!$A$62,$AF$205^A46,IF(A46='Données projet'!$A$62,'Données projet'!$B$62,AI45+AH46-AQ45)))</f>
        <v>222.40000000000003</v>
      </c>
      <c r="AJ46" s="13">
        <f>AI46*VLOOKUP('Données projet'!$B$10,Paramètres!$A$1:$I$89,3,0)*VLOOKUP('Données projet'!$B$10,Paramètres!$A$1:$I$89,5,0)</f>
        <v>176.94144000000003</v>
      </c>
      <c r="AK46" s="13">
        <f t="shared" si="35"/>
        <v>44.641035679901449</v>
      </c>
      <c r="AL46" s="20">
        <f t="shared" si="4"/>
        <v>385.92281180916171</v>
      </c>
      <c r="AM46" s="59">
        <f t="shared" si="5"/>
        <v>679.25614514249503</v>
      </c>
      <c r="AN46" s="59">
        <f ca="1">AVERAGE(OFFSET($AM$3,0,0,'Données projet'!$E$10+1,1))-AVERAGE(OFFSET($H$3,0,0,'Données projet'!$E$10+1,1))</f>
        <v>244.70751760575268</v>
      </c>
      <c r="AO46" s="59">
        <f t="shared" si="36"/>
        <v>248.77995374147798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29.298349444974999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29.298349444974999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9.8000000000000007</v>
      </c>
      <c r="BD46" s="12">
        <f>IF('Données projet'!$A$88&gt;35,BD45+BC46-BL45,IF(A46&lt;'Données projet'!$A$88,$BA$205^A46,IF(A46='Données projet'!$A$88,'Données projet'!$B$88,BD45+BC46-BL45)))</f>
        <v>222.40000000000003</v>
      </c>
      <c r="BE46" s="13">
        <f>BD46*VLOOKUP('Données projet'!$B$11,Paramètres!$A$1:$I$89,3,0)*VLOOKUP('Données projet'!$B$11,Paramètres!$A$1:$I$89,5,0)</f>
        <v>149.18592000000004</v>
      </c>
      <c r="BF46" s="13">
        <f t="shared" si="37"/>
        <v>38.393524465795565</v>
      </c>
      <c r="BG46" s="20">
        <f t="shared" si="7"/>
        <v>326.70086577792733</v>
      </c>
      <c r="BH46" s="59">
        <f t="shared" si="8"/>
        <v>620.0341991112607</v>
      </c>
      <c r="BI46" s="59">
        <f ca="1">AVERAGE(OFFSET($BH$3,0,0,'Données projet'!$E$11+1,1))-AVERAGE(OFFSET($H$3,0,0,'Données projet'!$E$11+1,1))</f>
        <v>195.02599095557656</v>
      </c>
      <c r="BJ46" s="59">
        <f t="shared" si="38"/>
        <v>201.41413798956927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24.702529924194604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24.702529924194604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38.438400000000016</v>
      </c>
      <c r="D47" s="11">
        <f t="shared" si="32"/>
        <v>11.583790263708345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386.13620554441542</v>
      </c>
      <c r="H47" s="66">
        <f t="shared" si="1"/>
        <v>380.45531470929205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</v>
      </c>
      <c r="N47" s="13">
        <f>IF('Données projet'!$A$36&gt;35,N46+M47-V46,IF(A47&lt;'Données projet'!$A$36,$K$205^A47,IF(A47='Données projet'!$A$36,'Données projet'!$B$36,N46+M47-V46)))</f>
        <v>192.60000000000002</v>
      </c>
      <c r="O47" s="13">
        <f>N47*VLOOKUP('Données projet'!$B$9,Paramètres!$A$1:$I$89,3,0)*VLOOKUP('Données projet'!$B$9,Paramètres!$A$1:$I$89,5,0)</f>
        <v>162.24624000000003</v>
      </c>
      <c r="P47" s="13">
        <f t="shared" si="33"/>
        <v>41.348749290582795</v>
      </c>
      <c r="Q47" s="20">
        <f t="shared" si="53"/>
        <v>354.59460634776502</v>
      </c>
      <c r="R47" s="59">
        <f t="shared" si="0"/>
        <v>647.92793968109834</v>
      </c>
      <c r="S47" s="59">
        <f ca="1">AVERAGE(OFFSET($R$3,0,0,'Données projet'!$E$9+1,1))-AVERAGE(OFFSET($H$3,0,0,'Données projet'!$E$9+1,1))</f>
        <v>267.44861001389006</v>
      </c>
      <c r="T47" s="59">
        <f t="shared" si="34"/>
        <v>165.25921510802965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19.740059358333273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19.740059358333273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9.8000000000000007</v>
      </c>
      <c r="AI47" s="13">
        <f>IF('Données projet'!$A$62&gt;35,AI46+AH47-AQ46,IF(A47&lt;'Données projet'!$A$62,$AF$205^A47,IF(A47='Données projet'!$A$62,'Données projet'!$B$62,AI46+AH47-AQ46)))</f>
        <v>232.20000000000005</v>
      </c>
      <c r="AJ47" s="13">
        <f>AI47*VLOOKUP('Données projet'!$B$10,Paramètres!$A$1:$I$89,3,0)*VLOOKUP('Données projet'!$B$10,Paramètres!$A$1:$I$89,5,0)</f>
        <v>184.73832000000004</v>
      </c>
      <c r="AK47" s="13">
        <f t="shared" si="35"/>
        <v>46.374775595471988</v>
      </c>
      <c r="AL47" s="20">
        <f t="shared" si="4"/>
        <v>402.52197482878046</v>
      </c>
      <c r="AM47" s="59">
        <f t="shared" si="5"/>
        <v>695.85530816211372</v>
      </c>
      <c r="AN47" s="59">
        <f ca="1">AVERAGE(OFFSET($AM$3,0,0,'Données projet'!$E$10+1,1))-AVERAGE(OFFSET($H$3,0,0,'Données projet'!$E$10+1,1))</f>
        <v>244.70751760575268</v>
      </c>
      <c r="AO47" s="59">
        <f t="shared" si="36"/>
        <v>248.77995374147798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28.723826682587664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28.723826682587664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9.8000000000000007</v>
      </c>
      <c r="BD47" s="12">
        <f>IF('Données projet'!$A$88&gt;35,BD46+BC47-BL46,IF(A47&lt;'Données projet'!$A$88,$BA$205^A47,IF(A47='Données projet'!$A$88,'Données projet'!$B$88,BD46+BC47-BL46)))</f>
        <v>232.20000000000005</v>
      </c>
      <c r="BE47" s="13">
        <f>BD47*VLOOKUP('Données projet'!$B$11,Paramètres!$A$1:$I$89,3,0)*VLOOKUP('Données projet'!$B$11,Paramètres!$A$1:$I$89,5,0)</f>
        <v>155.75976000000003</v>
      </c>
      <c r="BF47" s="13">
        <f t="shared" si="37"/>
        <v>39.884627547343271</v>
      </c>
      <c r="BG47" s="20">
        <f t="shared" si="7"/>
        <v>340.74730831162287</v>
      </c>
      <c r="BH47" s="59">
        <f t="shared" si="8"/>
        <v>634.08064164495613</v>
      </c>
      <c r="BI47" s="59">
        <f ca="1">AVERAGE(OFFSET($BH$3,0,0,'Données projet'!$E$11+1,1))-AVERAGE(OFFSET($H$3,0,0,'Données projet'!$E$11+1,1))</f>
        <v>195.02599095557656</v>
      </c>
      <c r="BJ47" s="59">
        <f t="shared" si="38"/>
        <v>201.41413798956927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24.218128379436653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24.218128379436653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39.312000000000019</v>
      </c>
      <c r="D48" s="11">
        <f t="shared" si="32"/>
        <v>11.816108707618405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394.67311984828257</v>
      </c>
      <c r="H48" s="66">
        <f t="shared" si="1"/>
        <v>382.38145599910206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204</v>
      </c>
      <c r="L48" s="12">
        <f>VLOOKUP(A48,'Données projet'!$A$35:$I$55,9,0)</f>
        <v>11.4</v>
      </c>
      <c r="M48" s="12">
        <f t="array" ref="M48">INDEX(L:L,MIN(IF(ISNUMBER(L48:L244),ROW(L48:L244),"")))</f>
        <v>11.4</v>
      </c>
      <c r="N48" s="13">
        <f>IF('Données projet'!$A$36&gt;35,N47+M48-V47,IF(A48&lt;'Données projet'!$A$36,$K$205^A48,IF(A48='Données projet'!$A$36,'Données projet'!$B$36,N47+M48-V47)))</f>
        <v>204.00000000000003</v>
      </c>
      <c r="O48" s="13">
        <f>N48*VLOOKUP('Données projet'!$B$9,Paramètres!$A$1:$I$89,3,0)*VLOOKUP('Données projet'!$B$9,Paramètres!$A$1:$I$89,5,0)</f>
        <v>171.84960000000004</v>
      </c>
      <c r="P48" s="13">
        <f t="shared" si="33"/>
        <v>43.50401120412441</v>
      </c>
      <c r="Q48" s="20">
        <f t="shared" si="53"/>
        <v>375.07420618051674</v>
      </c>
      <c r="R48" s="59">
        <f t="shared" si="0"/>
        <v>668.40753951385</v>
      </c>
      <c r="S48" s="59">
        <f ca="1">AVERAGE(OFFSET($R$3,0,0,'Données projet'!$E$9+1,1))-AVERAGE(OFFSET($H$3,0,0,'Données projet'!$E$9+1,1))</f>
        <v>267.44861001389006</v>
      </c>
      <c r="T48" s="59">
        <f t="shared" si="34"/>
        <v>165.25921510802965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28</v>
      </c>
      <c r="W48" s="16">
        <f>IF(ISNA(VLOOKUP(A48,'Données projet'!$A$35:$I$55,5,0)),0%,VLOOKUP(A48,'Données projet'!$A$35:$I$55,5,0)*VLOOKUP('Données projet'!$B$9,Paramètres!$A$1:$I$89,7,0))</f>
        <v>0.43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30.565197737095119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30.565197737095119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242</v>
      </c>
      <c r="AG48" s="12">
        <f>VLOOKUP(A48,'Données projet'!$A$61:$I$81,9,0)</f>
        <v>9.8000000000000007</v>
      </c>
      <c r="AH48" s="12">
        <f t="array" ref="AH48">INDEX(AG:AG,MIN(IF(ISNUMBER(AG48:AG244),ROW(AG48:AG244),"")))</f>
        <v>9.8000000000000007</v>
      </c>
      <c r="AI48" s="13">
        <f>IF('Données projet'!$A$62&gt;35,AI47+AH48-AQ47,IF(A48&lt;'Données projet'!$A$62,$AF$205^A48,IF(A48='Données projet'!$A$62,'Données projet'!$B$62,AI47+AH48-AQ47)))</f>
        <v>242.00000000000006</v>
      </c>
      <c r="AJ48" s="13">
        <f>AI48*VLOOKUP('Données projet'!$B$10,Paramètres!$A$1:$I$89,3,0)*VLOOKUP('Données projet'!$B$10,Paramètres!$A$1:$I$89,5,0)</f>
        <v>192.53520000000006</v>
      </c>
      <c r="AK48" s="13">
        <f t="shared" si="35"/>
        <v>48.100016456123079</v>
      </c>
      <c r="AL48" s="20">
        <f t="shared" si="4"/>
        <v>419.10633532774779</v>
      </c>
      <c r="AM48" s="59">
        <f t="shared" si="5"/>
        <v>712.4396686610811</v>
      </c>
      <c r="AN48" s="59">
        <f ca="1">AVERAGE(OFFSET($AM$3,0,0,'Données projet'!$E$10+1,1))-AVERAGE(OFFSET($H$3,0,0,'Données projet'!$E$10+1,1))</f>
        <v>244.70751760575268</v>
      </c>
      <c r="AO48" s="59">
        <f t="shared" si="36"/>
        <v>248.77995374147798</v>
      </c>
      <c r="AP48" s="15">
        <f>IF(ISNA(VLOOKUP(A48,'Données projet'!$A$61:$I$81,3,0)),0,VLOOKUP(A48,'Données projet'!$A$61:$I$81,3,0))</f>
        <v>7</v>
      </c>
      <c r="AQ48" s="15">
        <f>IF(ISNA(VLOOKUP(A48,'Données projet'!$A$61:$I$81,4,0)),0,VLOOKUP(A48,'Données projet'!$A$61:$I$81,4,0))</f>
        <v>24</v>
      </c>
      <c r="AR48" s="16">
        <f>IF(ISNA(VLOOKUP(A48,'Données projet'!$A$61:$I$81,5,0)),0%,VLOOKUP(A48,'Données projet'!$A$61:$I$81,5,0)*VLOOKUP('Données projet'!$B$10,Paramètres!$A$1:$I$89,7,0))</f>
        <v>0.53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39.34796557707206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39.34796557707206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242</v>
      </c>
      <c r="BB48" s="12">
        <f>VLOOKUP(A48,'Données projet'!$A$87:$I$107,9,0)</f>
        <v>9.8000000000000007</v>
      </c>
      <c r="BC48" s="12">
        <f t="array" ref="BC48">INDEX(BB:BB,MIN(IF(ISNUMBER(BB48:BB244),ROW(BB48:BB244),"")))</f>
        <v>9.8000000000000007</v>
      </c>
      <c r="BD48" s="12">
        <f>IF('Données projet'!$A$88&gt;35,BD47+BC48-BL47,IF(A48&lt;'Données projet'!$A$88,$BA$205^A48,IF(A48='Données projet'!$A$88,'Données projet'!$B$88,BD47+BC48-BL47)))</f>
        <v>242.00000000000006</v>
      </c>
      <c r="BE48" s="13">
        <f>BD48*VLOOKUP('Données projet'!$B$11,Paramètres!$A$1:$I$89,3,0)*VLOOKUP('Données projet'!$B$11,Paramètres!$A$1:$I$89,5,0)</f>
        <v>162.33360000000002</v>
      </c>
      <c r="BF48" s="13">
        <f t="shared" si="37"/>
        <v>41.368421016378349</v>
      </c>
      <c r="BG48" s="20">
        <f t="shared" si="7"/>
        <v>354.78101993685891</v>
      </c>
      <c r="BH48" s="59">
        <f t="shared" si="8"/>
        <v>648.11435327019217</v>
      </c>
      <c r="BI48" s="59">
        <f ca="1">AVERAGE(OFFSET($BH$3,0,0,'Données projet'!$E$11+1,1))-AVERAGE(OFFSET($H$3,0,0,'Données projet'!$E$11+1,1))</f>
        <v>195.02599095557656</v>
      </c>
      <c r="BJ48" s="59">
        <f t="shared" si="38"/>
        <v>201.41413798956927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24</v>
      </c>
      <c r="BM48" s="16">
        <f>IF(ISNA(VLOOKUP(A48,'Données projet'!$A$87:$I$107,5,0)),0%,VLOOKUP(A48,'Données projet'!$A$87:$I$107,5,0)*VLOOKUP('Données projet'!$B$11,Paramètres!$A$1:$I$89,7,0))</f>
        <v>0.53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33.17573568262938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33.17573568262938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40.185600000000022</v>
      </c>
      <c r="D49" s="11">
        <f t="shared" si="32"/>
        <v>12.047826945473741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403.20540098260454</v>
      </c>
      <c r="H49" s="66">
        <f t="shared" si="1"/>
        <v>384.30655193003344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</v>
      </c>
      <c r="N49" s="13">
        <f>IF('Données projet'!$A$36&gt;35,N48+M49-V48,IF(A49&lt;'Données projet'!$A$36,$K$205^A49,IF(A49='Données projet'!$A$36,'Données projet'!$B$36,N48+M49-V48)))</f>
        <v>187.00000000000003</v>
      </c>
      <c r="O49" s="13">
        <f>N49*VLOOKUP('Données projet'!$B$9,Paramètres!$A$1:$I$89,3,0)*VLOOKUP('Données projet'!$B$9,Paramètres!$A$1:$I$89,5,0)</f>
        <v>157.52880000000005</v>
      </c>
      <c r="P49" s="13">
        <f t="shared" si="33"/>
        <v>40.284625411479013</v>
      </c>
      <c r="Q49" s="20">
        <f t="shared" si="53"/>
        <v>344.52504925832596</v>
      </c>
      <c r="R49" s="59">
        <f t="shared" si="0"/>
        <v>637.85838259165928</v>
      </c>
      <c r="S49" s="59">
        <f ca="1">AVERAGE(OFFSET($R$3,0,0,'Données projet'!$E$9+1,1))-AVERAGE(OFFSET($H$3,0,0,'Données projet'!$E$9+1,1))</f>
        <v>267.44861001389006</v>
      </c>
      <c r="T49" s="59">
        <f t="shared" si="34"/>
        <v>165.25921510802965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29.965832852400467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29.965832852400467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8.6</v>
      </c>
      <c r="AI49" s="13">
        <f>IF('Données projet'!$A$62&gt;35,AI48+AH49-AQ48,IF(A49&lt;'Données projet'!$A$62,$AF$205^A49,IF(A49='Données projet'!$A$62,'Données projet'!$B$62,AI48+AH49-AQ48)))</f>
        <v>226.60000000000005</v>
      </c>
      <c r="AJ49" s="13">
        <f>AI49*VLOOKUP('Données projet'!$B$10,Paramètres!$A$1:$I$89,3,0)*VLOOKUP('Données projet'!$B$10,Paramètres!$A$1:$I$89,5,0)</f>
        <v>180.28296000000006</v>
      </c>
      <c r="AK49" s="13">
        <f t="shared" si="35"/>
        <v>45.385133797071397</v>
      </c>
      <c r="AL49" s="20">
        <f t="shared" si="4"/>
        <v>393.03859669656612</v>
      </c>
      <c r="AM49" s="59">
        <f t="shared" si="5"/>
        <v>686.37193002989943</v>
      </c>
      <c r="AN49" s="59">
        <f ca="1">AVERAGE(OFFSET($AM$3,0,0,'Données projet'!$E$10+1,1))-AVERAGE(OFFSET($H$3,0,0,'Données projet'!$E$10+1,1))</f>
        <v>244.70751760575268</v>
      </c>
      <c r="AO49" s="59">
        <f t="shared" si="36"/>
        <v>248.77995374147798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38.576375971994885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38.576375971994885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8.6</v>
      </c>
      <c r="BD49" s="12">
        <f>IF('Données projet'!$A$88&gt;35,BD48+BC49-BL48,IF(A49&lt;'Données projet'!$A$88,$BA$205^A49,IF(A49='Données projet'!$A$88,'Données projet'!$B$88,BD48+BC49-BL48)))</f>
        <v>226.60000000000005</v>
      </c>
      <c r="BE49" s="13">
        <f>BD49*VLOOKUP('Données projet'!$B$11,Paramètres!$A$1:$I$89,3,0)*VLOOKUP('Données projet'!$B$11,Paramètres!$A$1:$I$89,5,0)</f>
        <v>152.00328000000002</v>
      </c>
      <c r="BF49" s="13">
        <f t="shared" si="37"/>
        <v>39.033486080292285</v>
      </c>
      <c r="BG49" s="20">
        <f t="shared" si="7"/>
        <v>332.72236758984241</v>
      </c>
      <c r="BH49" s="59">
        <f t="shared" si="8"/>
        <v>626.05570092317566</v>
      </c>
      <c r="BI49" s="59">
        <f ca="1">AVERAGE(OFFSET($BH$3,0,0,'Données projet'!$E$11+1,1))-AVERAGE(OFFSET($H$3,0,0,'Données projet'!$E$11+1,1))</f>
        <v>195.02599095557656</v>
      </c>
      <c r="BJ49" s="59">
        <f t="shared" si="38"/>
        <v>201.41413798956927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32.525179741093723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32.525179741093723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41.059200000000025</v>
      </c>
      <c r="D50" s="11">
        <f t="shared" si="32"/>
        <v>12.278959527914754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411.73316126811415</v>
      </c>
      <c r="H50" s="66">
        <f t="shared" si="1"/>
        <v>386.23062784445153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</v>
      </c>
      <c r="N50" s="13">
        <f>IF('Données projet'!$A$36&gt;35,N49+M50-V49,IF(A50&lt;'Données projet'!$A$36,$K$205^A50,IF(A50='Données projet'!$A$36,'Données projet'!$B$36,N49+M50-V49)))</f>
        <v>198.00000000000003</v>
      </c>
      <c r="O50" s="13">
        <f>N50*VLOOKUP('Données projet'!$B$9,Paramètres!$A$1:$I$89,3,0)*VLOOKUP('Données projet'!$B$9,Paramètres!$A$1:$I$89,5,0)</f>
        <v>166.79520000000002</v>
      </c>
      <c r="P50" s="13">
        <f t="shared" si="33"/>
        <v>42.371461898472788</v>
      </c>
      <c r="Q50" s="20">
        <f t="shared" si="53"/>
        <v>364.29860280650678</v>
      </c>
      <c r="R50" s="59">
        <f t="shared" si="0"/>
        <v>657.63193613984004</v>
      </c>
      <c r="S50" s="59">
        <f ca="1">AVERAGE(OFFSET($R$3,0,0,'Données projet'!$E$9+1,1))-AVERAGE(OFFSET($H$3,0,0,'Données projet'!$E$9+1,1))</f>
        <v>267.44861001389006</v>
      </c>
      <c r="T50" s="59">
        <f t="shared" si="34"/>
        <v>165.25921510802965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29.378221147518197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29.378221147518197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8.6</v>
      </c>
      <c r="AI50" s="13">
        <f>IF('Données projet'!$A$62&gt;35,AI49+AH50-AQ49,IF(A50&lt;'Données projet'!$A$62,$AF$205^A50,IF(A50='Données projet'!$A$62,'Données projet'!$B$62,AI49+AH50-AQ49)))</f>
        <v>235.20000000000005</v>
      </c>
      <c r="AJ50" s="13">
        <f>AI50*VLOOKUP('Données projet'!$B$10,Paramètres!$A$1:$I$89,3,0)*VLOOKUP('Données projet'!$B$10,Paramètres!$A$1:$I$89,5,0)</f>
        <v>187.12512000000004</v>
      </c>
      <c r="AK50" s="13">
        <f t="shared" si="35"/>
        <v>46.903794805770545</v>
      </c>
      <c r="AL50" s="20">
        <f t="shared" si="4"/>
        <v>407.60035995338376</v>
      </c>
      <c r="AM50" s="59">
        <f t="shared" si="5"/>
        <v>700.93369328671702</v>
      </c>
      <c r="AN50" s="59">
        <f ca="1">AVERAGE(OFFSET($AM$3,0,0,'Données projet'!$E$10+1,1))-AVERAGE(OFFSET($H$3,0,0,'Données projet'!$E$10+1,1))</f>
        <v>244.70751760575268</v>
      </c>
      <c r="AO50" s="59">
        <f t="shared" si="36"/>
        <v>248.77995374147798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37.819916768450085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37.819916768450085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8.6</v>
      </c>
      <c r="BD50" s="12">
        <f>IF('Données projet'!$A$88&gt;35,BD49+BC50-BL49,IF(A50&lt;'Données projet'!$A$88,$BA$205^A50,IF(A50='Données projet'!$A$88,'Données projet'!$B$88,BD49+BC50-BL49)))</f>
        <v>235.20000000000005</v>
      </c>
      <c r="BE50" s="13">
        <f>BD50*VLOOKUP('Données projet'!$B$11,Paramètres!$A$1:$I$89,3,0)*VLOOKUP('Données projet'!$B$11,Paramètres!$A$1:$I$89,5,0)</f>
        <v>157.77216000000004</v>
      </c>
      <c r="BF50" s="13">
        <f t="shared" si="37"/>
        <v>40.339610539653599</v>
      </c>
      <c r="BG50" s="20">
        <f t="shared" si="7"/>
        <v>345.04466702323003</v>
      </c>
      <c r="BH50" s="59">
        <f t="shared" si="8"/>
        <v>638.37800035656335</v>
      </c>
      <c r="BI50" s="59">
        <f ca="1">AVERAGE(OFFSET($BH$3,0,0,'Données projet'!$E$11+1,1))-AVERAGE(OFFSET($H$3,0,0,'Données projet'!$E$11+1,1))</f>
        <v>195.02599095557656</v>
      </c>
      <c r="BJ50" s="59">
        <f t="shared" si="38"/>
        <v>201.41413798956927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31.887380804771638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31.887380804771638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41.932800000000029</v>
      </c>
      <c r="D51" s="11">
        <f t="shared" si="32"/>
        <v>12.50952035103195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420.25650797287852</v>
      </c>
      <c r="H51" s="66">
        <f t="shared" si="1"/>
        <v>388.15370794471403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</v>
      </c>
      <c r="N51" s="13">
        <f>IF('Données projet'!$A$36&gt;35,N50+M51-V50,IF(A51&lt;'Données projet'!$A$36,$K$205^A51,IF(A51='Données projet'!$A$36,'Données projet'!$B$36,N50+M51-V50)))</f>
        <v>209.00000000000003</v>
      </c>
      <c r="O51" s="13">
        <f>N51*VLOOKUP('Données projet'!$B$9,Paramètres!$A$1:$I$89,3,0)*VLOOKUP('Données projet'!$B$9,Paramètres!$A$1:$I$89,5,0)</f>
        <v>176.06160000000006</v>
      </c>
      <c r="P51" s="13">
        <f t="shared" si="33"/>
        <v>44.444839741138928</v>
      </c>
      <c r="Q51" s="20">
        <f t="shared" si="53"/>
        <v>384.04871588248369</v>
      </c>
      <c r="R51" s="59">
        <f t="shared" si="0"/>
        <v>677.38204921581701</v>
      </c>
      <c r="S51" s="59">
        <f ca="1">AVERAGE(OFFSET($R$3,0,0,'Données projet'!$E$9+1,1))-AVERAGE(OFFSET($H$3,0,0,'Données projet'!$E$9+1,1))</f>
        <v>267.44861001389006</v>
      </c>
      <c r="T51" s="59">
        <f t="shared" si="34"/>
        <v>165.25921510802965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28.802132149760915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28.802132149760915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8.6</v>
      </c>
      <c r="AI51" s="13">
        <f>IF('Données projet'!$A$62&gt;35,AI50+AH51-AQ50,IF(A51&lt;'Données projet'!$A$62,$AF$205^A51,IF(A51='Données projet'!$A$62,'Données projet'!$B$62,AI50+AH51-AQ50)))</f>
        <v>243.80000000000004</v>
      </c>
      <c r="AJ51" s="13">
        <f>AI51*VLOOKUP('Données projet'!$B$10,Paramètres!$A$1:$I$89,3,0)*VLOOKUP('Données projet'!$B$10,Paramètres!$A$1:$I$89,5,0)</f>
        <v>193.96728000000004</v>
      </c>
      <c r="AK51" s="13">
        <f t="shared" si="35"/>
        <v>48.41600442423902</v>
      </c>
      <c r="AL51" s="20">
        <f t="shared" si="4"/>
        <v>422.15088703888301</v>
      </c>
      <c r="AM51" s="59">
        <f t="shared" si="5"/>
        <v>715.48422037221633</v>
      </c>
      <c r="AN51" s="59">
        <f ca="1">AVERAGE(OFFSET($AM$3,0,0,'Données projet'!$E$10+1,1))-AVERAGE(OFFSET($H$3,0,0,'Données projet'!$E$10+1,1))</f>
        <v>244.70751760575268</v>
      </c>
      <c r="AO51" s="59">
        <f t="shared" si="36"/>
        <v>248.77995374147798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37.078291268492244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37.078291268492244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8.6</v>
      </c>
      <c r="BD51" s="12">
        <f>IF('Données projet'!$A$88&gt;35,BD50+BC51-BL50,IF(A51&lt;'Données projet'!$A$88,$BA$205^A51,IF(A51='Données projet'!$A$88,'Données projet'!$B$88,BD50+BC51-BL50)))</f>
        <v>243.80000000000004</v>
      </c>
      <c r="BE51" s="13">
        <f>BD51*VLOOKUP('Données projet'!$B$11,Paramètres!$A$1:$I$89,3,0)*VLOOKUP('Données projet'!$B$11,Paramètres!$A$1:$I$89,5,0)</f>
        <v>163.54104000000004</v>
      </c>
      <c r="BF51" s="13">
        <f t="shared" si="37"/>
        <v>41.640186480597151</v>
      </c>
      <c r="BG51" s="20">
        <f t="shared" si="7"/>
        <v>357.35730278704006</v>
      </c>
      <c r="BH51" s="59">
        <f t="shared" si="8"/>
        <v>650.69063612037337</v>
      </c>
      <c r="BI51" s="59">
        <f ca="1">AVERAGE(OFFSET($BH$3,0,0,'Données projet'!$E$11+1,1))-AVERAGE(OFFSET($H$3,0,0,'Données projet'!$E$11+1,1))</f>
        <v>195.02599095557656</v>
      </c>
      <c r="BJ51" s="59">
        <f t="shared" si="38"/>
        <v>201.41413798956927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31.262088716571892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31.262088716571892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42.806400000000032</v>
      </c>
      <c r="D52" s="11">
        <f t="shared" si="32"/>
        <v>12.739522698823436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428.77554364004078</v>
      </c>
      <c r="H52" s="66">
        <f t="shared" si="1"/>
        <v>390.07581536711751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</v>
      </c>
      <c r="N52" s="13">
        <f>IF('Données projet'!$A$36&gt;35,N51+M52-V51,IF(A52&lt;'Données projet'!$A$36,$K$205^A52,IF(A52='Données projet'!$A$36,'Données projet'!$B$36,N51+M52-V51)))</f>
        <v>220.00000000000003</v>
      </c>
      <c r="O52" s="13">
        <f>N52*VLOOKUP('Données projet'!$B$9,Paramètres!$A$1:$I$89,3,0)*VLOOKUP('Données projet'!$B$9,Paramètres!$A$1:$I$89,5,0)</f>
        <v>185.32800000000006</v>
      </c>
      <c r="P52" s="13">
        <f t="shared" si="33"/>
        <v>46.505548070897625</v>
      </c>
      <c r="Q52" s="20">
        <f t="shared" si="53"/>
        <v>403.77676289014676</v>
      </c>
      <c r="R52" s="59">
        <f t="shared" si="0"/>
        <v>697.11009622348001</v>
      </c>
      <c r="S52" s="59">
        <f ca="1">AVERAGE(OFFSET($R$3,0,0,'Données projet'!$E$9+1,1))-AVERAGE(OFFSET($H$3,0,0,'Données projet'!$E$9+1,1))</f>
        <v>267.44861001389006</v>
      </c>
      <c r="T52" s="59">
        <f t="shared" si="34"/>
        <v>165.25921510802965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28.237339905870062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28.237339905870062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8.6</v>
      </c>
      <c r="AI52" s="13">
        <f>IF('Données projet'!$A$62&gt;35,AI51+AH52-AQ51,IF(A52&lt;'Données projet'!$A$62,$AF$205^A52,IF(A52='Données projet'!$A$62,'Données projet'!$B$62,AI51+AH52-AQ51)))</f>
        <v>252.40000000000003</v>
      </c>
      <c r="AJ52" s="13">
        <f>AI52*VLOOKUP('Données projet'!$B$10,Paramètres!$A$1:$I$89,3,0)*VLOOKUP('Données projet'!$B$10,Paramètres!$A$1:$I$89,5,0)</f>
        <v>200.80944000000002</v>
      </c>
      <c r="AK52" s="13">
        <f t="shared" si="35"/>
        <v>49.922016299484312</v>
      </c>
      <c r="AL52" s="20">
        <f t="shared" si="4"/>
        <v>436.69061972160188</v>
      </c>
      <c r="AM52" s="59">
        <f t="shared" si="5"/>
        <v>730.02395305493519</v>
      </c>
      <c r="AN52" s="59">
        <f ca="1">AVERAGE(OFFSET($AM$3,0,0,'Données projet'!$E$10+1,1))-AVERAGE(OFFSET($H$3,0,0,'Données projet'!$E$10+1,1))</f>
        <v>244.70751760575268</v>
      </c>
      <c r="AO52" s="59">
        <f t="shared" si="36"/>
        <v>248.77995374147798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36.35120859224169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36.35120859224169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8.6</v>
      </c>
      <c r="BD52" s="12">
        <f>IF('Données projet'!$A$88&gt;35,BD51+BC52-BL51,IF(A52&lt;'Données projet'!$A$88,$BA$205^A52,IF(A52='Données projet'!$A$88,'Données projet'!$B$88,BD51+BC52-BL51)))</f>
        <v>252.40000000000003</v>
      </c>
      <c r="BE52" s="13">
        <f>BD52*VLOOKUP('Données projet'!$B$11,Paramètres!$A$1:$I$89,3,0)*VLOOKUP('Données projet'!$B$11,Paramètres!$A$1:$I$89,5,0)</f>
        <v>169.30992000000003</v>
      </c>
      <c r="BF52" s="13">
        <f t="shared" si="37"/>
        <v>42.935432052241438</v>
      </c>
      <c r="BG52" s="20">
        <f t="shared" si="7"/>
        <v>369.66065482432049</v>
      </c>
      <c r="BH52" s="59">
        <f t="shared" si="8"/>
        <v>662.9939881576538</v>
      </c>
      <c r="BI52" s="59">
        <f ca="1">AVERAGE(OFFSET($BH$3,0,0,'Données projet'!$E$11+1,1))-AVERAGE(OFFSET($H$3,0,0,'Données projet'!$E$11+1,1))</f>
        <v>195.02599095557656</v>
      </c>
      <c r="BJ52" s="59">
        <f t="shared" si="38"/>
        <v>201.41413798956927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30.649058224831226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30.649058224831226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43.680000000000035</v>
      </c>
      <c r="D53" s="11">
        <f t="shared" si="32"/>
        <v>12.96897928208859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437.29036638805263</v>
      </c>
      <c r="H53" s="66">
        <f t="shared" si="1"/>
        <v>391.99697224963768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231</v>
      </c>
      <c r="L53" s="12">
        <f>VLOOKUP(A53,'Données projet'!$A$35:$I$55,9,0)</f>
        <v>11</v>
      </c>
      <c r="M53" s="12">
        <f t="array" ref="M53">INDEX(L:L,MIN(IF(ISNUMBER(L53:L249),ROW(L53:L249),"")))</f>
        <v>11</v>
      </c>
      <c r="N53" s="13">
        <f>IF('Données projet'!$A$36&gt;35,N52+M53-V52,IF(A53&lt;'Données projet'!$A$36,$K$205^A53,IF(A53='Données projet'!$A$36,'Données projet'!$B$36,N52+M53-V52)))</f>
        <v>231.00000000000003</v>
      </c>
      <c r="O53" s="13">
        <f>N53*VLOOKUP('Données projet'!$B$9,Paramètres!$A$1:$I$89,3,0)*VLOOKUP('Données projet'!$B$9,Paramètres!$A$1:$I$89,5,0)</f>
        <v>194.59440000000004</v>
      </c>
      <c r="P53" s="13">
        <f t="shared" si="33"/>
        <v>48.554292648263456</v>
      </c>
      <c r="Q53" s="20">
        <f t="shared" si="53"/>
        <v>423.48397302905886</v>
      </c>
      <c r="R53" s="59">
        <f t="shared" si="0"/>
        <v>716.81730636239217</v>
      </c>
      <c r="S53" s="59">
        <f ca="1">AVERAGE(OFFSET($R$3,0,0,'Données projet'!$E$9+1,1))-AVERAGE(OFFSET($H$3,0,0,'Données projet'!$E$9+1,1))</f>
        <v>267.44861001389006</v>
      </c>
      <c r="T53" s="59">
        <f t="shared" si="34"/>
        <v>165.25921510802965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0.43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38.895851795924088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38.895851795924088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261</v>
      </c>
      <c r="AG53" s="12">
        <f>VLOOKUP(A53,'Données projet'!$A$61:$I$81,9,0)</f>
        <v>8.6</v>
      </c>
      <c r="AH53" s="12">
        <f t="array" ref="AH53">INDEX(AG:AG,MIN(IF(ISNUMBER(AG53:AG249),ROW(AG53:AG249),"")))</f>
        <v>8.6</v>
      </c>
      <c r="AI53" s="13">
        <f>IF('Données projet'!$A$62&gt;35,AI52+AH53-AQ52,IF(A53&lt;'Données projet'!$A$62,$AF$205^A53,IF(A53='Données projet'!$A$62,'Données projet'!$B$62,AI52+AH53-AQ52)))</f>
        <v>261.00000000000006</v>
      </c>
      <c r="AJ53" s="13">
        <f>AI53*VLOOKUP('Données projet'!$B$10,Paramètres!$A$1:$I$89,3,0)*VLOOKUP('Données projet'!$B$10,Paramètres!$A$1:$I$89,5,0)</f>
        <v>207.65160000000006</v>
      </c>
      <c r="AK53" s="13">
        <f t="shared" si="35"/>
        <v>51.422065813018108</v>
      </c>
      <c r="AL53" s="20">
        <f t="shared" si="4"/>
        <v>451.2199679576733</v>
      </c>
      <c r="AM53" s="59">
        <f t="shared" si="5"/>
        <v>744.55330129100662</v>
      </c>
      <c r="AN53" s="59">
        <f ca="1">AVERAGE(OFFSET($AM$3,0,0,'Données projet'!$E$10+1,1))-AVERAGE(OFFSET($H$3,0,0,'Données projet'!$E$10+1,1))</f>
        <v>244.70751760575268</v>
      </c>
      <c r="AO53" s="59">
        <f t="shared" si="36"/>
        <v>248.77995374147798</v>
      </c>
      <c r="AP53" s="15">
        <f>IF(ISNA(VLOOKUP(A53,'Données projet'!$A$61:$I$81,3,0)),0,VLOOKUP(A53,'Données projet'!$A$61:$I$81,3,0))</f>
        <v>8</v>
      </c>
      <c r="AQ53" s="15">
        <f>IF(ISNA(VLOOKUP(A53,'Données projet'!$A$61:$I$81,4,0)),0,VLOOKUP(A53,'Données projet'!$A$61:$I$81,4,0))</f>
        <v>19</v>
      </c>
      <c r="AR53" s="16">
        <f>IF(ISNA(VLOOKUP(A53,'Données projet'!$A$61:$I$81,5,0)),0%,VLOOKUP(A53,'Données projet'!$A$61:$I$81,5,0)*VLOOKUP('Données projet'!$B$10,Paramètres!$A$1:$I$89,7,0))</f>
        <v>0.53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44.495071759736859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44.495071759736859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261</v>
      </c>
      <c r="BB53" s="12">
        <f>VLOOKUP(A53,'Données projet'!$A$87:$I$107,9,0)</f>
        <v>8.6</v>
      </c>
      <c r="BC53" s="12">
        <f t="array" ref="BC53">INDEX(BB:BB,MIN(IF(ISNUMBER(BB53:BB249),ROW(BB53:BB249),"")))</f>
        <v>8.6</v>
      </c>
      <c r="BD53" s="12">
        <f>IF('Données projet'!$A$88&gt;35,BD52+BC53-BL52,IF(A53&lt;'Données projet'!$A$88,$BA$205^A53,IF(A53='Données projet'!$A$88,'Données projet'!$B$88,BD52+BC53-BL52)))</f>
        <v>261.00000000000006</v>
      </c>
      <c r="BE53" s="13">
        <f>BD53*VLOOKUP('Données projet'!$B$11,Paramètres!$A$1:$I$89,3,0)*VLOOKUP('Données projet'!$B$11,Paramètres!$A$1:$I$89,5,0)</f>
        <v>175.07880000000003</v>
      </c>
      <c r="BF53" s="13">
        <f t="shared" si="37"/>
        <v>44.225549694464867</v>
      </c>
      <c r="BG53" s="20">
        <f t="shared" si="7"/>
        <v>381.9550757178597</v>
      </c>
      <c r="BH53" s="59">
        <f t="shared" si="8"/>
        <v>675.28840905119296</v>
      </c>
      <c r="BI53" s="59">
        <f ca="1">AVERAGE(OFFSET($BH$3,0,0,'Données projet'!$E$11+1,1))-AVERAGE(OFFSET($H$3,0,0,'Données projet'!$E$11+1,1))</f>
        <v>195.02599095557656</v>
      </c>
      <c r="BJ53" s="59">
        <f t="shared" si="38"/>
        <v>201.41413798956927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19</v>
      </c>
      <c r="BM53" s="16">
        <f>IF(ISNA(VLOOKUP(A53,'Données projet'!$A$87:$I$107,5,0)),0%,VLOOKUP(A53,'Données projet'!$A$87:$I$107,5,0)*VLOOKUP('Données projet'!$B$11,Paramètres!$A$1:$I$89,7,0))</f>
        <v>0.53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37.515452660170297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37.515452660170297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44.553600000000039</v>
      </c>
      <c r="D54" s="11">
        <f t="shared" si="32"/>
        <v>13.19790227412237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445.80107018620811</v>
      </c>
      <c r="H54" s="66">
        <f t="shared" si="1"/>
        <v>393.91719979409652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10.199999999999999</v>
      </c>
      <c r="N54" s="13">
        <f>IF('Données projet'!$A$36&gt;35,N53+M54-V53,IF(A54&lt;'Données projet'!$A$36,$K$205^A54,IF(A54='Données projet'!$A$36,'Données projet'!$B$36,N53+M54-V53)))</f>
        <v>213.20000000000002</v>
      </c>
      <c r="O54" s="13">
        <f>N54*VLOOKUP('Données projet'!$B$9,Paramètres!$A$1:$I$89,3,0)*VLOOKUP('Données projet'!$B$9,Paramètres!$A$1:$I$89,5,0)</f>
        <v>179.59968000000003</v>
      </c>
      <c r="P54" s="13">
        <f t="shared" si="33"/>
        <v>45.233110804333748</v>
      </c>
      <c r="Q54" s="20">
        <f t="shared" si="53"/>
        <v>391.58377731754803</v>
      </c>
      <c r="R54" s="59">
        <f t="shared" si="0"/>
        <v>684.91711065088134</v>
      </c>
      <c r="S54" s="59">
        <f ca="1">AVERAGE(OFFSET($R$3,0,0,'Données projet'!$E$9+1,1))-AVERAGE(OFFSET($H$3,0,0,'Données projet'!$E$9+1,1))</f>
        <v>267.44861001389006</v>
      </c>
      <c r="T54" s="59">
        <f t="shared" si="34"/>
        <v>165.25921510802965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38.133127866333048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38.133127866333048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7.4</v>
      </c>
      <c r="AI54" s="13">
        <f>IF('Données projet'!$A$62&gt;35,AI53+AH54-AQ53,IF(A54&lt;'Données projet'!$A$62,$AF$205^A54,IF(A54='Données projet'!$A$62,'Données projet'!$B$62,AI53+AH54-AQ53)))</f>
        <v>249.40000000000003</v>
      </c>
      <c r="AJ54" s="13">
        <f>AI54*VLOOKUP('Données projet'!$B$10,Paramètres!$A$1:$I$89,3,0)*VLOOKUP('Données projet'!$B$10,Paramètres!$A$1:$I$89,5,0)</f>
        <v>198.42264000000003</v>
      </c>
      <c r="AK54" s="13">
        <f t="shared" si="35"/>
        <v>49.397352151183256</v>
      </c>
      <c r="AL54" s="20">
        <f t="shared" si="4"/>
        <v>431.61981966331086</v>
      </c>
      <c r="AM54" s="59">
        <f t="shared" si="5"/>
        <v>724.95315299664412</v>
      </c>
      <c r="AN54" s="59">
        <f ca="1">AVERAGE(OFFSET($AM$3,0,0,'Données projet'!$E$10+1,1))-AVERAGE(OFFSET($H$3,0,0,'Données projet'!$E$10+1,1))</f>
        <v>244.70751760575268</v>
      </c>
      <c r="AO54" s="59">
        <f t="shared" si="36"/>
        <v>248.77995374147798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43.622550541842408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43.622550541842408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7.4</v>
      </c>
      <c r="BD54" s="12">
        <f>IF('Données projet'!$A$88&gt;35,BD53+BC54-BL53,IF(A54&lt;'Données projet'!$A$88,$BA$205^A54,IF(A54='Données projet'!$A$88,'Données projet'!$B$88,BD53+BC54-BL53)))</f>
        <v>249.40000000000003</v>
      </c>
      <c r="BE54" s="13">
        <f>BD54*VLOOKUP('Données projet'!$B$11,Paramètres!$A$1:$I$89,3,0)*VLOOKUP('Données projet'!$B$11,Paramètres!$A$1:$I$89,5,0)</f>
        <v>167.29752000000005</v>
      </c>
      <c r="BF54" s="13">
        <f t="shared" si="37"/>
        <v>42.484194631170809</v>
      </c>
      <c r="BG54" s="20">
        <f t="shared" si="7"/>
        <v>365.36981964928924</v>
      </c>
      <c r="BH54" s="59">
        <f t="shared" si="8"/>
        <v>658.70315298262256</v>
      </c>
      <c r="BI54" s="59">
        <f ca="1">AVERAGE(OFFSET($BH$3,0,0,'Données projet'!$E$11+1,1))-AVERAGE(OFFSET($H$3,0,0,'Données projet'!$E$11+1,1))</f>
        <v>195.02599095557656</v>
      </c>
      <c r="BJ54" s="59">
        <f t="shared" si="38"/>
        <v>201.41413798956927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36.779797515671056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36.779797515671056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45.427200000000042</v>
      </c>
      <c r="D55" s="11">
        <f t="shared" si="32"/>
        <v>13.42630334353094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454.30774510795845</v>
      </c>
      <c r="H55" s="66">
        <f t="shared" si="1"/>
        <v>395.83651832331645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10.199999999999999</v>
      </c>
      <c r="N55" s="13">
        <f>IF('Données projet'!$A$36&gt;35,N54+M55-V54,IF(A55&lt;'Données projet'!$A$36,$K$205^A55,IF(A55='Données projet'!$A$36,'Données projet'!$B$36,N54+M55-V54)))</f>
        <v>223.4</v>
      </c>
      <c r="O55" s="13">
        <f>N55*VLOOKUP('Données projet'!$B$9,Paramètres!$A$1:$I$89,3,0)*VLOOKUP('Données projet'!$B$9,Paramètres!$A$1:$I$89,5,0)</f>
        <v>188.19216000000003</v>
      </c>
      <c r="P55" s="13">
        <f t="shared" si="33"/>
        <v>47.140042972585213</v>
      </c>
      <c r="Q55" s="20">
        <f t="shared" si="53"/>
        <v>409.870253510586</v>
      </c>
      <c r="R55" s="59">
        <f t="shared" si="0"/>
        <v>703.20358684391931</v>
      </c>
      <c r="S55" s="59">
        <f ca="1">AVERAGE(OFFSET($R$3,0,0,'Données projet'!$E$9+1,1))-AVERAGE(OFFSET($H$3,0,0,'Données projet'!$E$9+1,1))</f>
        <v>267.44861001389006</v>
      </c>
      <c r="T55" s="59">
        <f t="shared" si="34"/>
        <v>165.25921510802965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37.385360487785626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37.385360487785626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7.4</v>
      </c>
      <c r="AI55" s="13">
        <f>IF('Données projet'!$A$62&gt;35,AI54+AH55-AQ54,IF(A55&lt;'Données projet'!$A$62,$AF$205^A55,IF(A55='Données projet'!$A$62,'Données projet'!$B$62,AI54+AH55-AQ54)))</f>
        <v>256.8</v>
      </c>
      <c r="AJ55" s="13">
        <f>AI55*VLOOKUP('Données projet'!$B$10,Paramètres!$A$1:$I$89,3,0)*VLOOKUP('Données projet'!$B$10,Paramètres!$A$1:$I$89,5,0)</f>
        <v>204.31008000000003</v>
      </c>
      <c r="AK55" s="13">
        <f t="shared" si="35"/>
        <v>50.690214235398379</v>
      </c>
      <c r="AL55" s="20">
        <f t="shared" si="4"/>
        <v>444.12551245998549</v>
      </c>
      <c r="AM55" s="59">
        <f t="shared" si="5"/>
        <v>737.4588457933188</v>
      </c>
      <c r="AN55" s="59">
        <f ca="1">AVERAGE(OFFSET($AM$3,0,0,'Données projet'!$E$10+1,1))-AVERAGE(OFFSET($H$3,0,0,'Données projet'!$E$10+1,1))</f>
        <v>244.70751760575268</v>
      </c>
      <c r="AO55" s="59">
        <f t="shared" si="36"/>
        <v>248.77995374147798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42.767138932845469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42.767138932845469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7.4</v>
      </c>
      <c r="BD55" s="12">
        <f>IF('Données projet'!$A$88&gt;35,BD54+BC55-BL54,IF(A55&lt;'Données projet'!$A$88,$BA$205^A55,IF(A55='Données projet'!$A$88,'Données projet'!$B$88,BD54+BC55-BL54)))</f>
        <v>256.8</v>
      </c>
      <c r="BE55" s="13">
        <f>BD55*VLOOKUP('Données projet'!$B$11,Paramètres!$A$1:$I$89,3,0)*VLOOKUP('Données projet'!$B$11,Paramètres!$A$1:$I$89,5,0)</f>
        <v>172.26144000000002</v>
      </c>
      <c r="BF55" s="13">
        <f t="shared" si="37"/>
        <v>43.596120716782679</v>
      </c>
      <c r="BG55" s="20">
        <f t="shared" si="7"/>
        <v>375.95191824839645</v>
      </c>
      <c r="BH55" s="59">
        <f t="shared" si="8"/>
        <v>669.28525158172977</v>
      </c>
      <c r="BI55" s="59">
        <f ca="1">AVERAGE(OFFSET($BH$3,0,0,'Données projet'!$E$11+1,1))-AVERAGE(OFFSET($H$3,0,0,'Données projet'!$E$11+1,1))</f>
        <v>195.02599095557656</v>
      </c>
      <c r="BJ55" s="59">
        <f t="shared" si="38"/>
        <v>201.41413798956927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36.058568119850108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36.058568119850108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46.300800000000045</v>
      </c>
      <c r="D56" s="11">
        <f t="shared" si="32"/>
        <v>13.654193684451673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462.81047756418883</v>
      </c>
      <c r="H56" s="66">
        <f t="shared" si="1"/>
        <v>397.75494733375336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10.199999999999999</v>
      </c>
      <c r="N56" s="13">
        <f>IF('Données projet'!$A$36&gt;35,N55+M56-V55,IF(A56&lt;'Données projet'!$A$36,$K$205^A56,IF(A56='Données projet'!$A$36,'Données projet'!$B$36,N55+M56-V55)))</f>
        <v>233.6</v>
      </c>
      <c r="O56" s="13">
        <f>N56*VLOOKUP('Données projet'!$B$9,Paramètres!$A$1:$I$89,3,0)*VLOOKUP('Données projet'!$B$9,Paramètres!$A$1:$I$89,5,0)</f>
        <v>196.78464000000002</v>
      </c>
      <c r="P56" s="13">
        <f t="shared" si="33"/>
        <v>49.036863746442876</v>
      </c>
      <c r="Q56" s="20">
        <f t="shared" si="53"/>
        <v>428.1391190250547</v>
      </c>
      <c r="R56" s="59">
        <f t="shared" si="0"/>
        <v>721.47245235838795</v>
      </c>
      <c r="S56" s="59">
        <f ca="1">AVERAGE(OFFSET($R$3,0,0,'Données projet'!$E$9+1,1))-AVERAGE(OFFSET($H$3,0,0,'Données projet'!$E$9+1,1))</f>
        <v>267.44861001389006</v>
      </c>
      <c r="T56" s="59">
        <f t="shared" si="34"/>
        <v>165.25921510802965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36.652256371438455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36.652256371438455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7.4</v>
      </c>
      <c r="AI56" s="13">
        <f>IF('Données projet'!$A$62&gt;35,AI55+AH56-AQ55,IF(A56&lt;'Données projet'!$A$62,$AF$205^A56,IF(A56='Données projet'!$A$62,'Données projet'!$B$62,AI55+AH56-AQ55)))</f>
        <v>264.2</v>
      </c>
      <c r="AJ56" s="13">
        <f>AI56*VLOOKUP('Données projet'!$B$10,Paramètres!$A$1:$I$89,3,0)*VLOOKUP('Données projet'!$B$10,Paramètres!$A$1:$I$89,5,0)</f>
        <v>210.19752</v>
      </c>
      <c r="AK56" s="13">
        <f t="shared" si="35"/>
        <v>51.978746425856599</v>
      </c>
      <c r="AL56" s="20">
        <f t="shared" si="4"/>
        <v>456.62366402503358</v>
      </c>
      <c r="AM56" s="59">
        <f t="shared" si="5"/>
        <v>749.95699735836683</v>
      </c>
      <c r="AN56" s="59">
        <f ca="1">AVERAGE(OFFSET($AM$3,0,0,'Données projet'!$E$10+1,1))-AVERAGE(OFFSET($H$3,0,0,'Données projet'!$E$10+1,1))</f>
        <v>244.70751760575268</v>
      </c>
      <c r="AO56" s="59">
        <f t="shared" si="36"/>
        <v>248.77995374147798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41.928501423751399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41.928501423751399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7.4</v>
      </c>
      <c r="BD56" s="12">
        <f>IF('Données projet'!$A$88&gt;35,BD55+BC56-BL55,IF(A56&lt;'Données projet'!$A$88,$BA$205^A56,IF(A56='Données projet'!$A$88,'Données projet'!$B$88,BD55+BC56-BL55)))</f>
        <v>264.2</v>
      </c>
      <c r="BE56" s="13">
        <f>BD56*VLOOKUP('Données projet'!$B$11,Paramètres!$A$1:$I$89,3,0)*VLOOKUP('Données projet'!$B$11,Paramètres!$A$1:$I$89,5,0)</f>
        <v>177.22535999999999</v>
      </c>
      <c r="BF56" s="13">
        <f t="shared" si="37"/>
        <v>44.704322877101163</v>
      </c>
      <c r="BG56" s="20">
        <f t="shared" si="7"/>
        <v>386.52753101095118</v>
      </c>
      <c r="BH56" s="59">
        <f t="shared" si="8"/>
        <v>679.86086434428444</v>
      </c>
      <c r="BI56" s="59">
        <f ca="1">AVERAGE(OFFSET($BH$3,0,0,'Données projet'!$E$11+1,1))-AVERAGE(OFFSET($H$3,0,0,'Données projet'!$E$11+1,1))</f>
        <v>195.02599095557656</v>
      </c>
      <c r="BJ56" s="59">
        <f t="shared" si="38"/>
        <v>201.41413798956927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35.351481592574714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35.351481592574714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47.174400000000048</v>
      </c>
      <c r="D57" s="11">
        <f t="shared" si="32"/>
        <v>13.881584044427944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471.30935051839151</v>
      </c>
      <c r="H57" s="66">
        <f t="shared" si="1"/>
        <v>399.67250554404541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10.199999999999999</v>
      </c>
      <c r="N57" s="13">
        <f>IF('Données projet'!$A$36&gt;35,N56+M57-V56,IF(A57&lt;'Données projet'!$A$36,$K$205^A57,IF(A57='Données projet'!$A$36,'Données projet'!$B$36,N56+M57-V56)))</f>
        <v>243.79999999999998</v>
      </c>
      <c r="O57" s="13">
        <f>N57*VLOOKUP('Données projet'!$B$9,Paramètres!$A$1:$I$89,3,0)*VLOOKUP('Données projet'!$B$9,Paramètres!$A$1:$I$89,5,0)</f>
        <v>205.37711999999999</v>
      </c>
      <c r="P57" s="13">
        <f t="shared" si="33"/>
        <v>50.924065093909938</v>
      </c>
      <c r="Q57" s="20">
        <f t="shared" si="53"/>
        <v>446.39123070522641</v>
      </c>
      <c r="R57" s="59">
        <f t="shared" si="0"/>
        <v>739.72456403855972</v>
      </c>
      <c r="S57" s="59">
        <f ca="1">AVERAGE(OFFSET($R$3,0,0,'Données projet'!$E$9+1,1))-AVERAGE(OFFSET($H$3,0,0,'Données projet'!$E$9+1,1))</f>
        <v>267.44861001389006</v>
      </c>
      <c r="T57" s="59">
        <f t="shared" si="34"/>
        <v>165.25921510802965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35.933527979663495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35.933527979663495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7.4</v>
      </c>
      <c r="AI57" s="13">
        <f>IF('Données projet'!$A$62&gt;35,AI56+AH57-AQ56,IF(A57&lt;'Données projet'!$A$62,$AF$205^A57,IF(A57='Données projet'!$A$62,'Données projet'!$B$62,AI56+AH57-AQ56)))</f>
        <v>271.59999999999997</v>
      </c>
      <c r="AJ57" s="13">
        <f>AI57*VLOOKUP('Données projet'!$B$10,Paramètres!$A$1:$I$89,3,0)*VLOOKUP('Données projet'!$B$10,Paramètres!$A$1:$I$89,5,0)</f>
        <v>216.08496</v>
      </c>
      <c r="AK57" s="13">
        <f t="shared" si="35"/>
        <v>53.26308393083157</v>
      </c>
      <c r="AL57" s="20">
        <f t="shared" si="4"/>
        <v>469.11450984619825</v>
      </c>
      <c r="AM57" s="59">
        <f t="shared" si="5"/>
        <v>762.44784317953156</v>
      </c>
      <c r="AN57" s="59">
        <f ca="1">AVERAGE(OFFSET($AM$3,0,0,'Données projet'!$E$10+1,1))-AVERAGE(OFFSET($H$3,0,0,'Données projet'!$E$10+1,1))</f>
        <v>244.70751760575268</v>
      </c>
      <c r="AO57" s="59">
        <f t="shared" si="36"/>
        <v>248.77995374147798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41.106309084692292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41.106309084692292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7.4</v>
      </c>
      <c r="BD57" s="12">
        <f>IF('Données projet'!$A$88&gt;35,BD56+BC57-BL56,IF(A57&lt;'Données projet'!$A$88,$BA$205^A57,IF(A57='Données projet'!$A$88,'Données projet'!$B$88,BD56+BC57-BL56)))</f>
        <v>271.59999999999997</v>
      </c>
      <c r="BE57" s="13">
        <f>BD57*VLOOKUP('Données projet'!$B$11,Paramètres!$A$1:$I$89,3,0)*VLOOKUP('Données projet'!$B$11,Paramètres!$A$1:$I$89,5,0)</f>
        <v>182.18927999999997</v>
      </c>
      <c r="BF57" s="13">
        <f t="shared" si="37"/>
        <v>45.808917398007317</v>
      </c>
      <c r="BG57" s="20">
        <f t="shared" si="7"/>
        <v>397.09686046819598</v>
      </c>
      <c r="BH57" s="59">
        <f t="shared" si="8"/>
        <v>690.4301938015293</v>
      </c>
      <c r="BI57" s="59">
        <f ca="1">AVERAGE(OFFSET($BH$3,0,0,'Données projet'!$E$11+1,1))-AVERAGE(OFFSET($H$3,0,0,'Données projet'!$E$11+1,1))</f>
        <v>195.02599095557656</v>
      </c>
      <c r="BJ57" s="59">
        <f t="shared" si="38"/>
        <v>201.41413798956927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34.658260600818998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34.658260600818998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48.048000000000052</v>
      </c>
      <c r="D58" s="11">
        <f t="shared" si="32"/>
        <v>14.108484750160635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479.80444368545096</v>
      </c>
      <c r="H58" s="66">
        <f t="shared" si="1"/>
        <v>401.58921093986316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254</v>
      </c>
      <c r="L58" s="12">
        <f>VLOOKUP(A58,'Données projet'!$A$35:$I$55,9,0)</f>
        <v>10.199999999999999</v>
      </c>
      <c r="M58" s="12">
        <f t="array" ref="M58">INDEX(L:L,MIN(IF(ISNUMBER(L58:L254),ROW(L58:L254),"")))</f>
        <v>10.199999999999999</v>
      </c>
      <c r="N58" s="13">
        <f>IF('Données projet'!$A$36&gt;35,N57+M58-V57,IF(A58&lt;'Données projet'!$A$36,$K$205^A58,IF(A58='Données projet'!$A$36,'Données projet'!$B$36,N57+M58-V57)))</f>
        <v>253.99999999999997</v>
      </c>
      <c r="O58" s="13">
        <f>N58*VLOOKUP('Données projet'!$B$9,Paramètres!$A$1:$I$89,3,0)*VLOOKUP('Données projet'!$B$9,Paramètres!$A$1:$I$89,5,0)</f>
        <v>213.96960000000001</v>
      </c>
      <c r="P58" s="13">
        <f t="shared" si="33"/>
        <v>52.802095488627479</v>
      </c>
      <c r="Q58" s="20">
        <f t="shared" si="53"/>
        <v>464.62736964269283</v>
      </c>
      <c r="R58" s="59">
        <f t="shared" si="0"/>
        <v>757.96070297602614</v>
      </c>
      <c r="S58" s="59">
        <f ca="1">AVERAGE(OFFSET($R$3,0,0,'Données projet'!$E$9+1,1))-AVERAGE(OFFSET($H$3,0,0,'Données projet'!$E$9+1,1))</f>
        <v>267.44861001389006</v>
      </c>
      <c r="T58" s="59">
        <f t="shared" si="34"/>
        <v>165.25921510802965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28</v>
      </c>
      <c r="W58" s="16">
        <f>IF(ISNA(VLOOKUP(A58,'Données projet'!$A$35:$I$55,5,0)),0%,VLOOKUP(A58,'Données projet'!$A$35:$I$55,5,0)*VLOOKUP('Données projet'!$B$9,Paramètres!$A$1:$I$89,7,0))</f>
        <v>0.43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46.441122315801636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46.441122315801636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279</v>
      </c>
      <c r="AG58" s="12">
        <f>VLOOKUP(A58,'Données projet'!$A$61:$I$81,9,0)</f>
        <v>7.4</v>
      </c>
      <c r="AH58" s="12">
        <f t="array" ref="AH58">INDEX(AG:AG,MIN(IF(ISNUMBER(AG58:AG254),ROW(AG58:AG254),"")))</f>
        <v>7.4</v>
      </c>
      <c r="AI58" s="13">
        <f>IF('Données projet'!$A$62&gt;35,AI57+AH58-AQ57,IF(A58&lt;'Données projet'!$A$62,$AF$205^A58,IF(A58='Données projet'!$A$62,'Données projet'!$B$62,AI57+AH58-AQ57)))</f>
        <v>278.99999999999994</v>
      </c>
      <c r="AJ58" s="13">
        <f>AI58*VLOOKUP('Données projet'!$B$10,Paramètres!$A$1:$I$89,3,0)*VLOOKUP('Données projet'!$B$10,Paramètres!$A$1:$I$89,5,0)</f>
        <v>221.97239999999996</v>
      </c>
      <c r="AK58" s="13">
        <f t="shared" si="35"/>
        <v>54.543354171476821</v>
      </c>
      <c r="AL58" s="20">
        <f t="shared" si="4"/>
        <v>481.59827184865543</v>
      </c>
      <c r="AM58" s="59">
        <f t="shared" si="5"/>
        <v>774.93160518198874</v>
      </c>
      <c r="AN58" s="59">
        <f ca="1">AVERAGE(OFFSET($AM$3,0,0,'Données projet'!$E$10+1,1))-AVERAGE(OFFSET($H$3,0,0,'Données projet'!$E$10+1,1))</f>
        <v>244.70751760575268</v>
      </c>
      <c r="AO58" s="59">
        <f t="shared" si="36"/>
        <v>248.77995374147798</v>
      </c>
      <c r="AP58" s="15">
        <f>IF(ISNA(VLOOKUP(A58,'Données projet'!$A$61:$I$81,3,0)),0,VLOOKUP(A58,'Données projet'!$A$61:$I$81,3,0))</f>
        <v>9</v>
      </c>
      <c r="AQ58" s="15">
        <f>IF(ISNA(VLOOKUP(A58,'Données projet'!$A$61:$I$81,4,0)),0,VLOOKUP(A58,'Données projet'!$A$61:$I$81,4,0))</f>
        <v>16</v>
      </c>
      <c r="AR58" s="16">
        <f>IF(ISNA(VLOOKUP(A58,'Données projet'!$A$61:$I$81,5,0)),0%,VLOOKUP(A58,'Données projet'!$A$61:$I$81,5,0)*VLOOKUP('Données projet'!$B$10,Paramètres!$A$1:$I$89,7,0))</f>
        <v>0.53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47.758503179864732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47.758503179864732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279</v>
      </c>
      <c r="BB58" s="12">
        <f>VLOOKUP(A58,'Données projet'!$A$87:$I$107,9,0)</f>
        <v>7.4</v>
      </c>
      <c r="BC58" s="12">
        <f t="array" ref="BC58">INDEX(BB:BB,MIN(IF(ISNUMBER(BB58:BB254),ROW(BB58:BB254),"")))</f>
        <v>7.4</v>
      </c>
      <c r="BD58" s="12">
        <f>IF('Données projet'!$A$88&gt;35,BD57+BC58-BL57,IF(A58&lt;'Données projet'!$A$88,$BA$205^A58,IF(A58='Données projet'!$A$88,'Données projet'!$B$88,BD57+BC58-BL57)))</f>
        <v>278.99999999999994</v>
      </c>
      <c r="BE58" s="13">
        <f>BD58*VLOOKUP('Données projet'!$B$11,Paramètres!$A$1:$I$89,3,0)*VLOOKUP('Données projet'!$B$11,Paramètres!$A$1:$I$89,5,0)</f>
        <v>187.15319999999997</v>
      </c>
      <c r="BF58" s="13">
        <f t="shared" si="37"/>
        <v>46.910013868069136</v>
      </c>
      <c r="BG58" s="20">
        <f t="shared" si="7"/>
        <v>407.66009748688703</v>
      </c>
      <c r="BH58" s="59">
        <f t="shared" si="8"/>
        <v>700.99343082022028</v>
      </c>
      <c r="BI58" s="59">
        <f ca="1">AVERAGE(OFFSET($BH$3,0,0,'Données projet'!$E$11+1,1))-AVERAGE(OFFSET($H$3,0,0,'Données projet'!$E$11+1,1))</f>
        <v>195.02599095557656</v>
      </c>
      <c r="BJ58" s="59">
        <f t="shared" si="38"/>
        <v>201.41413798956927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16</v>
      </c>
      <c r="BM58" s="16">
        <f>IF(ISNA(VLOOKUP(A58,'Données projet'!$A$87:$I$107,5,0)),0%,VLOOKUP(A58,'Données projet'!$A$87:$I$107,5,0)*VLOOKUP('Données projet'!$B$11,Paramètres!$A$1:$I$89,7,0))</f>
        <v>0.53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40.266973269297722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40.266973269297722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48.921600000000055</v>
      </c>
      <c r="D59" s="11">
        <f t="shared" si="32"/>
        <v>14.334905731333885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488.29583371556026</v>
      </c>
      <c r="H59" s="66">
        <f t="shared" si="1"/>
        <v>403.50508081540659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9.4</v>
      </c>
      <c r="N59" s="13">
        <f>IF('Données projet'!$A$36&gt;35,N58+M59-V58,IF(A59&lt;'Données projet'!$A$36,$K$205^A59,IF(A59='Données projet'!$A$36,'Données projet'!$B$36,N58+M59-V58)))</f>
        <v>235.39999999999998</v>
      </c>
      <c r="O59" s="13">
        <f>N59*VLOOKUP('Données projet'!$B$9,Paramètres!$A$1:$I$89,3,0)*VLOOKUP('Données projet'!$B$9,Paramètres!$A$1:$I$89,5,0)</f>
        <v>198.30096</v>
      </c>
      <c r="P59" s="13">
        <f t="shared" si="33"/>
        <v>49.3705849564736</v>
      </c>
      <c r="Q59" s="20">
        <f t="shared" si="53"/>
        <v>431.36127413252484</v>
      </c>
      <c r="R59" s="59">
        <f t="shared" si="0"/>
        <v>724.6946074658581</v>
      </c>
      <c r="S59" s="59">
        <f ca="1">AVERAGE(OFFSET($R$3,0,0,'Données projet'!$E$9+1,1))-AVERAGE(OFFSET($H$3,0,0,'Données projet'!$E$9+1,1))</f>
        <v>267.44861001389006</v>
      </c>
      <c r="T59" s="59">
        <f t="shared" si="34"/>
        <v>165.25921510802965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45.530440233476391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45.530440233476391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6.2</v>
      </c>
      <c r="AI59" s="13">
        <f>IF('Données projet'!$A$62&gt;35,AI58+AH59-AQ58,IF(A59&lt;'Données projet'!$A$62,$AF$205^A59,IF(A59='Données projet'!$A$62,'Données projet'!$B$62,AI58+AH59-AQ58)))</f>
        <v>269.19999999999993</v>
      </c>
      <c r="AJ59" s="13">
        <f>AI59*VLOOKUP('Données projet'!$B$10,Paramètres!$A$1:$I$89,3,0)*VLOOKUP('Données projet'!$B$10,Paramètres!$A$1:$I$89,5,0)</f>
        <v>214.17551999999998</v>
      </c>
      <c r="AK59" s="13">
        <f t="shared" si="35"/>
        <v>52.846993696165399</v>
      </c>
      <c r="AL59" s="20">
        <f t="shared" si="4"/>
        <v>465.06421135415468</v>
      </c>
      <c r="AM59" s="59">
        <f t="shared" si="5"/>
        <v>758.39754468748799</v>
      </c>
      <c r="AN59" s="59">
        <f ca="1">AVERAGE(OFFSET($AM$3,0,0,'Données projet'!$E$10+1,1))-AVERAGE(OFFSET($H$3,0,0,'Données projet'!$E$10+1,1))</f>
        <v>244.70751760575268</v>
      </c>
      <c r="AO59" s="59">
        <f t="shared" si="36"/>
        <v>248.77995374147798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46.821988062318198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46.821988062318198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6.2</v>
      </c>
      <c r="BD59" s="12">
        <f>IF('Données projet'!$A$88&gt;35,BD58+BC59-BL58,IF(A59&lt;'Données projet'!$A$88,$BA$205^A59,IF(A59='Données projet'!$A$88,'Données projet'!$B$88,BD58+BC59-BL58)))</f>
        <v>269.19999999999993</v>
      </c>
      <c r="BE59" s="13">
        <f>BD59*VLOOKUP('Données projet'!$B$11,Paramètres!$A$1:$I$89,3,0)*VLOOKUP('Données projet'!$B$11,Paramètres!$A$1:$I$89,5,0)</f>
        <v>180.57935999999995</v>
      </c>
      <c r="BF59" s="13">
        <f t="shared" si="37"/>
        <v>45.451058975564287</v>
      </c>
      <c r="BG59" s="20">
        <f t="shared" si="7"/>
        <v>393.66964638244099</v>
      </c>
      <c r="BH59" s="59">
        <f t="shared" si="8"/>
        <v>687.00297971577425</v>
      </c>
      <c r="BI59" s="59">
        <f ca="1">AVERAGE(OFFSET($BH$3,0,0,'Données projet'!$E$11+1,1))-AVERAGE(OFFSET($H$3,0,0,'Données projet'!$E$11+1,1))</f>
        <v>195.02599095557656</v>
      </c>
      <c r="BJ59" s="59">
        <f t="shared" si="38"/>
        <v>201.41413798956927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39.47736248391535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39.47736248391535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49.795200000000058</v>
      </c>
      <c r="D60" s="11">
        <f t="shared" si="32"/>
        <v>14.560856542690793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496.78359436463114</v>
      </c>
      <c r="H60" s="66">
        <f t="shared" si="1"/>
        <v>405.4201318118532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9.4</v>
      </c>
      <c r="N60" s="13">
        <f>IF('Données projet'!$A$36&gt;35,N59+M60-V59,IF(A60&lt;'Données projet'!$A$36,$K$205^A60,IF(A60='Données projet'!$A$36,'Données projet'!$B$36,N59+M60-V59)))</f>
        <v>244.79999999999998</v>
      </c>
      <c r="O60" s="13">
        <f>N60*VLOOKUP('Données projet'!$B$9,Paramètres!$A$1:$I$89,3,0)*VLOOKUP('Données projet'!$B$9,Paramètres!$A$1:$I$89,5,0)</f>
        <v>206.21952000000002</v>
      </c>
      <c r="P60" s="13">
        <f t="shared" si="33"/>
        <v>51.108584284640322</v>
      </c>
      <c r="Q60" s="20">
        <f t="shared" si="53"/>
        <v>448.1797816290819</v>
      </c>
      <c r="R60" s="59">
        <f t="shared" si="0"/>
        <v>741.51311496241522</v>
      </c>
      <c r="S60" s="59">
        <f ca="1">AVERAGE(OFFSET($R$3,0,0,'Données projet'!$E$9+1,1))-AVERAGE(OFFSET($H$3,0,0,'Données projet'!$E$9+1,1))</f>
        <v>267.44861001389006</v>
      </c>
      <c r="T60" s="59">
        <f t="shared" si="34"/>
        <v>165.25921510802965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44.637616071324317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44.637616071324317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6.2</v>
      </c>
      <c r="AI60" s="13">
        <f>IF('Données projet'!$A$62&gt;35,AI59+AH60-AQ59,IF(A60&lt;'Données projet'!$A$62,$AF$205^A60,IF(A60='Données projet'!$A$62,'Données projet'!$B$62,AI59+AH60-AQ59)))</f>
        <v>275.39999999999992</v>
      </c>
      <c r="AJ60" s="13">
        <f>AI60*VLOOKUP('Données projet'!$B$10,Paramètres!$A$1:$I$89,3,0)*VLOOKUP('Données projet'!$B$10,Paramètres!$A$1:$I$89,5,0)</f>
        <v>219.10823999999994</v>
      </c>
      <c r="AK60" s="13">
        <f t="shared" si="35"/>
        <v>53.921020297295854</v>
      </c>
      <c r="AL60" s="20">
        <f t="shared" si="4"/>
        <v>475.52596168445672</v>
      </c>
      <c r="AM60" s="59">
        <f t="shared" si="5"/>
        <v>768.85929501779003</v>
      </c>
      <c r="AN60" s="59">
        <f ca="1">AVERAGE(OFFSET($AM$3,0,0,'Données projet'!$E$10+1,1))-AVERAGE(OFFSET($H$3,0,0,'Données projet'!$E$10+1,1))</f>
        <v>244.70751760575268</v>
      </c>
      <c r="AO60" s="59">
        <f t="shared" si="36"/>
        <v>248.77995374147798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45.903837435008931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45.903837435008931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6.2</v>
      </c>
      <c r="BD60" s="12">
        <f>IF('Données projet'!$A$88&gt;35,BD59+BC60-BL59,IF(A60&lt;'Données projet'!$A$88,$BA$205^A60,IF(A60='Données projet'!$A$88,'Données projet'!$B$88,BD59+BC60-BL59)))</f>
        <v>275.39999999999992</v>
      </c>
      <c r="BE60" s="13">
        <f>BD60*VLOOKUP('Données projet'!$B$11,Paramètres!$A$1:$I$89,3,0)*VLOOKUP('Données projet'!$B$11,Paramètres!$A$1:$I$89,5,0)</f>
        <v>184.73831999999996</v>
      </c>
      <c r="BF60" s="13">
        <f t="shared" si="37"/>
        <v>46.374775595471988</v>
      </c>
      <c r="BG60" s="20">
        <f t="shared" si="7"/>
        <v>402.52197482878029</v>
      </c>
      <c r="BH60" s="59">
        <f t="shared" si="8"/>
        <v>695.8553081621136</v>
      </c>
      <c r="BI60" s="59">
        <f ca="1">AVERAGE(OFFSET($BH$3,0,0,'Données projet'!$E$11+1,1))-AVERAGE(OFFSET($H$3,0,0,'Données projet'!$E$11+1,1))</f>
        <v>195.02599095557656</v>
      </c>
      <c r="BJ60" s="59">
        <f t="shared" si="38"/>
        <v>201.41413798956927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38.703235484419302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38.703235484419302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50.668800000000061</v>
      </c>
      <c r="D61" s="11">
        <f t="shared" si="32"/>
        <v>14.786346384516133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505.26779665240582</v>
      </c>
      <c r="H61" s="66">
        <f t="shared" si="1"/>
        <v>407.33437995303234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9.4</v>
      </c>
      <c r="N61" s="13">
        <f>IF('Données projet'!$A$36&gt;35,N60+M61-V60,IF(A61&lt;'Données projet'!$A$36,$K$205^A61,IF(A61='Données projet'!$A$36,'Données projet'!$B$36,N60+M61-V60)))</f>
        <v>254.2</v>
      </c>
      <c r="O61" s="13">
        <f>N61*VLOOKUP('Données projet'!$B$9,Paramètres!$A$1:$I$89,3,0)*VLOOKUP('Données projet'!$B$9,Paramètres!$A$1:$I$89,5,0)</f>
        <v>214.13808</v>
      </c>
      <c r="P61" s="13">
        <f t="shared" si="33"/>
        <v>52.838830759579693</v>
      </c>
      <c r="Q61" s="20">
        <f t="shared" si="53"/>
        <v>464.98478623960131</v>
      </c>
      <c r="R61" s="59">
        <f t="shared" si="0"/>
        <v>758.31811957293462</v>
      </c>
      <c r="S61" s="59">
        <f ca="1">AVERAGE(OFFSET($R$3,0,0,'Données projet'!$E$9+1,1))-AVERAGE(OFFSET($H$3,0,0,'Données projet'!$E$9+1,1))</f>
        <v>267.44861001389006</v>
      </c>
      <c r="T61" s="59">
        <f t="shared" si="34"/>
        <v>165.25921510802965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43.762299646423081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43.762299646423081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6.2</v>
      </c>
      <c r="AI61" s="13">
        <f>IF('Données projet'!$A$62&gt;35,AI60+AH61-AQ60,IF(A61&lt;'Données projet'!$A$62,$AF$205^A61,IF(A61='Données projet'!$A$62,'Données projet'!$B$62,AI60+AH61-AQ60)))</f>
        <v>281.59999999999991</v>
      </c>
      <c r="AJ61" s="13">
        <f>AI61*VLOOKUP('Données projet'!$B$10,Paramètres!$A$1:$I$89,3,0)*VLOOKUP('Données projet'!$B$10,Paramètres!$A$1:$I$89,5,0)</f>
        <v>224.04095999999993</v>
      </c>
      <c r="AK61" s="13">
        <f t="shared" si="35"/>
        <v>54.992235867381233</v>
      </c>
      <c r="AL61" s="20">
        <f t="shared" si="4"/>
        <v>485.98281613568884</v>
      </c>
      <c r="AM61" s="59">
        <f t="shared" si="5"/>
        <v>779.31614946902209</v>
      </c>
      <c r="AN61" s="59">
        <f ca="1">AVERAGE(OFFSET($AM$3,0,0,'Données projet'!$E$10+1,1))-AVERAGE(OFFSET($H$3,0,0,'Données projet'!$E$10+1,1))</f>
        <v>244.70751760575268</v>
      </c>
      <c r="AO61" s="59">
        <f t="shared" si="36"/>
        <v>248.77995374147798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45.003691181484612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45.003691181484612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6.2</v>
      </c>
      <c r="BD61" s="12">
        <f>IF('Données projet'!$A$88&gt;35,BD60+BC61-BL60,IF(A61&lt;'Données projet'!$A$88,$BA$205^A61,IF(A61='Données projet'!$A$88,'Données projet'!$B$88,BD60+BC61-BL60)))</f>
        <v>281.59999999999991</v>
      </c>
      <c r="BE61" s="13">
        <f>BD61*VLOOKUP('Données projet'!$B$11,Paramètres!$A$1:$I$89,3,0)*VLOOKUP('Données projet'!$B$11,Paramètres!$A$1:$I$89,5,0)</f>
        <v>188.89727999999997</v>
      </c>
      <c r="BF61" s="13">
        <f t="shared" si="37"/>
        <v>47.296074588020467</v>
      </c>
      <c r="BG61" s="20">
        <f t="shared" si="7"/>
        <v>411.37009257413553</v>
      </c>
      <c r="BH61" s="59">
        <f t="shared" si="8"/>
        <v>704.70342590746884</v>
      </c>
      <c r="BI61" s="59">
        <f ca="1">AVERAGE(OFFSET($BH$3,0,0,'Données projet'!$E$11+1,1))-AVERAGE(OFFSET($H$3,0,0,'Données projet'!$E$11+1,1))</f>
        <v>195.02599095557656</v>
      </c>
      <c r="BJ61" s="59">
        <f t="shared" si="38"/>
        <v>201.41413798956927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37.944288643212523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37.944288643212523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51.542400000000065</v>
      </c>
      <c r="D62" s="11">
        <f t="shared" si="32"/>
        <v>15.011384121666367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513.74850900935496</v>
      </c>
      <c r="H62" s="66">
        <f t="shared" si="1"/>
        <v>409.24784067856899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9.4</v>
      </c>
      <c r="N62" s="13">
        <f>IF('Données projet'!$A$36&gt;35,N61+M62-V61,IF(A62&lt;'Données projet'!$A$36,$K$205^A62,IF(A62='Données projet'!$A$36,'Données projet'!$B$36,N61+M62-V61)))</f>
        <v>263.59999999999997</v>
      </c>
      <c r="O62" s="13">
        <f>N62*VLOOKUP('Données projet'!$B$9,Paramètres!$A$1:$I$89,3,0)*VLOOKUP('Données projet'!$B$9,Paramètres!$A$1:$I$89,5,0)</f>
        <v>222.05663999999999</v>
      </c>
      <c r="P62" s="13">
        <f t="shared" si="33"/>
        <v>54.561643903321311</v>
      </c>
      <c r="Q62" s="20">
        <f t="shared" si="53"/>
        <v>481.77684446495124</v>
      </c>
      <c r="R62" s="59">
        <f t="shared" si="0"/>
        <v>775.11017779828455</v>
      </c>
      <c r="S62" s="59">
        <f ca="1">AVERAGE(OFFSET($R$3,0,0,'Données projet'!$E$9+1,1))-AVERAGE(OFFSET($H$3,0,0,'Données projet'!$E$9+1,1))</f>
        <v>267.44861001389006</v>
      </c>
      <c r="T62" s="59">
        <f t="shared" si="34"/>
        <v>165.25921510802965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42.904147642723856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42.904147642723856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6.2</v>
      </c>
      <c r="AI62" s="13">
        <f>IF('Données projet'!$A$62&gt;35,AI61+AH62-AQ61,IF(A62&lt;'Données projet'!$A$62,$AF$205^A62,IF(A62='Données projet'!$A$62,'Données projet'!$B$62,AI61+AH62-AQ61)))</f>
        <v>287.7999999999999</v>
      </c>
      <c r="AJ62" s="13">
        <f>AI62*VLOOKUP('Données projet'!$B$10,Paramètres!$A$1:$I$89,3,0)*VLOOKUP('Données projet'!$B$10,Paramètres!$A$1:$I$89,5,0)</f>
        <v>228.97367999999994</v>
      </c>
      <c r="AK62" s="13">
        <f t="shared" si="35"/>
        <v>56.060709423888284</v>
      </c>
      <c r="AL62" s="20">
        <f t="shared" si="4"/>
        <v>496.43489491327199</v>
      </c>
      <c r="AM62" s="59">
        <f t="shared" si="5"/>
        <v>789.7682282466053</v>
      </c>
      <c r="AN62" s="59">
        <f ca="1">AVERAGE(OFFSET($AM$3,0,0,'Données projet'!$E$10+1,1))-AVERAGE(OFFSET($H$3,0,0,'Données projet'!$E$10+1,1))</f>
        <v>244.70751760575268</v>
      </c>
      <c r="AO62" s="59">
        <f t="shared" si="36"/>
        <v>248.77995374147798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44.121196246956906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44.121196246956906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6.2</v>
      </c>
      <c r="BD62" s="12">
        <f>IF('Données projet'!$A$88&gt;35,BD61+BC62-BL61,IF(A62&lt;'Données projet'!$A$88,$BA$205^A62,IF(A62='Données projet'!$A$88,'Données projet'!$B$88,BD61+BC62-BL61)))</f>
        <v>287.7999999999999</v>
      </c>
      <c r="BE62" s="13">
        <f>BD62*VLOOKUP('Données projet'!$B$11,Paramètres!$A$1:$I$89,3,0)*VLOOKUP('Données projet'!$B$11,Paramètres!$A$1:$I$89,5,0)</f>
        <v>193.05623999999992</v>
      </c>
      <c r="BF62" s="13">
        <f t="shared" si="37"/>
        <v>48.215015311684652</v>
      </c>
      <c r="BG62" s="20">
        <f t="shared" si="7"/>
        <v>420.21410300118396</v>
      </c>
      <c r="BH62" s="59">
        <f t="shared" si="8"/>
        <v>713.54743633451722</v>
      </c>
      <c r="BI62" s="59">
        <f ca="1">AVERAGE(OFFSET($BH$3,0,0,'Données projet'!$E$11+1,1))-AVERAGE(OFFSET($H$3,0,0,'Données projet'!$E$11+1,1))</f>
        <v>195.02599095557656</v>
      </c>
      <c r="BJ62" s="59">
        <f t="shared" si="38"/>
        <v>201.41413798956927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37.200224286649942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37.200224286649942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52.416000000000068</v>
      </c>
      <c r="D63" s="11">
        <f t="shared" si="32"/>
        <v>15.235978301273043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522.22579741333629</v>
      </c>
      <c r="H63" s="66">
        <f t="shared" si="1"/>
        <v>411.16052887471733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273</v>
      </c>
      <c r="L63" s="12">
        <f>VLOOKUP(A63,'Données projet'!$A$35:$I$55,9,0)</f>
        <v>9.4</v>
      </c>
      <c r="M63" s="12">
        <f t="array" ref="M63">INDEX(L:L,MIN(IF(ISNUMBER(L63:L259),ROW(L63:L259),"")))</f>
        <v>9.4</v>
      </c>
      <c r="N63" s="13">
        <f>IF('Données projet'!$A$36&gt;35,N62+M63-V62,IF(A63&lt;'Données projet'!$A$36,$K$205^A63,IF(A63='Données projet'!$A$36,'Données projet'!$B$36,N62+M63-V62)))</f>
        <v>272.99999999999994</v>
      </c>
      <c r="O63" s="13">
        <f>N63*VLOOKUP('Données projet'!$B$9,Paramètres!$A$1:$I$89,3,0)*VLOOKUP('Données projet'!$B$9,Paramètres!$A$1:$I$89,5,0)</f>
        <v>229.9752</v>
      </c>
      <c r="P63" s="13">
        <f t="shared" si="33"/>
        <v>56.277319157664316</v>
      </c>
      <c r="Q63" s="20">
        <f t="shared" si="53"/>
        <v>498.55647086626527</v>
      </c>
      <c r="R63" s="59">
        <f t="shared" si="0"/>
        <v>791.88980419959853</v>
      </c>
      <c r="S63" s="59">
        <f ca="1">AVERAGE(OFFSET($R$3,0,0,'Données projet'!$E$9+1,1))-AVERAGE(OFFSET($H$3,0,0,'Données projet'!$E$9+1,1))</f>
        <v>267.44861001389006</v>
      </c>
      <c r="T63" s="59">
        <f t="shared" si="34"/>
        <v>165.25921510802965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28</v>
      </c>
      <c r="W63" s="16">
        <f>IF(ISNA(VLOOKUP(A63,'Données projet'!$A$35:$I$55,5,0)),0%,VLOOKUP(A63,'Données projet'!$A$35:$I$55,5,0)*VLOOKUP('Données projet'!$B$9,Paramètres!$A$1:$I$89,7,0))</f>
        <v>0.43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53.275052378927562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53.275052378927562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294</v>
      </c>
      <c r="AG63" s="12">
        <f>VLOOKUP(A63,'Données projet'!$A$61:$I$81,9,0)</f>
        <v>6.2</v>
      </c>
      <c r="AH63" s="12">
        <f t="array" ref="AH63">INDEX(AG:AG,MIN(IF(ISNUMBER(AG63:AG259),ROW(AG63:AG259),"")))</f>
        <v>6.2</v>
      </c>
      <c r="AI63" s="13">
        <f>IF('Données projet'!$A$62&gt;35,AI62+AH63-AQ62,IF(A63&lt;'Données projet'!$A$62,$AF$205^A63,IF(A63='Données projet'!$A$62,'Données projet'!$B$62,AI62+AH63-AQ62)))</f>
        <v>293.99999999999989</v>
      </c>
      <c r="AJ63" s="13">
        <f>AI63*VLOOKUP('Données projet'!$B$10,Paramètres!$A$1:$I$89,3,0)*VLOOKUP('Données projet'!$B$10,Paramètres!$A$1:$I$89,5,0)</f>
        <v>233.90639999999991</v>
      </c>
      <c r="AK63" s="13">
        <f t="shared" si="35"/>
        <v>57.126506840778347</v>
      </c>
      <c r="AL63" s="20">
        <f t="shared" si="4"/>
        <v>506.88231274768879</v>
      </c>
      <c r="AM63" s="59">
        <f t="shared" si="5"/>
        <v>800.2156460810221</v>
      </c>
      <c r="AN63" s="59">
        <f ca="1">AVERAGE(OFFSET($AM$3,0,0,'Données projet'!$E$10+1,1))-AVERAGE(OFFSET($H$3,0,0,'Données projet'!$E$10+1,1))</f>
        <v>244.70751760575268</v>
      </c>
      <c r="AO63" s="59">
        <f t="shared" si="36"/>
        <v>248.77995374147798</v>
      </c>
      <c r="AP63" s="15">
        <f>IF(ISNA(VLOOKUP(A63,'Données projet'!$A$61:$I$81,3,0)),0,VLOOKUP(A63,'Données projet'!$A$61:$I$81,3,0))</f>
        <v>10</v>
      </c>
      <c r="AQ63" s="15">
        <f>IF(ISNA(VLOOKUP(A63,'Données projet'!$A$61:$I$81,4,0)),0,VLOOKUP(A63,'Données projet'!$A$61:$I$81,4,0))</f>
        <v>14</v>
      </c>
      <c r="AR63" s="16">
        <f>IF(ISNA(VLOOKUP(A63,'Données projet'!$A$61:$I$81,5,0)),0%,VLOOKUP(A63,'Données projet'!$A$61:$I$81,5,0)*VLOOKUP('Données projet'!$B$10,Paramètres!$A$1:$I$89,7,0))</f>
        <v>0.53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49.781987275783123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49.781987275783123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294</v>
      </c>
      <c r="BB63" s="12">
        <f>VLOOKUP(A63,'Données projet'!$A$87:$I$107,9,0)</f>
        <v>6.2</v>
      </c>
      <c r="BC63" s="12">
        <f t="array" ref="BC63">INDEX(BB:BB,MIN(IF(ISNUMBER(BB63:BB259),ROW(BB63:BB259),"")))</f>
        <v>6.2</v>
      </c>
      <c r="BD63" s="12">
        <f>IF('Données projet'!$A$88&gt;35,BD62+BC63-BL62,IF(A63&lt;'Données projet'!$A$88,$BA$205^A63,IF(A63='Données projet'!$A$88,'Données projet'!$B$88,BD62+BC63-BL62)))</f>
        <v>293.99999999999989</v>
      </c>
      <c r="BE63" s="13">
        <f>BD63*VLOOKUP('Données projet'!$B$11,Paramètres!$A$1:$I$89,3,0)*VLOOKUP('Données projet'!$B$11,Paramètres!$A$1:$I$89,5,0)</f>
        <v>197.21519999999992</v>
      </c>
      <c r="BF63" s="13">
        <f t="shared" si="37"/>
        <v>49.131654421367614</v>
      </c>
      <c r="BG63" s="20">
        <f t="shared" si="7"/>
        <v>429.05410478388177</v>
      </c>
      <c r="BH63" s="59">
        <f t="shared" si="8"/>
        <v>722.38743811721508</v>
      </c>
      <c r="BI63" s="59">
        <f ca="1">AVERAGE(OFFSET($BH$3,0,0,'Données projet'!$E$11+1,1))-AVERAGE(OFFSET($H$3,0,0,'Données projet'!$E$11+1,1))</f>
        <v>195.02599095557656</v>
      </c>
      <c r="BJ63" s="59">
        <f t="shared" si="38"/>
        <v>201.41413798956927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14</v>
      </c>
      <c r="BM63" s="16">
        <f>IF(ISNA(VLOOKUP(A63,'Données projet'!$A$87:$I$107,5,0)),0%,VLOOKUP(A63,'Données projet'!$A$87:$I$107,5,0)*VLOOKUP('Données projet'!$B$11,Paramètres!$A$1:$I$89,7,0))</f>
        <v>0.53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41.973048095268126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41.973048095268126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53.289600000000071</v>
      </c>
      <c r="D64" s="11">
        <f t="shared" si="32"/>
        <v>15.460137169232445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530.69972551688261</v>
      </c>
      <c r="H64" s="66">
        <f t="shared" si="1"/>
        <v>413.07245890307996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8.8000000000000007</v>
      </c>
      <c r="N64" s="13">
        <f>IF('Données projet'!$A$36&gt;35,N63+M64-V63,IF(A64&lt;'Données projet'!$A$36,$K$205^A64,IF(A64='Données projet'!$A$36,'Données projet'!$B$36,N63+M64-V63)))</f>
        <v>253.79999999999995</v>
      </c>
      <c r="O64" s="13">
        <f>N64*VLOOKUP('Données projet'!$B$9,Paramètres!$A$1:$I$89,3,0)*VLOOKUP('Données projet'!$B$9,Paramètres!$A$1:$I$89,5,0)</f>
        <v>213.80112</v>
      </c>
      <c r="P64" s="13">
        <f t="shared" si="33"/>
        <v>52.765356850602878</v>
      </c>
      <c r="Q64" s="20">
        <f t="shared" si="53"/>
        <v>464.2699471814667</v>
      </c>
      <c r="R64" s="59">
        <f t="shared" si="0"/>
        <v>757.60328051479996</v>
      </c>
      <c r="S64" s="59">
        <f ca="1">AVERAGE(OFFSET($R$3,0,0,'Données projet'!$E$9+1,1))-AVERAGE(OFFSET($H$3,0,0,'Données projet'!$E$9+1,1))</f>
        <v>267.44861001389006</v>
      </c>
      <c r="T64" s="59">
        <f t="shared" si="34"/>
        <v>165.25921510802965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52.230361096350173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52.230361096350173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5.2</v>
      </c>
      <c r="AI64" s="13">
        <f>IF('Données projet'!$A$62&gt;35,AI63+AH64-AQ63,IF(A64&lt;'Données projet'!$A$62,$AF$205^A64,IF(A64='Données projet'!$A$62,'Données projet'!$B$62,AI63+AH64-AQ63)))</f>
        <v>285.19999999999987</v>
      </c>
      <c r="AJ64" s="13">
        <f>AI64*VLOOKUP('Données projet'!$B$10,Paramètres!$A$1:$I$89,3,0)*VLOOKUP('Données projet'!$B$10,Paramètres!$A$1:$I$89,5,0)</f>
        <v>226.90511999999993</v>
      </c>
      <c r="AK64" s="13">
        <f t="shared" si="35"/>
        <v>55.612969408444364</v>
      </c>
      <c r="AL64" s="20">
        <f t="shared" si="4"/>
        <v>492.05233905304044</v>
      </c>
      <c r="AM64" s="59">
        <f t="shared" si="5"/>
        <v>785.3856723863737</v>
      </c>
      <c r="AN64" s="59">
        <f ca="1">AVERAGE(OFFSET($AM$3,0,0,'Données projet'!$E$10+1,1))-AVERAGE(OFFSET($H$3,0,0,'Données projet'!$E$10+1,1))</f>
        <v>244.70751760575268</v>
      </c>
      <c r="AO64" s="59">
        <f t="shared" si="36"/>
        <v>248.77995374147798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48.805792869319056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48.805792869319056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5.2</v>
      </c>
      <c r="BD64" s="12">
        <f>IF('Données projet'!$A$88&gt;35,BD63+BC64-BL63,IF(A64&lt;'Données projet'!$A$88,$BA$205^A64,IF(A64='Données projet'!$A$88,'Données projet'!$B$88,BD63+BC64-BL63)))</f>
        <v>285.19999999999987</v>
      </c>
      <c r="BE64" s="13">
        <f>BD64*VLOOKUP('Données projet'!$B$11,Paramètres!$A$1:$I$89,3,0)*VLOOKUP('Données projet'!$B$11,Paramètres!$A$1:$I$89,5,0)</f>
        <v>191.31215999999992</v>
      </c>
      <c r="BF64" s="13">
        <f t="shared" si="37"/>
        <v>47.829936494057634</v>
      </c>
      <c r="BG64" s="20">
        <f t="shared" si="7"/>
        <v>416.50581806048353</v>
      </c>
      <c r="BH64" s="59">
        <f t="shared" si="8"/>
        <v>709.83915139381679</v>
      </c>
      <c r="BI64" s="59">
        <f ca="1">AVERAGE(OFFSET($BH$3,0,0,'Données projet'!$E$11+1,1))-AVERAGE(OFFSET($H$3,0,0,'Données projet'!$E$11+1,1))</f>
        <v>195.02599095557656</v>
      </c>
      <c r="BJ64" s="59">
        <f t="shared" si="38"/>
        <v>201.41413798956927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41.149982223151362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41.149982223151362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54.163200000000074</v>
      </c>
      <c r="D65" s="11">
        <f t="shared" si="32"/>
        <v>15.683868685583311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539.17035476590684</v>
      </c>
      <c r="H65" s="66">
        <f t="shared" si="1"/>
        <v>414.98364462739102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8.8000000000000007</v>
      </c>
      <c r="N65" s="13">
        <f>IF('Données projet'!$A$36&gt;35,N64+M65-V64,IF(A65&lt;'Données projet'!$A$36,$K$205^A65,IF(A65='Données projet'!$A$36,'Données projet'!$B$36,N64+M65-V64)))</f>
        <v>262.59999999999997</v>
      </c>
      <c r="O65" s="13">
        <f>N65*VLOOKUP('Données projet'!$B$9,Paramètres!$A$1:$I$89,3,0)*VLOOKUP('Données projet'!$B$9,Paramètres!$A$1:$I$89,5,0)</f>
        <v>221.21424000000002</v>
      </c>
      <c r="P65" s="13">
        <f t="shared" si="33"/>
        <v>54.378710185570377</v>
      </c>
      <c r="Q65" s="20">
        <f t="shared" si="53"/>
        <v>479.99105490653511</v>
      </c>
      <c r="R65" s="59">
        <f t="shared" si="0"/>
        <v>773.32438823986843</v>
      </c>
      <c r="S65" s="59">
        <f ca="1">AVERAGE(OFFSET($R$3,0,0,'Données projet'!$E$9+1,1))-AVERAGE(OFFSET($H$3,0,0,'Données projet'!$E$9+1,1))</f>
        <v>267.44861001389006</v>
      </c>
      <c r="T65" s="59">
        <f t="shared" si="34"/>
        <v>165.25921510802965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51.206155572625363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51.206155572625363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5.2</v>
      </c>
      <c r="AI65" s="13">
        <f>IF('Données projet'!$A$62&gt;35,AI64+AH65-AQ64,IF(A65&lt;'Données projet'!$A$62,$AF$205^A65,IF(A65='Données projet'!$A$62,'Données projet'!$B$62,AI64+AH65-AQ64)))</f>
        <v>290.39999999999986</v>
      </c>
      <c r="AJ65" s="13">
        <f>AI65*VLOOKUP('Données projet'!$B$10,Paramètres!$A$1:$I$89,3,0)*VLOOKUP('Données projet'!$B$10,Paramètres!$A$1:$I$89,5,0)</f>
        <v>231.04223999999991</v>
      </c>
      <c r="AK65" s="13">
        <f t="shared" si="35"/>
        <v>56.507978852931409</v>
      </c>
      <c r="AL65" s="20">
        <f t="shared" si="4"/>
        <v>500.81663116885539</v>
      </c>
      <c r="AM65" s="59">
        <f t="shared" si="5"/>
        <v>794.14996450218871</v>
      </c>
      <c r="AN65" s="59">
        <f ca="1">AVERAGE(OFFSET($AM$3,0,0,'Données projet'!$E$10+1,1))-AVERAGE(OFFSET($H$3,0,0,'Données projet'!$E$10+1,1))</f>
        <v>244.70751760575268</v>
      </c>
      <c r="AO65" s="59">
        <f t="shared" si="36"/>
        <v>248.77995374147798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47.848741039745953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47.848741039745953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5.2</v>
      </c>
      <c r="BD65" s="12">
        <f>IF('Données projet'!$A$88&gt;35,BD64+BC65-BL64,IF(A65&lt;'Données projet'!$A$88,$BA$205^A65,IF(A65='Données projet'!$A$88,'Données projet'!$B$88,BD64+BC65-BL64)))</f>
        <v>290.39999999999986</v>
      </c>
      <c r="BE65" s="13">
        <f>BD65*VLOOKUP('Données projet'!$B$11,Paramètres!$A$1:$I$89,3,0)*VLOOKUP('Données projet'!$B$11,Paramètres!$A$1:$I$89,5,0)</f>
        <v>194.80031999999991</v>
      </c>
      <c r="BF65" s="13">
        <f t="shared" si="37"/>
        <v>48.599689401459429</v>
      </c>
      <c r="BG65" s="20">
        <f t="shared" si="7"/>
        <v>423.921683040875</v>
      </c>
      <c r="BH65" s="59">
        <f t="shared" si="8"/>
        <v>717.25501637420825</v>
      </c>
      <c r="BI65" s="59">
        <f ca="1">AVERAGE(OFFSET($BH$3,0,0,'Données projet'!$E$11+1,1))-AVERAGE(OFFSET($H$3,0,0,'Données projet'!$E$11+1,1))</f>
        <v>195.02599095557656</v>
      </c>
      <c r="BJ65" s="59">
        <f t="shared" si="38"/>
        <v>201.41413798956927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40.343056170766197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40.343056170766197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55.036800000000078</v>
      </c>
      <c r="D66" s="11">
        <f t="shared" si="32"/>
        <v>15.90718053886436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547.63774451053257</v>
      </c>
      <c r="H66" s="66">
        <f t="shared" si="1"/>
        <v>416.89409943852223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8.8000000000000007</v>
      </c>
      <c r="N66" s="13">
        <f>IF('Données projet'!$A$36&gt;35,N65+M66-V65,IF(A66&lt;'Données projet'!$A$36,$K$205^A66,IF(A66='Données projet'!$A$36,'Données projet'!$B$36,N65+M66-V65)))</f>
        <v>271.39999999999998</v>
      </c>
      <c r="O66" s="13">
        <f>N66*VLOOKUP('Données projet'!$B$9,Paramètres!$A$1:$I$89,3,0)*VLOOKUP('Données projet'!$B$9,Paramètres!$A$1:$I$89,5,0)</f>
        <v>228.62735999999998</v>
      </c>
      <c r="P66" s="13">
        <f t="shared" si="33"/>
        <v>55.985781352428695</v>
      </c>
      <c r="Q66" s="20">
        <f t="shared" si="53"/>
        <v>495.70122118881324</v>
      </c>
      <c r="R66" s="59">
        <f t="shared" si="0"/>
        <v>789.03455452214655</v>
      </c>
      <c r="S66" s="59">
        <f ca="1">AVERAGE(OFFSET($R$3,0,0,'Données projet'!$E$9+1,1))-AVERAGE(OFFSET($H$3,0,0,'Données projet'!$E$9+1,1))</f>
        <v>267.44861001389006</v>
      </c>
      <c r="T66" s="59">
        <f t="shared" si="34"/>
        <v>165.25921510802965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50.20203409451711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50.20203409451711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5.2</v>
      </c>
      <c r="AI66" s="13">
        <f>IF('Données projet'!$A$62&gt;35,AI65+AH66-AQ65,IF(A66&lt;'Données projet'!$A$62,$AF$205^A66,IF(A66='Données projet'!$A$62,'Données projet'!$B$62,AI65+AH66-AQ65)))</f>
        <v>295.59999999999985</v>
      </c>
      <c r="AJ66" s="13">
        <f>AI66*VLOOKUP('Données projet'!$B$10,Paramètres!$A$1:$I$89,3,0)*VLOOKUP('Données projet'!$B$10,Paramètres!$A$1:$I$89,5,0)</f>
        <v>235.17935999999989</v>
      </c>
      <c r="AK66" s="13">
        <f t="shared" si="35"/>
        <v>57.401124668909425</v>
      </c>
      <c r="AL66" s="20">
        <f t="shared" si="4"/>
        <v>509.57767746501708</v>
      </c>
      <c r="AM66" s="59">
        <f t="shared" si="5"/>
        <v>802.91101079835039</v>
      </c>
      <c r="AN66" s="59">
        <f ca="1">AVERAGE(OFFSET($AM$3,0,0,'Données projet'!$E$10+1,1))-AVERAGE(OFFSET($H$3,0,0,'Données projet'!$E$10+1,1))</f>
        <v>244.70751760575268</v>
      </c>
      <c r="AO66" s="59">
        <f t="shared" si="36"/>
        <v>248.77995374147798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46.910456412806802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46.910456412806802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5.2</v>
      </c>
      <c r="BD66" s="12">
        <f>IF('Données projet'!$A$88&gt;35,BD65+BC66-BL65,IF(A66&lt;'Données projet'!$A$88,$BA$205^A66,IF(A66='Données projet'!$A$88,'Données projet'!$B$88,BD65+BC66-BL65)))</f>
        <v>295.59999999999985</v>
      </c>
      <c r="BE66" s="13">
        <f>BD66*VLOOKUP('Données projet'!$B$11,Paramètres!$A$1:$I$89,3,0)*VLOOKUP('Données projet'!$B$11,Paramètres!$A$1:$I$89,5,0)</f>
        <v>198.28847999999991</v>
      </c>
      <c r="BF66" s="13">
        <f t="shared" si="37"/>
        <v>49.367839495089839</v>
      </c>
      <c r="BG66" s="20">
        <f t="shared" si="7"/>
        <v>431.33475645394793</v>
      </c>
      <c r="BH66" s="59">
        <f t="shared" si="8"/>
        <v>724.66808978728125</v>
      </c>
      <c r="BI66" s="59">
        <f ca="1">AVERAGE(OFFSET($BH$3,0,0,'Données projet'!$E$11+1,1))-AVERAGE(OFFSET($H$3,0,0,'Données projet'!$E$11+1,1))</f>
        <v>195.02599095557656</v>
      </c>
      <c r="BJ66" s="59">
        <f t="shared" si="38"/>
        <v>201.41413798956927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39.551953446092014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39.551953446092014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55.910400000000081</v>
      </c>
      <c r="D67" s="11">
        <f t="shared" si="32"/>
        <v>16.130080159534312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556.10195210868665</v>
      </c>
      <c r="H67" s="66">
        <f t="shared" si="1"/>
        <v>418.80383627785574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8.8000000000000007</v>
      </c>
      <c r="N67" s="13">
        <f>IF('Données projet'!$A$36&gt;35,N66+M67-V66,IF(A67&lt;'Données projet'!$A$36,$K$205^A67,IF(A67='Données projet'!$A$36,'Données projet'!$B$36,N66+M67-V66)))</f>
        <v>280.2</v>
      </c>
      <c r="O67" s="13">
        <f>N67*VLOOKUP('Données projet'!$B$9,Paramètres!$A$1:$I$89,3,0)*VLOOKUP('Données projet'!$B$9,Paramètres!$A$1:$I$89,5,0)</f>
        <v>236.04048</v>
      </c>
      <c r="P67" s="13">
        <f t="shared" si="33"/>
        <v>57.586797409506879</v>
      </c>
      <c r="Q67" s="20">
        <f t="shared" ref="Q67:Q98" si="54">(O67+P67)*0.475*44/12</f>
        <v>511.40084148822439</v>
      </c>
      <c r="R67" s="59">
        <f t="shared" ref="R67:R130" si="55">Q67+(I67+J67)*44/12</f>
        <v>804.73417482155764</v>
      </c>
      <c r="S67" s="59">
        <f ca="1">AVERAGE(OFFSET($R$3,0,0,'Données projet'!$E$9+1,1))-AVERAGE(OFFSET($H$3,0,0,'Données projet'!$E$9+1,1))</f>
        <v>267.44861001389006</v>
      </c>
      <c r="T67" s="59">
        <f t="shared" si="34"/>
        <v>165.25921510802965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49.217602826140933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49.217602826140933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5.2</v>
      </c>
      <c r="AI67" s="13">
        <f>IF('Données projet'!$A$62&gt;35,AI66+AH67-AQ66,IF(A67&lt;'Données projet'!$A$62,$AF$205^A67,IF(A67='Données projet'!$A$62,'Données projet'!$B$62,AI66+AH67-AQ66)))</f>
        <v>300.79999999999984</v>
      </c>
      <c r="AJ67" s="13">
        <f>AI67*VLOOKUP('Données projet'!$B$10,Paramètres!$A$1:$I$89,3,0)*VLOOKUP('Données projet'!$B$10,Paramètres!$A$1:$I$89,5,0)</f>
        <v>239.3164799999999</v>
      </c>
      <c r="AK67" s="13">
        <f t="shared" si="35"/>
        <v>58.292443422481945</v>
      </c>
      <c r="AL67" s="20">
        <f t="shared" si="4"/>
        <v>518.33554162748919</v>
      </c>
      <c r="AM67" s="59">
        <f t="shared" si="5"/>
        <v>811.66887496082245</v>
      </c>
      <c r="AN67" s="59">
        <f ca="1">AVERAGE(OFFSET($AM$3,0,0,'Données projet'!$E$10+1,1))-AVERAGE(OFFSET($H$3,0,0,'Données projet'!$E$10+1,1))</f>
        <v>244.70751760575268</v>
      </c>
      <c r="AO67" s="59">
        <f t="shared" si="36"/>
        <v>248.77995374147798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45.990570975104816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45.990570975104816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5.2</v>
      </c>
      <c r="BD67" s="12">
        <f>IF('Données projet'!$A$88&gt;35,BD66+BC67-BL66,IF(A67&lt;'Données projet'!$A$88,$BA$205^A67,IF(A67='Données projet'!$A$88,'Données projet'!$B$88,BD66+BC67-BL66)))</f>
        <v>300.79999999999984</v>
      </c>
      <c r="BE67" s="13">
        <f>BD67*VLOOKUP('Données projet'!$B$11,Paramètres!$A$1:$I$89,3,0)*VLOOKUP('Données projet'!$B$11,Paramètres!$A$1:$I$89,5,0)</f>
        <v>201.7766399999999</v>
      </c>
      <c r="BF67" s="13">
        <f t="shared" si="37"/>
        <v>50.134418223627677</v>
      </c>
      <c r="BG67" s="20">
        <f t="shared" si="7"/>
        <v>438.74509307281801</v>
      </c>
      <c r="BH67" s="59">
        <f t="shared" si="8"/>
        <v>732.07842640615127</v>
      </c>
      <c r="BI67" s="59">
        <f ca="1">AVERAGE(OFFSET($BH$3,0,0,'Données projet'!$E$11+1,1))-AVERAGE(OFFSET($H$3,0,0,'Données projet'!$E$11+1,1))</f>
        <v>195.02599095557656</v>
      </c>
      <c r="BJ67" s="59">
        <f t="shared" si="38"/>
        <v>201.41413798956927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38.776363763323673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38.776363763323673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56.784000000000084</v>
      </c>
      <c r="D68" s="11">
        <f t="shared" si="32"/>
        <v>16.352574732529369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564.56303302303434</v>
      </c>
      <c r="H68" s="66">
        <f t="shared" ref="H68:H131" si="56">(B68+E68+F68)*44/12+(C68+D68)*0.475*44/12</f>
        <v>420.71286765915545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289</v>
      </c>
      <c r="L68" s="12">
        <f>VLOOKUP(A68,'Données projet'!$A$35:$I$55,9,0)</f>
        <v>8.8000000000000007</v>
      </c>
      <c r="M68" s="12">
        <f t="array" ref="M68">INDEX(L:L,MIN(IF(ISNUMBER(L68:L264),ROW(L68:L264),"")))</f>
        <v>8.8000000000000007</v>
      </c>
      <c r="N68" s="13">
        <f>IF('Données projet'!$A$36&gt;35,N67+M68-V67,IF(A68&lt;'Données projet'!$A$36,$K$205^A68,IF(A68='Données projet'!$A$36,'Données projet'!$B$36,N67+M68-V67)))</f>
        <v>289</v>
      </c>
      <c r="O68" s="13">
        <f>N68*VLOOKUP('Données projet'!$B$9,Paramètres!$A$1:$I$89,3,0)*VLOOKUP('Données projet'!$B$9,Paramètres!$A$1:$I$89,5,0)</f>
        <v>243.45360000000002</v>
      </c>
      <c r="P68" s="13">
        <f t="shared" si="33"/>
        <v>59.181970343065316</v>
      </c>
      <c r="Q68" s="20">
        <f t="shared" si="54"/>
        <v>527.09028501417208</v>
      </c>
      <c r="R68" s="59">
        <f t="shared" si="55"/>
        <v>820.42361834750545</v>
      </c>
      <c r="S68" s="59">
        <f ca="1">AVERAGE(OFFSET($R$3,0,0,'Données projet'!$E$9+1,1))-AVERAGE(OFFSET($H$3,0,0,'Données projet'!$E$9+1,1))</f>
        <v>267.44861001389006</v>
      </c>
      <c r="T68" s="59">
        <f t="shared" si="34"/>
        <v>165.25921510802965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28</v>
      </c>
      <c r="W68" s="16">
        <f>IF(ISNA(VLOOKUP(A68,'Données projet'!$A$35:$I$55,5,0)),0%,VLOOKUP(A68,'Données projet'!$A$35:$I$55,5,0)*VLOOKUP('Données projet'!$B$9,Paramètres!$A$1:$I$89,7,0))</f>
        <v>0.43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59.464704557025257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59.464704557025257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306</v>
      </c>
      <c r="AG68" s="12">
        <f>VLOOKUP(A68,'Données projet'!$A$61:$I$81,9,0)</f>
        <v>5.2</v>
      </c>
      <c r="AH68" s="12">
        <f t="array" ref="AH68">INDEX(AG:AG,MIN(IF(ISNUMBER(AG68:AG264),ROW(AG68:AG264),"")))</f>
        <v>5.2</v>
      </c>
      <c r="AI68" s="13">
        <f>IF('Données projet'!$A$62&gt;35,AI67+AH68-AQ67,IF(A68&lt;'Données projet'!$A$62,$AF$205^A68,IF(A68='Données projet'!$A$62,'Données projet'!$B$62,AI67+AH68-AQ67)))</f>
        <v>305.99999999999983</v>
      </c>
      <c r="AJ68" s="13">
        <f>AI68*VLOOKUP('Données projet'!$B$10,Paramètres!$A$1:$I$89,3,0)*VLOOKUP('Données projet'!$B$10,Paramètres!$A$1:$I$89,5,0)</f>
        <v>243.45359999999988</v>
      </c>
      <c r="AK68" s="13">
        <f t="shared" si="35"/>
        <v>59.181970343065267</v>
      </c>
      <c r="AL68" s="20">
        <f t="shared" ref="AL68:AL131" si="58">(AJ68+AK68)*0.475*44/12</f>
        <v>527.09028501417163</v>
      </c>
      <c r="AM68" s="59">
        <f t="shared" ref="AM68:AM131" si="59">AL68+(AD68+AE68)*44/12</f>
        <v>820.423618347505</v>
      </c>
      <c r="AN68" s="59">
        <f ca="1">AVERAGE(OFFSET($AM$3,0,0,'Données projet'!$E$10+1,1))-AVERAGE(OFFSET($H$3,0,0,'Données projet'!$E$10+1,1))</f>
        <v>244.70751760575268</v>
      </c>
      <c r="AO68" s="59">
        <f t="shared" si="36"/>
        <v>248.77995374147798</v>
      </c>
      <c r="AP68" s="15">
        <f>IF(ISNA(VLOOKUP(A68,'Données projet'!$A$61:$I$81,3,0)),0,VLOOKUP(A68,'Données projet'!$A$61:$I$81,3,0))</f>
        <v>11</v>
      </c>
      <c r="AQ68" s="15">
        <f>IF(ISNA(VLOOKUP(A68,'Données projet'!$A$61:$I$81,4,0)),0,VLOOKUP(A68,'Données projet'!$A$61:$I$81,4,0))</f>
        <v>13</v>
      </c>
      <c r="AR68" s="16">
        <f>IF(ISNA(VLOOKUP(A68,'Données projet'!$A$61:$I$81,5,0)),0%,VLOOKUP(A68,'Données projet'!$A$61:$I$81,5,0)*VLOOKUP('Données projet'!$B$10,Paramètres!$A$1:$I$89,7,0))</f>
        <v>0.53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51.148563221721147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51.148563221721147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306</v>
      </c>
      <c r="BB68" s="12">
        <f>VLOOKUP(A68,'Données projet'!$A$87:$I$107,9,0)</f>
        <v>5.2</v>
      </c>
      <c r="BC68" s="12">
        <f t="array" ref="BC68">INDEX(BB:BB,MIN(IF(ISNUMBER(BB68:BB264),ROW(BB68:BB264),"")))</f>
        <v>5.2</v>
      </c>
      <c r="BD68" s="12">
        <f>IF('Données projet'!$A$88&gt;35,BD67+BC68-BL67,IF(A68&lt;'Données projet'!$A$88,$BA$205^A68,IF(A68='Données projet'!$A$88,'Données projet'!$B$88,BD67+BC68-BL67)))</f>
        <v>305.99999999999983</v>
      </c>
      <c r="BE68" s="13">
        <f>BD68*VLOOKUP('Données projet'!$B$11,Paramètres!$A$1:$I$89,3,0)*VLOOKUP('Données projet'!$B$11,Paramètres!$A$1:$I$89,5,0)</f>
        <v>205.26479999999989</v>
      </c>
      <c r="BF68" s="13">
        <f t="shared" si="37"/>
        <v>50.899455886133694</v>
      </c>
      <c r="BG68" s="20">
        <f t="shared" ref="BG68:BG131" si="61">(BE68+BF68)*0.475*44/12</f>
        <v>446.15274566834927</v>
      </c>
      <c r="BH68" s="59">
        <f t="shared" ref="BH68:BH131" si="62">BG68+(AY68+AZ68)*44/12</f>
        <v>739.48607900168258</v>
      </c>
      <c r="BI68" s="59">
        <f ca="1">AVERAGE(OFFSET($BH$3,0,0,'Données projet'!$E$11+1,1))-AVERAGE(OFFSET($H$3,0,0,'Données projet'!$E$11+1,1))</f>
        <v>195.02599095557656</v>
      </c>
      <c r="BJ68" s="59">
        <f t="shared" si="38"/>
        <v>201.41413798956927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13</v>
      </c>
      <c r="BM68" s="16">
        <f>IF(ISNA(VLOOKUP(A68,'Données projet'!$A$87:$I$107,5,0)),0%,VLOOKUP(A68,'Données projet'!$A$87:$I$107,5,0)*VLOOKUP('Données projet'!$B$11,Paramètres!$A$1:$I$89,7,0))</f>
        <v>0.53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43.125259186941364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43.125259186941364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57.657600000000087</v>
      </c>
      <c r="D69" s="11">
        <f t="shared" ref="D69:D132" si="86">IFERROR(EXP(-1.0587+0.8836*LN(C69)+0.284),0)</f>
        <v>16.574671209026054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573.02104091178069</v>
      </c>
      <c r="H69" s="66">
        <f t="shared" si="56"/>
        <v>422.6212056890538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8.1999999999999993</v>
      </c>
      <c r="N69" s="13">
        <f>IF('Données projet'!$A$36&gt;35,N68+M69-V68,IF(A69&lt;'Données projet'!$A$36,$K$205^A69,IF(A69='Données projet'!$A$36,'Données projet'!$B$36,N68+M69-V68)))</f>
        <v>269.2</v>
      </c>
      <c r="O69" s="13">
        <f>N69*VLOOKUP('Données projet'!$B$9,Paramètres!$A$1:$I$89,3,0)*VLOOKUP('Données projet'!$B$9,Paramètres!$A$1:$I$89,5,0)</f>
        <v>226.77408</v>
      </c>
      <c r="P69" s="13">
        <f t="shared" ref="P69:P132" si="87">EXP(-1.0587+0.8836*LN(O69)+0.284)</f>
        <v>55.584589827360034</v>
      </c>
      <c r="Q69" s="20">
        <f t="shared" si="54"/>
        <v>491.77468328265195</v>
      </c>
      <c r="R69" s="59">
        <f t="shared" si="55"/>
        <v>785.10801661598521</v>
      </c>
      <c r="S69" s="59">
        <f ca="1">AVERAGE(OFFSET($R$3,0,0,'Données projet'!$E$9+1,1))-AVERAGE(OFFSET($H$3,0,0,'Données projet'!$E$9+1,1))</f>
        <v>267.44861001389006</v>
      </c>
      <c r="T69" s="59">
        <f t="shared" ref="T69:T132" si="88">$T$3</f>
        <v>165.25921510802965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58.298637970550416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58.298637970550416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4.5999999999999996</v>
      </c>
      <c r="AI69" s="13">
        <f>IF('Données projet'!$A$62&gt;35,AI68+AH69-AQ68,IF(A69&lt;'Données projet'!$A$62,$AF$205^A69,IF(A69='Données projet'!$A$62,'Données projet'!$B$62,AI68+AH69-AQ68)))</f>
        <v>297.59999999999985</v>
      </c>
      <c r="AJ69" s="13">
        <f>AI69*VLOOKUP('Données projet'!$B$10,Paramètres!$A$1:$I$89,3,0)*VLOOKUP('Données projet'!$B$10,Paramètres!$A$1:$I$89,5,0)</f>
        <v>236.7705599999999</v>
      </c>
      <c r="AK69" s="13">
        <f t="shared" ref="AK69:AK132" si="89">EXP(-1.0587+0.8836*LN(AJ69)+0.284)</f>
        <v>57.744153841586879</v>
      </c>
      <c r="AL69" s="20">
        <f t="shared" si="58"/>
        <v>512.9464599407637</v>
      </c>
      <c r="AM69" s="59">
        <f t="shared" si="59"/>
        <v>806.27979327409707</v>
      </c>
      <c r="AN69" s="59">
        <f ca="1">AVERAGE(OFFSET($AM$3,0,0,'Données projet'!$E$10+1,1))-AVERAGE(OFFSET($H$3,0,0,'Données projet'!$E$10+1,1))</f>
        <v>244.70751760575268</v>
      </c>
      <c r="AO69" s="59">
        <f t="shared" ref="AO69:AO132" si="90">$AO$3</f>
        <v>248.77995374147798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50.145571094486257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50.145571094486257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4.5999999999999996</v>
      </c>
      <c r="BD69" s="12">
        <f>IF('Données projet'!$A$88&gt;35,BD68+BC69-BL68,IF(A69&lt;'Données projet'!$A$88,$BA$205^A69,IF(A69='Données projet'!$A$88,'Données projet'!$B$88,BD68+BC69-BL68)))</f>
        <v>297.59999999999985</v>
      </c>
      <c r="BE69" s="13">
        <f>BD69*VLOOKUP('Données projet'!$B$11,Paramètres!$A$1:$I$89,3,0)*VLOOKUP('Données projet'!$B$11,Paramètres!$A$1:$I$89,5,0)</f>
        <v>199.63007999999991</v>
      </c>
      <c r="BF69" s="13">
        <f t="shared" ref="BF69:BF132" si="91">EXP(-1.0587+0.8836*LN(BE69)+0.284)</f>
        <v>49.662861748339331</v>
      </c>
      <c r="BG69" s="20">
        <f t="shared" si="61"/>
        <v>434.18520687835752</v>
      </c>
      <c r="BH69" s="59">
        <f t="shared" si="62"/>
        <v>727.51854021169083</v>
      </c>
      <c r="BI69" s="59">
        <f ca="1">AVERAGE(OFFSET($BH$3,0,0,'Données projet'!$E$11+1,1))-AVERAGE(OFFSET($H$3,0,0,'Données projet'!$E$11+1,1))</f>
        <v>195.02599095557656</v>
      </c>
      <c r="BJ69" s="59">
        <f t="shared" ref="BJ69:BJ132" si="92">$BJ$3</f>
        <v>201.41413798956927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42.279599158096261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42.279599158096261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58.531200000000091</v>
      </c>
      <c r="D70" s="11">
        <f t="shared" si="86"/>
        <v>16.796376317470774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581.47602771381014</v>
      </c>
      <c r="H70" s="66">
        <f t="shared" si="56"/>
        <v>424.52886208626171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8.1999999999999993</v>
      </c>
      <c r="N70" s="13">
        <f>IF('Données projet'!$A$36&gt;35,N69+M70-V69,IF(A70&lt;'Données projet'!$A$36,$K$205^A70,IF(A70='Données projet'!$A$36,'Données projet'!$B$36,N69+M70-V69)))</f>
        <v>277.39999999999998</v>
      </c>
      <c r="O70" s="13">
        <f>N70*VLOOKUP('Données projet'!$B$9,Paramètres!$A$1:$I$89,3,0)*VLOOKUP('Données projet'!$B$9,Paramètres!$A$1:$I$89,5,0)</f>
        <v>233.68176</v>
      </c>
      <c r="P70" s="13">
        <f t="shared" si="87"/>
        <v>57.078026837098335</v>
      </c>
      <c r="Q70" s="20">
        <f t="shared" si="54"/>
        <v>506.40662874127952</v>
      </c>
      <c r="R70" s="59">
        <f t="shared" si="55"/>
        <v>799.73996207461278</v>
      </c>
      <c r="S70" s="59">
        <f ca="1">AVERAGE(OFFSET($R$3,0,0,'Données projet'!$E$9+1,1))-AVERAGE(OFFSET($H$3,0,0,'Données projet'!$E$9+1,1))</f>
        <v>267.44861001389006</v>
      </c>
      <c r="T70" s="59">
        <f t="shared" si="88"/>
        <v>165.25921510802965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57.155437238605955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57.155437238605955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4.5999999999999996</v>
      </c>
      <c r="AI70" s="13">
        <f>IF('Données projet'!$A$62&gt;35,AI69+AH70-AQ69,IF(A70&lt;'Données projet'!$A$62,$AF$205^A70,IF(A70='Données projet'!$A$62,'Données projet'!$B$62,AI69+AH70-AQ69)))</f>
        <v>302.19999999999987</v>
      </c>
      <c r="AJ70" s="13">
        <f>AI70*VLOOKUP('Données projet'!$B$10,Paramètres!$A$1:$I$89,3,0)*VLOOKUP('Données projet'!$B$10,Paramètres!$A$1:$I$89,5,0)</f>
        <v>240.43031999999991</v>
      </c>
      <c r="AK70" s="13">
        <f t="shared" si="89"/>
        <v>58.532106271380506</v>
      </c>
      <c r="AL70" s="20">
        <f t="shared" si="58"/>
        <v>520.69289242265415</v>
      </c>
      <c r="AM70" s="59">
        <f t="shared" si="59"/>
        <v>814.02622575598753</v>
      </c>
      <c r="AN70" s="59">
        <f ca="1">AVERAGE(OFFSET($AM$3,0,0,'Données projet'!$E$10+1,1))-AVERAGE(OFFSET($H$3,0,0,'Données projet'!$E$10+1,1))</f>
        <v>244.70751760575268</v>
      </c>
      <c r="AO70" s="59">
        <f t="shared" si="90"/>
        <v>248.77995374147798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49.162247031101657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49.162247031101657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4.5999999999999996</v>
      </c>
      <c r="BD70" s="12">
        <f>IF('Données projet'!$A$88&gt;35,BD69+BC70-BL69,IF(A70&lt;'Données projet'!$A$88,$BA$205^A70,IF(A70='Données projet'!$A$88,'Données projet'!$B$88,BD69+BC70-BL69)))</f>
        <v>302.19999999999987</v>
      </c>
      <c r="BE70" s="13">
        <f>BD70*VLOOKUP('Données projet'!$B$11,Paramètres!$A$1:$I$89,3,0)*VLOOKUP('Données projet'!$B$11,Paramètres!$A$1:$I$89,5,0)</f>
        <v>202.7157599999999</v>
      </c>
      <c r="BF70" s="13">
        <f t="shared" si="91"/>
        <v>50.340540266106856</v>
      </c>
      <c r="BG70" s="20">
        <f t="shared" si="61"/>
        <v>440.73972296346921</v>
      </c>
      <c r="BH70" s="59">
        <f t="shared" si="62"/>
        <v>734.07305629680252</v>
      </c>
      <c r="BI70" s="59">
        <f ca="1">AVERAGE(OFFSET($BH$3,0,0,'Données projet'!$E$11+1,1))-AVERAGE(OFFSET($H$3,0,0,'Données projet'!$E$11+1,1))</f>
        <v>195.02599095557656</v>
      </c>
      <c r="BJ70" s="59">
        <f t="shared" si="92"/>
        <v>201.41413798956927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41.450522006615124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41.450522006615124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59.404800000000094</v>
      </c>
      <c r="D71" s="11">
        <f t="shared" si="86"/>
        <v>17.017696573932405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589.92804372860189</v>
      </c>
      <c r="H71" s="66">
        <f t="shared" si="56"/>
        <v>426.43584819959909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8.1999999999999993</v>
      </c>
      <c r="N71" s="13">
        <f>IF('Données projet'!$A$36&gt;35,N70+M71-V70,IF(A71&lt;'Données projet'!$A$36,$K$205^A71,IF(A71='Données projet'!$A$36,'Données projet'!$B$36,N70+M71-V70)))</f>
        <v>285.59999999999997</v>
      </c>
      <c r="O71" s="13">
        <f>N71*VLOOKUP('Données projet'!$B$9,Paramètres!$A$1:$I$89,3,0)*VLOOKUP('Données projet'!$B$9,Paramètres!$A$1:$I$89,5,0)</f>
        <v>240.58944</v>
      </c>
      <c r="P71" s="13">
        <f t="shared" si="87"/>
        <v>58.56633325847811</v>
      </c>
      <c r="Q71" s="20">
        <f t="shared" si="54"/>
        <v>521.02963842518272</v>
      </c>
      <c r="R71" s="59">
        <f t="shared" si="55"/>
        <v>814.3629717585161</v>
      </c>
      <c r="S71" s="59">
        <f ca="1">AVERAGE(OFFSET($R$3,0,0,'Données projet'!$E$9+1,1))-AVERAGE(OFFSET($H$3,0,0,'Données projet'!$E$9+1,1))</f>
        <v>267.44861001389006</v>
      </c>
      <c r="T71" s="59">
        <f t="shared" si="88"/>
        <v>165.25921510802965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56.034653975731331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56.034653975731331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4.5999999999999996</v>
      </c>
      <c r="AI71" s="13">
        <f>IF('Données projet'!$A$62&gt;35,AI70+AH71-AQ70,IF(A71&lt;'Données projet'!$A$62,$AF$205^A71,IF(A71='Données projet'!$A$62,'Données projet'!$B$62,AI70+AH71-AQ70)))</f>
        <v>306.7999999999999</v>
      </c>
      <c r="AJ71" s="13">
        <f>AI71*VLOOKUP('Données projet'!$B$10,Paramètres!$A$1:$I$89,3,0)*VLOOKUP('Données projet'!$B$10,Paramètres!$A$1:$I$89,5,0)</f>
        <v>244.09007999999994</v>
      </c>
      <c r="AK71" s="13">
        <f t="shared" si="89"/>
        <v>59.318663780863893</v>
      </c>
      <c r="AL71" s="20">
        <f t="shared" si="58"/>
        <v>528.43689541833794</v>
      </c>
      <c r="AM71" s="59">
        <f t="shared" si="59"/>
        <v>821.77022875167131</v>
      </c>
      <c r="AN71" s="59">
        <f ca="1">AVERAGE(OFFSET($AM$3,0,0,'Données projet'!$E$10+1,1))-AVERAGE(OFFSET($H$3,0,0,'Données projet'!$E$10+1,1))</f>
        <v>244.70751760575268</v>
      </c>
      <c r="AO71" s="59">
        <f t="shared" si="90"/>
        <v>248.77995374147798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48.198205352831572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48.198205352831572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4.5999999999999996</v>
      </c>
      <c r="BD71" s="12">
        <f>IF('Données projet'!$A$88&gt;35,BD70+BC71-BL70,IF(A71&lt;'Données projet'!$A$88,$BA$205^A71,IF(A71='Données projet'!$A$88,'Données projet'!$B$88,BD70+BC71-BL70)))</f>
        <v>306.7999999999999</v>
      </c>
      <c r="BE71" s="13">
        <f>BD71*VLOOKUP('Données projet'!$B$11,Paramètres!$A$1:$I$89,3,0)*VLOOKUP('Données projet'!$B$11,Paramètres!$A$1:$I$89,5,0)</f>
        <v>205.80143999999993</v>
      </c>
      <c r="BF71" s="13">
        <f t="shared" si="91"/>
        <v>51.017019082607604</v>
      </c>
      <c r="BG71" s="20">
        <f t="shared" si="61"/>
        <v>447.29214956887478</v>
      </c>
      <c r="BH71" s="59">
        <f t="shared" si="62"/>
        <v>740.62548290220809</v>
      </c>
      <c r="BI71" s="59">
        <f ca="1">AVERAGE(OFFSET($BH$3,0,0,'Données projet'!$E$11+1,1))-AVERAGE(OFFSET($H$3,0,0,'Données projet'!$E$11+1,1))</f>
        <v>195.02599095557656</v>
      </c>
      <c r="BJ71" s="59">
        <f t="shared" si="92"/>
        <v>201.41413798956927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40.637702552387402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40.637702552387402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60.278400000000097</v>
      </c>
      <c r="D72" s="11">
        <f t="shared" si="86"/>
        <v>17.238638291828423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598.37713769130789</v>
      </c>
      <c r="H72" s="66">
        <f t="shared" si="56"/>
        <v>428.34217502493465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8.1999999999999993</v>
      </c>
      <c r="N72" s="13">
        <f>IF('Données projet'!$A$36&gt;35,N71+M72-V71,IF(A72&lt;'Données projet'!$A$36,$K$205^A72,IF(A72='Données projet'!$A$36,'Données projet'!$B$36,N71+M72-V71)))</f>
        <v>293.79999999999995</v>
      </c>
      <c r="O72" s="13">
        <f>N72*VLOOKUP('Données projet'!$B$9,Paramètres!$A$1:$I$89,3,0)*VLOOKUP('Données projet'!$B$9,Paramètres!$A$1:$I$89,5,0)</f>
        <v>247.49712</v>
      </c>
      <c r="P72" s="13">
        <f t="shared" si="87"/>
        <v>60.049673316050104</v>
      </c>
      <c r="Q72" s="20">
        <f t="shared" si="54"/>
        <v>535.64399835878714</v>
      </c>
      <c r="R72" s="59">
        <f t="shared" si="55"/>
        <v>828.97733169212052</v>
      </c>
      <c r="S72" s="59">
        <f ca="1">AVERAGE(OFFSET($R$3,0,0,'Données projet'!$E$9+1,1))-AVERAGE(OFFSET($H$3,0,0,'Données projet'!$E$9+1,1))</f>
        <v>267.44861001389006</v>
      </c>
      <c r="T72" s="59">
        <f t="shared" si="88"/>
        <v>165.25921510802965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54.935848589031387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54.935848589031387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4.5999999999999996</v>
      </c>
      <c r="AI72" s="13">
        <f>IF('Données projet'!$A$62&gt;35,AI71+AH72-AQ71,IF(A72&lt;'Données projet'!$A$62,$AF$205^A72,IF(A72='Données projet'!$A$62,'Données projet'!$B$62,AI71+AH72-AQ71)))</f>
        <v>311.39999999999992</v>
      </c>
      <c r="AJ72" s="13">
        <f>AI72*VLOOKUP('Données projet'!$B$10,Paramètres!$A$1:$I$89,3,0)*VLOOKUP('Données projet'!$B$10,Paramètres!$A$1:$I$89,5,0)</f>
        <v>247.74983999999995</v>
      </c>
      <c r="AK72" s="13">
        <f t="shared" si="89"/>
        <v>60.103849700617872</v>
      </c>
      <c r="AL72" s="20">
        <f t="shared" si="58"/>
        <v>536.17850956190932</v>
      </c>
      <c r="AM72" s="59">
        <f t="shared" si="59"/>
        <v>829.51184289524258</v>
      </c>
      <c r="AN72" s="59">
        <f ca="1">AVERAGE(OFFSET($AM$3,0,0,'Données projet'!$E$10+1,1))-AVERAGE(OFFSET($H$3,0,0,'Données projet'!$E$10+1,1))</f>
        <v>244.70751760575268</v>
      </c>
      <c r="AO72" s="59">
        <f t="shared" si="90"/>
        <v>248.77995374147798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47.253067943864998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47.253067943864998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4.5999999999999996</v>
      </c>
      <c r="BD72" s="12">
        <f>IF('Données projet'!$A$88&gt;35,BD71+BC72-BL71,IF(A72&lt;'Données projet'!$A$88,$BA$205^A72,IF(A72='Données projet'!$A$88,'Données projet'!$B$88,BD71+BC72-BL71)))</f>
        <v>311.39999999999992</v>
      </c>
      <c r="BE72" s="13">
        <f>BD72*VLOOKUP('Données projet'!$B$11,Paramètres!$A$1:$I$89,3,0)*VLOOKUP('Données projet'!$B$11,Paramètres!$A$1:$I$89,5,0)</f>
        <v>208.88711999999995</v>
      </c>
      <c r="BF72" s="13">
        <f t="shared" si="91"/>
        <v>51.692318263308358</v>
      </c>
      <c r="BG72" s="20">
        <f t="shared" si="61"/>
        <v>453.84252164192861</v>
      </c>
      <c r="BH72" s="59">
        <f t="shared" si="62"/>
        <v>747.17585497526193</v>
      </c>
      <c r="BI72" s="59">
        <f ca="1">AVERAGE(OFFSET($BH$3,0,0,'Données projet'!$E$11+1,1))-AVERAGE(OFFSET($H$3,0,0,'Données projet'!$E$11+1,1))</f>
        <v>195.02599095557656</v>
      </c>
      <c r="BJ72" s="59">
        <f t="shared" si="92"/>
        <v>201.41413798956927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39.840821991886173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39.840821991886173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61.1520000000001</v>
      </c>
      <c r="D73" s="11">
        <f t="shared" si="86"/>
        <v>17.45920759107128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606.82335684335806</v>
      </c>
      <c r="H73" s="66">
        <f t="shared" si="56"/>
        <v>430.24785322111597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302</v>
      </c>
      <c r="L73" s="12">
        <f>VLOOKUP(A73,'Données projet'!$A$35:$I$55,9,0)</f>
        <v>8.1999999999999993</v>
      </c>
      <c r="M73" s="12">
        <f t="array" ref="M73">INDEX(L:L,MIN(IF(ISNUMBER(L73:L269),ROW(L73:L269),"")))</f>
        <v>8.1999999999999993</v>
      </c>
      <c r="N73" s="13">
        <f>IF('Données projet'!$A$36&gt;35,N72+M73-V72,IF(A73&lt;'Données projet'!$A$36,$K$205^A73,IF(A73='Données projet'!$A$36,'Données projet'!$B$36,N72+M73-V72)))</f>
        <v>301.99999999999994</v>
      </c>
      <c r="O73" s="13">
        <f>N73*VLOOKUP('Données projet'!$B$9,Paramètres!$A$1:$I$89,3,0)*VLOOKUP('Données projet'!$B$9,Paramètres!$A$1:$I$89,5,0)</f>
        <v>254.40479999999999</v>
      </c>
      <c r="P73" s="13">
        <f t="shared" si="87"/>
        <v>61.52820154571765</v>
      </c>
      <c r="Q73" s="20">
        <f t="shared" si="54"/>
        <v>550.24997769212484</v>
      </c>
      <c r="R73" s="59">
        <f t="shared" si="55"/>
        <v>843.58331102545822</v>
      </c>
      <c r="S73" s="59">
        <f ca="1">AVERAGE(OFFSET($R$3,0,0,'Données projet'!$E$9+1,1))-AVERAGE(OFFSET($H$3,0,0,'Données projet'!$E$9+1,1))</f>
        <v>267.44861001389006</v>
      </c>
      <c r="T73" s="59">
        <f t="shared" si="88"/>
        <v>165.25921510802965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28</v>
      </c>
      <c r="W73" s="16">
        <f>IF(ISNA(VLOOKUP(A73,'Données projet'!$A$35:$I$55,5,0)),0%,VLOOKUP(A73,'Données projet'!$A$35:$I$55,5,0)*VLOOKUP('Données projet'!$B$9,Paramètres!$A$1:$I$89,7,0))</f>
        <v>0.43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65.070819008290954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65.070819008290954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316</v>
      </c>
      <c r="AG73" s="12">
        <f>VLOOKUP(A73,'Données projet'!$A$61:$I$81,9,0)</f>
        <v>4.5999999999999996</v>
      </c>
      <c r="AH73" s="12">
        <f t="array" ref="AH73">INDEX(AG:AG,MIN(IF(ISNUMBER(AG73:AG269),ROW(AG73:AG269),"")))</f>
        <v>4.5999999999999996</v>
      </c>
      <c r="AI73" s="13">
        <f>IF('Données projet'!$A$62&gt;35,AI72+AH73-AQ72,IF(A73&lt;'Données projet'!$A$62,$AF$205^A73,IF(A73='Données projet'!$A$62,'Données projet'!$B$62,AI72+AH73-AQ72)))</f>
        <v>315.99999999999994</v>
      </c>
      <c r="AJ73" s="13">
        <f>AI73*VLOOKUP('Données projet'!$B$10,Paramètres!$A$1:$I$89,3,0)*VLOOKUP('Données projet'!$B$10,Paramètres!$A$1:$I$89,5,0)</f>
        <v>251.40959999999995</v>
      </c>
      <c r="AK73" s="13">
        <f t="shared" si="89"/>
        <v>60.887686632376123</v>
      </c>
      <c r="AL73" s="20">
        <f t="shared" si="58"/>
        <v>543.917774218055</v>
      </c>
      <c r="AM73" s="59">
        <f t="shared" si="59"/>
        <v>837.25110755138826</v>
      </c>
      <c r="AN73" s="59">
        <f ca="1">AVERAGE(OFFSET($AM$3,0,0,'Données projet'!$E$10+1,1))-AVERAGE(OFFSET($H$3,0,0,'Données projet'!$E$10+1,1))</f>
        <v>244.70751760575268</v>
      </c>
      <c r="AO73" s="59">
        <f t="shared" si="90"/>
        <v>248.77995374147798</v>
      </c>
      <c r="AP73" s="15">
        <f>IF(ISNA(VLOOKUP(A73,'Données projet'!$A$61:$I$81,3,0)),0,VLOOKUP(A73,'Données projet'!$A$61:$I$81,3,0))</f>
        <v>12</v>
      </c>
      <c r="AQ73" s="15">
        <f>IF(ISNA(VLOOKUP(A73,'Données projet'!$A$61:$I$81,4,0)),0,VLOOKUP(A73,'Données projet'!$A$61:$I$81,4,0))</f>
        <v>13</v>
      </c>
      <c r="AR73" s="16">
        <f>IF(ISNA(VLOOKUP(A73,'Données projet'!$A$61:$I$81,5,0)),0%,VLOOKUP(A73,'Données projet'!$A$61:$I$81,5,0)*VLOOKUP('Données projet'!$B$10,Paramètres!$A$1:$I$89,7,0))</f>
        <v>0.53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52.386303394971065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52.386303394971065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316</v>
      </c>
      <c r="BB73" s="12">
        <f>VLOOKUP(A73,'Données projet'!$A$87:$I$107,9,0)</f>
        <v>4.5999999999999996</v>
      </c>
      <c r="BC73" s="12">
        <f t="array" ref="BC73">INDEX(BB:BB,MIN(IF(ISNUMBER(BB73:BB269),ROW(BB73:BB269),"")))</f>
        <v>4.5999999999999996</v>
      </c>
      <c r="BD73" s="12">
        <f>IF('Données projet'!$A$88&gt;35,BD72+BC73-BL72,IF(A73&lt;'Données projet'!$A$88,$BA$205^A73,IF(A73='Données projet'!$A$88,'Données projet'!$B$88,BD72+BC73-BL72)))</f>
        <v>315.99999999999994</v>
      </c>
      <c r="BE73" s="13">
        <f>BD73*VLOOKUP('Données projet'!$B$11,Paramètres!$A$1:$I$89,3,0)*VLOOKUP('Données projet'!$B$11,Paramètres!$A$1:$I$89,5,0)</f>
        <v>211.97279999999995</v>
      </c>
      <c r="BF73" s="13">
        <f t="shared" si="91"/>
        <v>52.366457246831175</v>
      </c>
      <c r="BG73" s="20">
        <f t="shared" si="61"/>
        <v>460.39087303823089</v>
      </c>
      <c r="BH73" s="59">
        <f t="shared" si="62"/>
        <v>753.72420637156415</v>
      </c>
      <c r="BI73" s="59">
        <f ca="1">AVERAGE(OFFSET($BH$3,0,0,'Données projet'!$E$11+1,1))-AVERAGE(OFFSET($H$3,0,0,'Données projet'!$E$11+1,1))</f>
        <v>195.02599095557656</v>
      </c>
      <c r="BJ73" s="59">
        <f t="shared" si="92"/>
        <v>201.41413798956927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13</v>
      </c>
      <c r="BM73" s="16">
        <f>IF(ISNA(VLOOKUP(A73,'Données projet'!$A$87:$I$107,5,0)),0%,VLOOKUP(A73,'Données projet'!$A$87:$I$107,5,0)*VLOOKUP('Données projet'!$B$11,Paramètres!$A$1:$I$89,7,0))</f>
        <v>0.53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44.16884403889717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44.16884403889717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62.025600000000104</v>
      </c>
      <c r="D74" s="11">
        <f t="shared" si="86"/>
        <v>17.679410406677235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615.26674699891271</v>
      </c>
      <c r="H74" s="66">
        <f t="shared" si="56"/>
        <v>432.15289312496304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7.6</v>
      </c>
      <c r="N74" s="13">
        <f>IF('Données projet'!$A$36&gt;35,N73+M74-V73,IF(A74&lt;'Données projet'!$A$36,$K$205^A74,IF(A74='Données projet'!$A$36,'Données projet'!$B$36,N73+M74-V73)))</f>
        <v>281.59999999999997</v>
      </c>
      <c r="O74" s="13">
        <f>N74*VLOOKUP('Données projet'!$B$9,Paramètres!$A$1:$I$89,3,0)*VLOOKUP('Données projet'!$B$9,Paramètres!$A$1:$I$89,5,0)</f>
        <v>237.21984</v>
      </c>
      <c r="P74" s="13">
        <f t="shared" si="87"/>
        <v>57.840960489671517</v>
      </c>
      <c r="Q74" s="20">
        <f t="shared" si="54"/>
        <v>513.89756085284455</v>
      </c>
      <c r="R74" s="59">
        <f t="shared" si="55"/>
        <v>807.23089418617792</v>
      </c>
      <c r="S74" s="59">
        <f ca="1">AVERAGE(OFFSET($R$3,0,0,'Données projet'!$E$9+1,1))-AVERAGE(OFFSET($H$3,0,0,'Données projet'!$E$9+1,1))</f>
        <v>267.44861001389006</v>
      </c>
      <c r="T74" s="59">
        <f t="shared" si="88"/>
        <v>165.25921510802965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63.794819936818975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63.794819936818975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4.2</v>
      </c>
      <c r="AI74" s="13">
        <f>IF('Données projet'!$A$62&gt;35,AI73+AH74-AQ73,IF(A74&lt;'Données projet'!$A$62,$AF$205^A74,IF(A74='Données projet'!$A$62,'Données projet'!$B$62,AI73+AH74-AQ73)))</f>
        <v>307.19999999999993</v>
      </c>
      <c r="AJ74" s="13">
        <f>AI74*VLOOKUP('Données projet'!$B$10,Paramètres!$A$1:$I$89,3,0)*VLOOKUP('Données projet'!$B$10,Paramètres!$A$1:$I$89,5,0)</f>
        <v>244.40831999999995</v>
      </c>
      <c r="AK74" s="13">
        <f t="shared" si="89"/>
        <v>59.38699493610541</v>
      </c>
      <c r="AL74" s="20">
        <f t="shared" si="58"/>
        <v>529.11017351371675</v>
      </c>
      <c r="AM74" s="59">
        <f t="shared" si="59"/>
        <v>822.44350684705</v>
      </c>
      <c r="AN74" s="59">
        <f ca="1">AVERAGE(OFFSET($AM$3,0,0,'Données projet'!$E$10+1,1))-AVERAGE(OFFSET($H$3,0,0,'Données projet'!$E$10+1,1))</f>
        <v>244.70751760575268</v>
      </c>
      <c r="AO74" s="59">
        <f t="shared" si="90"/>
        <v>248.77995374147798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51.359039937885704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51.359039937885704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4.2</v>
      </c>
      <c r="BD74" s="12">
        <f>IF('Données projet'!$A$88&gt;35,BD73+BC74-BL73,IF(A74&lt;'Données projet'!$A$88,$BA$205^A74,IF(A74='Données projet'!$A$88,'Données projet'!$B$88,BD73+BC74-BL73)))</f>
        <v>307.19999999999993</v>
      </c>
      <c r="BE74" s="13">
        <f>BD74*VLOOKUP('Données projet'!$B$11,Paramètres!$A$1:$I$89,3,0)*VLOOKUP('Données projet'!$B$11,Paramètres!$A$1:$I$89,5,0)</f>
        <v>206.06975999999997</v>
      </c>
      <c r="BF74" s="13">
        <f t="shared" si="91"/>
        <v>51.075787295320026</v>
      </c>
      <c r="BG74" s="20">
        <f t="shared" si="61"/>
        <v>447.86182820601562</v>
      </c>
      <c r="BH74" s="59">
        <f t="shared" si="62"/>
        <v>741.19516153934887</v>
      </c>
      <c r="BI74" s="59">
        <f ca="1">AVERAGE(OFFSET($BH$3,0,0,'Données projet'!$E$11+1,1))-AVERAGE(OFFSET($H$3,0,0,'Données projet'!$E$11+1,1))</f>
        <v>195.02599095557656</v>
      </c>
      <c r="BJ74" s="59">
        <f t="shared" si="92"/>
        <v>201.41413798956927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43.302719947629122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43.302719947629122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62.899200000000107</v>
      </c>
      <c r="D75" s="11">
        <f t="shared" si="86"/>
        <v>17.899252496876439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623.70735260746812</v>
      </c>
      <c r="H75" s="66">
        <f t="shared" si="56"/>
        <v>434.05730476539327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7.6</v>
      </c>
      <c r="N75" s="13">
        <f>IF('Données projet'!$A$36&gt;35,N74+M75-V74,IF(A75&lt;'Données projet'!$A$36,$K$205^A75,IF(A75='Données projet'!$A$36,'Données projet'!$B$36,N74+M75-V74)))</f>
        <v>289.2</v>
      </c>
      <c r="O75" s="13">
        <f>N75*VLOOKUP('Données projet'!$B$9,Paramètres!$A$1:$I$89,3,0)*VLOOKUP('Données projet'!$B$9,Paramètres!$A$1:$I$89,5,0)</f>
        <v>243.62208000000001</v>
      </c>
      <c r="P75" s="13">
        <f t="shared" si="87"/>
        <v>59.218157943988587</v>
      </c>
      <c r="Q75" s="20">
        <f t="shared" si="54"/>
        <v>527.44674775244675</v>
      </c>
      <c r="R75" s="59">
        <f t="shared" si="55"/>
        <v>820.78008108578001</v>
      </c>
      <c r="S75" s="59">
        <f ca="1">AVERAGE(OFFSET($R$3,0,0,'Données projet'!$E$9+1,1))-AVERAGE(OFFSET($H$3,0,0,'Données projet'!$E$9+1,1))</f>
        <v>267.44861001389006</v>
      </c>
      <c r="T75" s="59">
        <f t="shared" si="88"/>
        <v>165.25921510802965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62.543842428855974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62.543842428855974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4.2</v>
      </c>
      <c r="AI75" s="13">
        <f>IF('Données projet'!$A$62&gt;35,AI74+AH75-AQ74,IF(A75&lt;'Données projet'!$A$62,$AF$205^A75,IF(A75='Données projet'!$A$62,'Données projet'!$B$62,AI74+AH75-AQ74)))</f>
        <v>311.39999999999992</v>
      </c>
      <c r="AJ75" s="13">
        <f>AI75*VLOOKUP('Données projet'!$B$10,Paramètres!$A$1:$I$89,3,0)*VLOOKUP('Données projet'!$B$10,Paramètres!$A$1:$I$89,5,0)</f>
        <v>247.74983999999995</v>
      </c>
      <c r="AK75" s="13">
        <f t="shared" si="89"/>
        <v>60.103849700617872</v>
      </c>
      <c r="AL75" s="20">
        <f t="shared" si="58"/>
        <v>536.17850956190932</v>
      </c>
      <c r="AM75" s="59">
        <f t="shared" si="59"/>
        <v>829.51184289524258</v>
      </c>
      <c r="AN75" s="59">
        <f ca="1">AVERAGE(OFFSET($AM$3,0,0,'Données projet'!$E$10+1,1))-AVERAGE(OFFSET($H$3,0,0,'Données projet'!$E$10+1,1))</f>
        <v>244.70751760575268</v>
      </c>
      <c r="AO75" s="59">
        <f t="shared" si="90"/>
        <v>248.77995374147798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50.351920490624948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50.351920490624948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4.2</v>
      </c>
      <c r="BD75" s="12">
        <f>IF('Données projet'!$A$88&gt;35,BD74+BC75-BL74,IF(A75&lt;'Données projet'!$A$88,$BA$205^A75,IF(A75='Données projet'!$A$88,'Données projet'!$B$88,BD74+BC75-BL74)))</f>
        <v>311.39999999999992</v>
      </c>
      <c r="BE75" s="13">
        <f>BD75*VLOOKUP('Données projet'!$B$11,Paramètres!$A$1:$I$89,3,0)*VLOOKUP('Données projet'!$B$11,Paramètres!$A$1:$I$89,5,0)</f>
        <v>208.88711999999995</v>
      </c>
      <c r="BF75" s="13">
        <f t="shared" si="91"/>
        <v>51.692318263308358</v>
      </c>
      <c r="BG75" s="20">
        <f t="shared" si="61"/>
        <v>453.84252164192861</v>
      </c>
      <c r="BH75" s="59">
        <f t="shared" si="62"/>
        <v>747.17585497526193</v>
      </c>
      <c r="BI75" s="59">
        <f ca="1">AVERAGE(OFFSET($BH$3,0,0,'Données projet'!$E$11+1,1))-AVERAGE(OFFSET($H$3,0,0,'Données projet'!$E$11+1,1))</f>
        <v>195.02599095557656</v>
      </c>
      <c r="BJ75" s="59">
        <f t="shared" si="92"/>
        <v>201.41413798956927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42.453580021507307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42.453580021507307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63.77280000000011</v>
      </c>
      <c r="D76" s="11">
        <f t="shared" si="86"/>
        <v>18.118739450759591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632.14521681288181</v>
      </c>
      <c r="H76" s="66">
        <f t="shared" si="56"/>
        <v>435.96109787673976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7.6</v>
      </c>
      <c r="N76" s="13">
        <f>IF('Données projet'!$A$36&gt;35,N75+M76-V75,IF(A76&lt;'Données projet'!$A$36,$K$205^A76,IF(A76='Données projet'!$A$36,'Données projet'!$B$36,N75+M76-V75)))</f>
        <v>296.8</v>
      </c>
      <c r="O76" s="13">
        <f>N76*VLOOKUP('Données projet'!$B$9,Paramètres!$A$1:$I$89,3,0)*VLOOKUP('Données projet'!$B$9,Paramètres!$A$1:$I$89,5,0)</f>
        <v>250.02432000000005</v>
      </c>
      <c r="P76" s="13">
        <f t="shared" si="87"/>
        <v>60.591148584829206</v>
      </c>
      <c r="Q76" s="20">
        <f t="shared" si="54"/>
        <v>540.9886077852442</v>
      </c>
      <c r="R76" s="59">
        <f t="shared" si="55"/>
        <v>834.32194111857757</v>
      </c>
      <c r="S76" s="59">
        <f ca="1">AVERAGE(OFFSET($R$3,0,0,'Données projet'!$E$9+1,1))-AVERAGE(OFFSET($H$3,0,0,'Données projet'!$E$9+1,1))</f>
        <v>267.44861001389006</v>
      </c>
      <c r="T76" s="59">
        <f t="shared" si="88"/>
        <v>165.25921510802965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61.317395826803192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61.317395826803192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4.2</v>
      </c>
      <c r="AI76" s="13">
        <f>IF('Données projet'!$A$62&gt;35,AI75+AH76-AQ75,IF(A76&lt;'Données projet'!$A$62,$AF$205^A76,IF(A76='Données projet'!$A$62,'Données projet'!$B$62,AI75+AH76-AQ75)))</f>
        <v>315.59999999999991</v>
      </c>
      <c r="AJ76" s="13">
        <f>AI76*VLOOKUP('Données projet'!$B$10,Paramètres!$A$1:$I$89,3,0)*VLOOKUP('Données projet'!$B$10,Paramètres!$A$1:$I$89,5,0)</f>
        <v>251.09135999999995</v>
      </c>
      <c r="AK76" s="13">
        <f t="shared" si="89"/>
        <v>60.81957989149403</v>
      </c>
      <c r="AL76" s="20">
        <f t="shared" si="58"/>
        <v>543.24488697768527</v>
      </c>
      <c r="AM76" s="59">
        <f t="shared" si="59"/>
        <v>836.57822031101864</v>
      </c>
      <c r="AN76" s="59">
        <f ca="1">AVERAGE(OFFSET($AM$3,0,0,'Données projet'!$E$10+1,1))-AVERAGE(OFFSET($H$3,0,0,'Données projet'!$E$10+1,1))</f>
        <v>244.70751760575268</v>
      </c>
      <c r="AO76" s="59">
        <f t="shared" si="90"/>
        <v>248.77995374147798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49.364550041442769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49.364550041442769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4.2</v>
      </c>
      <c r="BD76" s="12">
        <f>IF('Données projet'!$A$88&gt;35,BD75+BC76-BL75,IF(A76&lt;'Données projet'!$A$88,$BA$205^A76,IF(A76='Données projet'!$A$88,'Données projet'!$B$88,BD75+BC76-BL75)))</f>
        <v>315.59999999999991</v>
      </c>
      <c r="BE76" s="13">
        <f>BD76*VLOOKUP('Données projet'!$B$11,Paramètres!$A$1:$I$89,3,0)*VLOOKUP('Données projet'!$B$11,Paramètres!$A$1:$I$89,5,0)</f>
        <v>211.70447999999996</v>
      </c>
      <c r="BF76" s="13">
        <f t="shared" si="91"/>
        <v>52.307882041697276</v>
      </c>
      <c r="BG76" s="20">
        <f t="shared" si="61"/>
        <v>459.82153055595603</v>
      </c>
      <c r="BH76" s="59">
        <f t="shared" si="62"/>
        <v>753.15486388928935</v>
      </c>
      <c r="BI76" s="59">
        <f ca="1">AVERAGE(OFFSET($BH$3,0,0,'Données projet'!$E$11+1,1))-AVERAGE(OFFSET($H$3,0,0,'Données projet'!$E$11+1,1))</f>
        <v>195.02599095557656</v>
      </c>
      <c r="BJ76" s="59">
        <f t="shared" si="92"/>
        <v>201.41413798956927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41.621091211412526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41.621091211412526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64.646400000000114</v>
      </c>
      <c r="D77" s="11">
        <f t="shared" si="86"/>
        <v>18.337876695493698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640.58038150907498</v>
      </c>
      <c r="H77" s="66">
        <f t="shared" si="56"/>
        <v>437.86428191131836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7.6</v>
      </c>
      <c r="N77" s="13">
        <f>IF('Données projet'!$A$36&gt;35,N76+M77-V76,IF(A77&lt;'Données projet'!$A$36,$K$205^A77,IF(A77='Données projet'!$A$36,'Données projet'!$B$36,N76+M77-V76)))</f>
        <v>304.40000000000003</v>
      </c>
      <c r="O77" s="13">
        <f>N77*VLOOKUP('Données projet'!$B$9,Paramètres!$A$1:$I$89,3,0)*VLOOKUP('Données projet'!$B$9,Paramètres!$A$1:$I$89,5,0)</f>
        <v>256.42656000000005</v>
      </c>
      <c r="P77" s="13">
        <f t="shared" si="87"/>
        <v>61.960052520146306</v>
      </c>
      <c r="Q77" s="20">
        <f t="shared" si="54"/>
        <v>554.52335013925483</v>
      </c>
      <c r="R77" s="59">
        <f t="shared" si="55"/>
        <v>847.8566834725882</v>
      </c>
      <c r="S77" s="59">
        <f ca="1">AVERAGE(OFFSET($R$3,0,0,'Données projet'!$E$9+1,1))-AVERAGE(OFFSET($H$3,0,0,'Données projet'!$E$9+1,1))</f>
        <v>267.44861001389006</v>
      </c>
      <c r="T77" s="59">
        <f t="shared" si="88"/>
        <v>165.25921510802965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60.114999094558101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60.114999094558101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4.2</v>
      </c>
      <c r="AI77" s="13">
        <f>IF('Données projet'!$A$62&gt;35,AI76+AH77-AQ76,IF(A77&lt;'Données projet'!$A$62,$AF$205^A77,IF(A77='Données projet'!$A$62,'Données projet'!$B$62,AI76+AH77-AQ76)))</f>
        <v>319.7999999999999</v>
      </c>
      <c r="AJ77" s="13">
        <f>AI77*VLOOKUP('Données projet'!$B$10,Paramètres!$A$1:$I$89,3,0)*VLOOKUP('Données projet'!$B$10,Paramètres!$A$1:$I$89,5,0)</f>
        <v>254.43287999999995</v>
      </c>
      <c r="AK77" s="13">
        <f t="shared" si="89"/>
        <v>61.534202204620392</v>
      </c>
      <c r="AL77" s="20">
        <f t="shared" si="58"/>
        <v>550.30933483971376</v>
      </c>
      <c r="AM77" s="59">
        <f t="shared" si="59"/>
        <v>843.64266817304701</v>
      </c>
      <c r="AN77" s="59">
        <f ca="1">AVERAGE(OFFSET($AM$3,0,0,'Données projet'!$E$10+1,1))-AVERAGE(OFFSET($H$3,0,0,'Données projet'!$E$10+1,1))</f>
        <v>244.70751760575268</v>
      </c>
      <c r="AO77" s="59">
        <f t="shared" si="90"/>
        <v>248.77995374147798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48.396541324532542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48.396541324532542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4.2</v>
      </c>
      <c r="BD77" s="12">
        <f>IF('Données projet'!$A$88&gt;35,BD76+BC77-BL76,IF(A77&lt;'Données projet'!$A$88,$BA$205^A77,IF(A77='Données projet'!$A$88,'Données projet'!$B$88,BD76+BC77-BL76)))</f>
        <v>319.7999999999999</v>
      </c>
      <c r="BE77" s="13">
        <f>BD77*VLOOKUP('Données projet'!$B$11,Paramètres!$A$1:$I$89,3,0)*VLOOKUP('Données projet'!$B$11,Paramètres!$A$1:$I$89,5,0)</f>
        <v>214.52183999999994</v>
      </c>
      <c r="BF77" s="13">
        <f t="shared" si="91"/>
        <v>52.922492989784509</v>
      </c>
      <c r="BG77" s="20">
        <f t="shared" si="61"/>
        <v>465.79887995720793</v>
      </c>
      <c r="BH77" s="59">
        <f t="shared" si="62"/>
        <v>759.13221329054124</v>
      </c>
      <c r="BI77" s="59">
        <f ca="1">AVERAGE(OFFSET($BH$3,0,0,'Données projet'!$E$11+1,1))-AVERAGE(OFFSET($H$3,0,0,'Données projet'!$E$11+1,1))</f>
        <v>195.02599095557656</v>
      </c>
      <c r="BJ77" s="59">
        <f t="shared" si="92"/>
        <v>201.41413798956927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40.804926999115672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40.804926999115672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65.52000000000011</v>
      </c>
      <c r="D78" s="11">
        <f t="shared" si="86"/>
        <v>18.556669503136749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649.01288739263543</v>
      </c>
      <c r="H78" s="66">
        <f t="shared" si="56"/>
        <v>439.76686605129669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312</v>
      </c>
      <c r="L78" s="12">
        <f>VLOOKUP(A78,'Données projet'!$A$35:$I$55,9,0)</f>
        <v>7.6</v>
      </c>
      <c r="M78" s="12">
        <f t="array" ref="M78">INDEX(L:L,MIN(IF(ISNUMBER(L78:L274),ROW(L78:L274),"")))</f>
        <v>7.6</v>
      </c>
      <c r="N78" s="13">
        <f>IF('Données projet'!$A$36&gt;35,N77+M78-V77,IF(A78&lt;'Données projet'!$A$36,$K$205^A78,IF(A78='Données projet'!$A$36,'Données projet'!$B$36,N77+M78-V77)))</f>
        <v>312.00000000000006</v>
      </c>
      <c r="O78" s="13">
        <f>N78*VLOOKUP('Données projet'!$B$9,Paramètres!$A$1:$I$89,3,0)*VLOOKUP('Données projet'!$B$9,Paramètres!$A$1:$I$89,5,0)</f>
        <v>262.82880000000006</v>
      </c>
      <c r="P78" s="13">
        <f t="shared" si="87"/>
        <v>63.324983518559485</v>
      </c>
      <c r="Q78" s="20">
        <f t="shared" si="54"/>
        <v>568.05117296149115</v>
      </c>
      <c r="R78" s="59">
        <f t="shared" si="55"/>
        <v>861.3845062948244</v>
      </c>
      <c r="S78" s="59">
        <f ca="1">AVERAGE(OFFSET($R$3,0,0,'Données projet'!$E$9+1,1))-AVERAGE(OFFSET($H$3,0,0,'Données projet'!$E$9+1,1))</f>
        <v>267.44861001389006</v>
      </c>
      <c r="T78" s="59">
        <f t="shared" si="88"/>
        <v>165.25921510802965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28</v>
      </c>
      <c r="W78" s="16">
        <f>IF(ISNA(VLOOKUP(A78,'Données projet'!$A$35:$I$55,5,0)),0%,VLOOKUP(A78,'Données projet'!$A$35:$I$55,5,0)*VLOOKUP('Données projet'!$B$9,Paramètres!$A$1:$I$89,7,0))</f>
        <v>0.43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70.14840953137417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70.14840953137417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324</v>
      </c>
      <c r="AG78" s="12">
        <f>VLOOKUP(A78,'Données projet'!$A$61:$I$81,9,0)</f>
        <v>4.2</v>
      </c>
      <c r="AH78" s="12">
        <f t="array" ref="AH78">INDEX(AG:AG,MIN(IF(ISNUMBER(AG78:AG274),ROW(AG78:AG274),"")))</f>
        <v>4.2</v>
      </c>
      <c r="AI78" s="13">
        <f>IF('Données projet'!$A$62&gt;35,AI77+AH78-AQ77,IF(A78&lt;'Données projet'!$A$62,$AF$205^A78,IF(A78='Données projet'!$A$62,'Données projet'!$B$62,AI77+AH78-AQ77)))</f>
        <v>323.99999999999989</v>
      </c>
      <c r="AJ78" s="13">
        <f>AI78*VLOOKUP('Données projet'!$B$10,Paramètres!$A$1:$I$89,3,0)*VLOOKUP('Données projet'!$B$10,Paramètres!$A$1:$I$89,5,0)</f>
        <v>257.77439999999996</v>
      </c>
      <c r="AK78" s="13">
        <f t="shared" si="89"/>
        <v>62.247732872134293</v>
      </c>
      <c r="AL78" s="20">
        <f t="shared" si="58"/>
        <v>557.37188141896718</v>
      </c>
      <c r="AM78" s="59">
        <f t="shared" si="59"/>
        <v>850.70521475230044</v>
      </c>
      <c r="AN78" s="59">
        <f ca="1">AVERAGE(OFFSET($AM$3,0,0,'Données projet'!$E$10+1,1))-AVERAGE(OFFSET($H$3,0,0,'Données projet'!$E$10+1,1))</f>
        <v>244.70751760575268</v>
      </c>
      <c r="AO78" s="59">
        <f t="shared" si="90"/>
        <v>248.77995374147798</v>
      </c>
      <c r="AP78" s="15">
        <f>IF(ISNA(VLOOKUP(A78,'Données projet'!$A$61:$I$81,3,0)),0,VLOOKUP(A78,'Données projet'!$A$61:$I$81,3,0))</f>
        <v>13</v>
      </c>
      <c r="AQ78" s="15">
        <f>IF(ISNA(VLOOKUP(A78,'Données projet'!$A$61:$I$81,4,0)),0,VLOOKUP(A78,'Données projet'!$A$61:$I$81,4,0))</f>
        <v>12</v>
      </c>
      <c r="AR78" s="16">
        <f>IF(ISNA(VLOOKUP(A78,'Données projet'!$A$61:$I$81,5,0)),0%,VLOOKUP(A78,'Données projet'!$A$61:$I$81,5,0)*VLOOKUP('Données projet'!$B$10,Paramètres!$A$1:$I$89,7,0))</f>
        <v>0.53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53.04121247609671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53.04121247609671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324</v>
      </c>
      <c r="BB78" s="12">
        <f>VLOOKUP(A78,'Données projet'!$A$87:$I$107,9,0)</f>
        <v>4.2</v>
      </c>
      <c r="BC78" s="12">
        <f t="array" ref="BC78">INDEX(BB:BB,MIN(IF(ISNUMBER(BB78:BB274),ROW(BB78:BB274),"")))</f>
        <v>4.2</v>
      </c>
      <c r="BD78" s="12">
        <f>IF('Données projet'!$A$88&gt;35,BD77+BC78-BL77,IF(A78&lt;'Données projet'!$A$88,$BA$205^A78,IF(A78='Données projet'!$A$88,'Données projet'!$B$88,BD77+BC78-BL77)))</f>
        <v>323.99999999999989</v>
      </c>
      <c r="BE78" s="13">
        <f>BD78*VLOOKUP('Données projet'!$B$11,Paramètres!$A$1:$I$89,3,0)*VLOOKUP('Données projet'!$B$11,Paramètres!$A$1:$I$89,5,0)</f>
        <v>217.33919999999992</v>
      </c>
      <c r="BF78" s="13">
        <f t="shared" si="91"/>
        <v>53.536165068020416</v>
      </c>
      <c r="BG78" s="20">
        <f t="shared" si="61"/>
        <v>471.77459416013545</v>
      </c>
      <c r="BH78" s="59">
        <f t="shared" si="62"/>
        <v>765.10792749346876</v>
      </c>
      <c r="BI78" s="59">
        <f ca="1">AVERAGE(OFFSET($BH$3,0,0,'Données projet'!$E$11+1,1))-AVERAGE(OFFSET($H$3,0,0,'Données projet'!$E$11+1,1))</f>
        <v>195.02599095557656</v>
      </c>
      <c r="BJ78" s="59">
        <f t="shared" si="92"/>
        <v>201.41413798956927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12</v>
      </c>
      <c r="BM78" s="16">
        <f>IF(ISNA(VLOOKUP(A78,'Données projet'!$A$87:$I$107,5,0)),0%,VLOOKUP(A78,'Données projet'!$A$87:$I$107,5,0)*VLOOKUP('Données projet'!$B$11,Paramètres!$A$1:$I$89,7,0))</f>
        <v>0.53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44.721022283767816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44.721022283767816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66.393600000000106</v>
      </c>
      <c r="D79" s="11">
        <f t="shared" si="86"/>
        <v>18.775122997078551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657.44277401253714</v>
      </c>
      <c r="H79" s="66">
        <f t="shared" si="56"/>
        <v>441.66885921991195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7.2</v>
      </c>
      <c r="N79" s="13">
        <f>IF('Données projet'!$A$36&gt;35,N78+M79-V78,IF(A79&lt;'Données projet'!$A$36,$K$205^A79,IF(A79='Données projet'!$A$36,'Données projet'!$B$36,N78+M79-V78)))</f>
        <v>291.20000000000005</v>
      </c>
      <c r="O79" s="13">
        <f>N79*VLOOKUP('Données projet'!$B$9,Paramètres!$A$1:$I$89,3,0)*VLOOKUP('Données projet'!$B$9,Paramètres!$A$1:$I$89,5,0)</f>
        <v>245.30688000000009</v>
      </c>
      <c r="P79" s="13">
        <f t="shared" si="87"/>
        <v>59.579874112906374</v>
      </c>
      <c r="Q79" s="20">
        <f t="shared" si="54"/>
        <v>531.01109674664542</v>
      </c>
      <c r="R79" s="59">
        <f t="shared" si="55"/>
        <v>824.34443007997879</v>
      </c>
      <c r="S79" s="59">
        <f ca="1">AVERAGE(OFFSET($R$3,0,0,'Données projet'!$E$9+1,1))-AVERAGE(OFFSET($H$3,0,0,'Données projet'!$E$9+1,1))</f>
        <v>267.44861001389006</v>
      </c>
      <c r="T79" s="59">
        <f t="shared" si="88"/>
        <v>165.25921510802965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68.77284200676894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68.77284200676894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3.6</v>
      </c>
      <c r="AI79" s="13">
        <f>IF('Données projet'!$A$62&gt;35,AI78+AH79-AQ78,IF(A79&lt;'Données projet'!$A$62,$AF$205^A79,IF(A79='Données projet'!$A$62,'Données projet'!$B$62,AI78+AH79-AQ78)))</f>
        <v>315.59999999999991</v>
      </c>
      <c r="AJ79" s="13">
        <f>AI79*VLOOKUP('Données projet'!$B$10,Paramètres!$A$1:$I$89,3,0)*VLOOKUP('Données projet'!$B$10,Paramètres!$A$1:$I$89,5,0)</f>
        <v>251.09135999999995</v>
      </c>
      <c r="AK79" s="13">
        <f t="shared" si="89"/>
        <v>60.81957989149403</v>
      </c>
      <c r="AL79" s="20">
        <f t="shared" si="58"/>
        <v>543.24488697768527</v>
      </c>
      <c r="AM79" s="59">
        <f t="shared" si="59"/>
        <v>836.57822031101864</v>
      </c>
      <c r="AN79" s="59">
        <f ca="1">AVERAGE(OFFSET($AM$3,0,0,'Données projet'!$E$10+1,1))-AVERAGE(OFFSET($H$3,0,0,'Données projet'!$E$10+1,1))</f>
        <v>244.70751760575268</v>
      </c>
      <c r="AO79" s="59">
        <f t="shared" si="90"/>
        <v>248.77995374147798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52.001106651385577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52.001106651385577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3.6</v>
      </c>
      <c r="BD79" s="12">
        <f>IF('Données projet'!$A$88&gt;35,BD78+BC79-BL78,IF(A79&lt;'Données projet'!$A$88,$BA$205^A79,IF(A79='Données projet'!$A$88,'Données projet'!$B$88,BD78+BC79-BL78)))</f>
        <v>315.59999999999991</v>
      </c>
      <c r="BE79" s="13">
        <f>BD79*VLOOKUP('Données projet'!$B$11,Paramètres!$A$1:$I$89,3,0)*VLOOKUP('Données projet'!$B$11,Paramètres!$A$1:$I$89,5,0)</f>
        <v>211.70447999999996</v>
      </c>
      <c r="BF79" s="13">
        <f t="shared" si="91"/>
        <v>52.307882041697276</v>
      </c>
      <c r="BG79" s="20">
        <f t="shared" si="61"/>
        <v>459.82153055595603</v>
      </c>
      <c r="BH79" s="59">
        <f t="shared" si="62"/>
        <v>753.15486388928935</v>
      </c>
      <c r="BI79" s="59">
        <f ca="1">AVERAGE(OFFSET($BH$3,0,0,'Données projet'!$E$11+1,1))-AVERAGE(OFFSET($H$3,0,0,'Données projet'!$E$11+1,1))</f>
        <v>195.02599095557656</v>
      </c>
      <c r="BJ79" s="59">
        <f t="shared" si="92"/>
        <v>201.41413798956927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43.844070313913328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43.844070313913328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67.267200000000102</v>
      </c>
      <c r="D80" s="11">
        <f t="shared" si="86"/>
        <v>18.993242158132951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665.87007981716749</v>
      </c>
      <c r="H80" s="66">
        <f t="shared" si="56"/>
        <v>443.57027009208173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7.2</v>
      </c>
      <c r="N80" s="13">
        <f>IF('Données projet'!$A$36&gt;35,N79+M80-V79,IF(A80&lt;'Données projet'!$A$36,$K$205^A80,IF(A80='Données projet'!$A$36,'Données projet'!$B$36,N79+M80-V79)))</f>
        <v>298.40000000000003</v>
      </c>
      <c r="O80" s="13">
        <f>N80*VLOOKUP('Données projet'!$B$9,Paramètres!$A$1:$I$89,3,0)*VLOOKUP('Données projet'!$B$9,Paramètres!$A$1:$I$89,5,0)</f>
        <v>251.37216000000004</v>
      </c>
      <c r="P80" s="13">
        <f t="shared" si="87"/>
        <v>60.879674595707343</v>
      </c>
      <c r="Q80" s="20">
        <f t="shared" si="54"/>
        <v>543.83861192085692</v>
      </c>
      <c r="R80" s="59">
        <f t="shared" si="55"/>
        <v>837.17194525419018</v>
      </c>
      <c r="S80" s="59">
        <f ca="1">AVERAGE(OFFSET($R$3,0,0,'Données projet'!$E$9+1,1))-AVERAGE(OFFSET($H$3,0,0,'Données projet'!$E$9+1,1))</f>
        <v>267.44861001389006</v>
      </c>
      <c r="T80" s="59">
        <f t="shared" si="88"/>
        <v>165.25921510802965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67.424248522307877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67.424248522307877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3.6</v>
      </c>
      <c r="AI80" s="13">
        <f>IF('Données projet'!$A$62&gt;35,AI79+AH80-AQ79,IF(A80&lt;'Données projet'!$A$62,$AF$205^A80,IF(A80='Données projet'!$A$62,'Données projet'!$B$62,AI79+AH80-AQ79)))</f>
        <v>319.19999999999993</v>
      </c>
      <c r="AJ80" s="13">
        <f>AI80*VLOOKUP('Données projet'!$B$10,Paramètres!$A$1:$I$89,3,0)*VLOOKUP('Données projet'!$B$10,Paramètres!$A$1:$I$89,5,0)</f>
        <v>253.95551999999998</v>
      </c>
      <c r="AK80" s="13">
        <f t="shared" si="89"/>
        <v>61.432180511879253</v>
      </c>
      <c r="AL80" s="20">
        <f t="shared" si="58"/>
        <v>549.30024505818972</v>
      </c>
      <c r="AM80" s="59">
        <f t="shared" si="59"/>
        <v>842.63357839152309</v>
      </c>
      <c r="AN80" s="59">
        <f ca="1">AVERAGE(OFFSET($AM$3,0,0,'Données projet'!$E$10+1,1))-AVERAGE(OFFSET($H$3,0,0,'Données projet'!$E$10+1,1))</f>
        <v>244.70751760575268</v>
      </c>
      <c r="AO80" s="59">
        <f t="shared" si="90"/>
        <v>248.77995374147798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50.981396667495119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50.981396667495119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3.6</v>
      </c>
      <c r="BD80" s="12">
        <f>IF('Données projet'!$A$88&gt;35,BD79+BC80-BL79,IF(A80&lt;'Données projet'!$A$88,$BA$205^A80,IF(A80='Données projet'!$A$88,'Données projet'!$B$88,BD79+BC80-BL79)))</f>
        <v>319.19999999999993</v>
      </c>
      <c r="BE80" s="13">
        <f>BD80*VLOOKUP('Données projet'!$B$11,Paramètres!$A$1:$I$89,3,0)*VLOOKUP('Données projet'!$B$11,Paramètres!$A$1:$I$89,5,0)</f>
        <v>214.11935999999997</v>
      </c>
      <c r="BF80" s="13">
        <f t="shared" si="91"/>
        <v>52.834749228990397</v>
      </c>
      <c r="BG80" s="20">
        <f t="shared" si="61"/>
        <v>464.94507357382491</v>
      </c>
      <c r="BH80" s="59">
        <f t="shared" si="62"/>
        <v>758.27840690715823</v>
      </c>
      <c r="BI80" s="59">
        <f ca="1">AVERAGE(OFFSET($BH$3,0,0,'Données projet'!$E$11+1,1))-AVERAGE(OFFSET($H$3,0,0,'Données projet'!$E$11+1,1))</f>
        <v>195.02599095557656</v>
      </c>
      <c r="BJ80" s="59">
        <f t="shared" si="92"/>
        <v>201.41413798956927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42.984314837299799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42.984314837299799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68.140800000000098</v>
      </c>
      <c r="D81" s="11">
        <f t="shared" si="86"/>
        <v>19.211031830304485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674.29484219884239</v>
      </c>
      <c r="H81" s="66">
        <f t="shared" si="56"/>
        <v>445.47110710444713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7.2</v>
      </c>
      <c r="N81" s="13">
        <f>IF('Données projet'!$A$36&gt;35,N80+M81-V80,IF(A81&lt;'Données projet'!$A$36,$K$205^A81,IF(A81='Données projet'!$A$36,'Données projet'!$B$36,N80+M81-V80)))</f>
        <v>305.60000000000002</v>
      </c>
      <c r="O81" s="13">
        <f>N81*VLOOKUP('Données projet'!$B$9,Paramètres!$A$1:$I$89,3,0)*VLOOKUP('Données projet'!$B$9,Paramètres!$A$1:$I$89,5,0)</f>
        <v>257.43744000000004</v>
      </c>
      <c r="P81" s="13">
        <f t="shared" si="87"/>
        <v>62.175829233865038</v>
      </c>
      <c r="Q81" s="20">
        <f t="shared" si="54"/>
        <v>556.65977724898164</v>
      </c>
      <c r="R81" s="59">
        <f t="shared" si="55"/>
        <v>849.99311058231501</v>
      </c>
      <c r="S81" s="59">
        <f ca="1">AVERAGE(OFFSET($R$3,0,0,'Données projet'!$E$9+1,1))-AVERAGE(OFFSET($H$3,0,0,'Données projet'!$E$9+1,1))</f>
        <v>267.44861001389006</v>
      </c>
      <c r="T81" s="59">
        <f t="shared" si="88"/>
        <v>165.25921510802965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66.102100133516288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66.102100133516288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3.6</v>
      </c>
      <c r="AI81" s="13">
        <f>IF('Données projet'!$A$62&gt;35,AI80+AH81-AQ80,IF(A81&lt;'Données projet'!$A$62,$AF$205^A81,IF(A81='Données projet'!$A$62,'Données projet'!$B$62,AI80+AH81-AQ80)))</f>
        <v>322.79999999999995</v>
      </c>
      <c r="AJ81" s="13">
        <f>AI81*VLOOKUP('Données projet'!$B$10,Paramètres!$A$1:$I$89,3,0)*VLOOKUP('Données projet'!$B$10,Paramètres!$A$1:$I$89,5,0)</f>
        <v>256.81968000000001</v>
      </c>
      <c r="AK81" s="13">
        <f t="shared" si="89"/>
        <v>62.043977430851903</v>
      </c>
      <c r="AL81" s="20">
        <f t="shared" si="58"/>
        <v>555.35420335873368</v>
      </c>
      <c r="AM81" s="59">
        <f t="shared" si="59"/>
        <v>848.68753669206694</v>
      </c>
      <c r="AN81" s="59">
        <f ca="1">AVERAGE(OFFSET($AM$3,0,0,'Données projet'!$E$10+1,1))-AVERAGE(OFFSET($H$3,0,0,'Données projet'!$E$10+1,1))</f>
        <v>244.70751760575268</v>
      </c>
      <c r="AO81" s="59">
        <f t="shared" si="90"/>
        <v>248.77995374147798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49.981682574427076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49.981682574427076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3.6</v>
      </c>
      <c r="BD81" s="12">
        <f>IF('Données projet'!$A$88&gt;35,BD80+BC81-BL80,IF(A81&lt;'Données projet'!$A$88,$BA$205^A81,IF(A81='Données projet'!$A$88,'Données projet'!$B$88,BD80+BC81-BL80)))</f>
        <v>322.79999999999995</v>
      </c>
      <c r="BE81" s="13">
        <f>BD81*VLOOKUP('Données projet'!$B$11,Paramètres!$A$1:$I$89,3,0)*VLOOKUP('Données projet'!$B$11,Paramètres!$A$1:$I$89,5,0)</f>
        <v>216.53423999999995</v>
      </c>
      <c r="BF81" s="13">
        <f t="shared" si="91"/>
        <v>53.360925192852498</v>
      </c>
      <c r="BG81" s="20">
        <f t="shared" si="61"/>
        <v>470.06741271088464</v>
      </c>
      <c r="BH81" s="59">
        <f t="shared" si="62"/>
        <v>763.40074604421795</v>
      </c>
      <c r="BI81" s="59">
        <f ca="1">AVERAGE(OFFSET($BH$3,0,0,'Données projet'!$E$11+1,1))-AVERAGE(OFFSET($H$3,0,0,'Données projet'!$E$11+1,1))</f>
        <v>195.02599095557656</v>
      </c>
      <c r="BJ81" s="59">
        <f t="shared" si="92"/>
        <v>201.41413798956927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42.141418641183606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42.141418641183606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69.014400000000094</v>
      </c>
      <c r="D82" s="11">
        <f t="shared" si="86"/>
        <v>19.428496726251062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682.71709753597372</v>
      </c>
      <c r="H82" s="66">
        <f t="shared" si="56"/>
        <v>447.37137846488741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7.2</v>
      </c>
      <c r="N82" s="13">
        <f>IF('Données projet'!$A$36&gt;35,N81+M82-V81,IF(A82&lt;'Données projet'!$A$36,$K$205^A82,IF(A82='Données projet'!$A$36,'Données projet'!$B$36,N81+M82-V81)))</f>
        <v>312.8</v>
      </c>
      <c r="O82" s="13">
        <f>N82*VLOOKUP('Données projet'!$B$9,Paramètres!$A$1:$I$89,3,0)*VLOOKUP('Données projet'!$B$9,Paramètres!$A$1:$I$89,5,0)</f>
        <v>263.50272000000001</v>
      </c>
      <c r="P82" s="13">
        <f t="shared" si="87"/>
        <v>63.468433809179743</v>
      </c>
      <c r="Q82" s="20">
        <f t="shared" si="54"/>
        <v>569.4747595509881</v>
      </c>
      <c r="R82" s="59">
        <f t="shared" si="55"/>
        <v>862.80809288432147</v>
      </c>
      <c r="S82" s="59">
        <f ca="1">AVERAGE(OFFSET($R$3,0,0,'Données projet'!$E$9+1,1))-AVERAGE(OFFSET($H$3,0,0,'Données projet'!$E$9+1,1))</f>
        <v>267.44861001389006</v>
      </c>
      <c r="T82" s="59">
        <f t="shared" si="88"/>
        <v>165.25921510802965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64.805878268198015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64.805878268198015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3.6</v>
      </c>
      <c r="AI82" s="13">
        <f>IF('Données projet'!$A$62&gt;35,AI81+AH82-AQ81,IF(A82&lt;'Données projet'!$A$62,$AF$205^A82,IF(A82='Données projet'!$A$62,'Données projet'!$B$62,AI81+AH82-AQ81)))</f>
        <v>326.39999999999998</v>
      </c>
      <c r="AJ82" s="13">
        <f>AI82*VLOOKUP('Données projet'!$B$10,Paramètres!$A$1:$I$89,3,0)*VLOOKUP('Données projet'!$B$10,Paramètres!$A$1:$I$89,5,0)</f>
        <v>259.68384000000003</v>
      </c>
      <c r="AK82" s="13">
        <f t="shared" si="89"/>
        <v>62.654980648867358</v>
      </c>
      <c r="AL82" s="20">
        <f t="shared" si="58"/>
        <v>561.40677929677736</v>
      </c>
      <c r="AM82" s="59">
        <f t="shared" si="59"/>
        <v>854.74011263011062</v>
      </c>
      <c r="AN82" s="59">
        <f ca="1">AVERAGE(OFFSET($AM$3,0,0,'Données projet'!$E$10+1,1))-AVERAGE(OFFSET($H$3,0,0,'Données projet'!$E$10+1,1))</f>
        <v>244.70751760575268</v>
      </c>
      <c r="AO82" s="59">
        <f t="shared" si="90"/>
        <v>248.77995374147798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49.00157226495871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49.00157226495871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3.6</v>
      </c>
      <c r="BD82" s="12">
        <f>IF('Données projet'!$A$88&gt;35,BD81+BC82-BL81,IF(A82&lt;'Données projet'!$A$88,$BA$205^A82,IF(A82='Données projet'!$A$88,'Données projet'!$B$88,BD81+BC82-BL81)))</f>
        <v>326.39999999999998</v>
      </c>
      <c r="BE82" s="13">
        <f>BD82*VLOOKUP('Données projet'!$B$11,Paramètres!$A$1:$I$89,3,0)*VLOOKUP('Données projet'!$B$11,Paramètres!$A$1:$I$89,5,0)</f>
        <v>218.94911999999997</v>
      </c>
      <c r="BF82" s="13">
        <f t="shared" si="91"/>
        <v>53.886418534175576</v>
      </c>
      <c r="BG82" s="20">
        <f t="shared" si="61"/>
        <v>475.18856294702238</v>
      </c>
      <c r="BH82" s="59">
        <f t="shared" si="62"/>
        <v>768.52189628035569</v>
      </c>
      <c r="BI82" s="59">
        <f ca="1">AVERAGE(OFFSET($BH$3,0,0,'Données projet'!$E$11+1,1))-AVERAGE(OFFSET($H$3,0,0,'Données projet'!$E$11+1,1))</f>
        <v>195.02599095557656</v>
      </c>
      <c r="BJ82" s="59">
        <f t="shared" si="92"/>
        <v>201.41413798956927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41.315051125357336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41.315051125357336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69.88800000000009</v>
      </c>
      <c r="D83" s="11">
        <f t="shared" si="86"/>
        <v>19.645641432461971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691.13688123304053</v>
      </c>
      <c r="H83" s="66">
        <f t="shared" si="56"/>
        <v>449.27109216153804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320</v>
      </c>
      <c r="L83" s="12">
        <f>VLOOKUP(A83,'Données projet'!$A$35:$I$55,9,0)</f>
        <v>7.2</v>
      </c>
      <c r="M83" s="12">
        <f t="array" ref="M83">INDEX(L:L,MIN(IF(ISNUMBER(L83:L279),ROW(L83:L279),"")))</f>
        <v>7.2</v>
      </c>
      <c r="N83" s="13">
        <f>IF('Données projet'!$A$36&gt;35,N82+M83-V82,IF(A83&lt;'Données projet'!$A$36,$K$205^A83,IF(A83='Données projet'!$A$36,'Données projet'!$B$36,N82+M83-V82)))</f>
        <v>320</v>
      </c>
      <c r="O83" s="13">
        <f>N83*VLOOKUP('Données projet'!$B$9,Paramètres!$A$1:$I$89,3,0)*VLOOKUP('Données projet'!$B$9,Paramètres!$A$1:$I$89,5,0)</f>
        <v>269.56800000000004</v>
      </c>
      <c r="P83" s="13">
        <f t="shared" si="87"/>
        <v>64.757579442439862</v>
      </c>
      <c r="Q83" s="20">
        <f t="shared" si="54"/>
        <v>582.28371752891621</v>
      </c>
      <c r="R83" s="59">
        <f t="shared" si="55"/>
        <v>875.61705086224947</v>
      </c>
      <c r="S83" s="59">
        <f ca="1">AVERAGE(OFFSET($R$3,0,0,'Données projet'!$E$9+1,1))-AVERAGE(OFFSET($H$3,0,0,'Données projet'!$E$9+1,1))</f>
        <v>267.44861001389006</v>
      </c>
      <c r="T83" s="59">
        <f t="shared" si="88"/>
        <v>165.25921510802965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28</v>
      </c>
      <c r="W83" s="16">
        <f>IF(ISNA(VLOOKUP(A83,'Données projet'!$A$35:$I$55,5,0)),0%,VLOOKUP(A83,'Données projet'!$A$35:$I$55,5,0)*VLOOKUP('Données projet'!$B$9,Paramètres!$A$1:$I$89,7,0))</f>
        <v>0.43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74.747303425572795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74.747303425572795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330</v>
      </c>
      <c r="AG83" s="12">
        <f>VLOOKUP(A83,'Données projet'!$A$61:$I$81,9,0)</f>
        <v>3.6</v>
      </c>
      <c r="AH83" s="12">
        <f t="array" ref="AH83">INDEX(AG:AG,MIN(IF(ISNUMBER(AG83:AG279),ROW(AG83:AG279),"")))</f>
        <v>3.6</v>
      </c>
      <c r="AI83" s="13">
        <f>IF('Données projet'!$A$62&gt;35,AI82+AH83-AQ82,IF(A83&lt;'Données projet'!$A$62,$AF$205^A83,IF(A83='Données projet'!$A$62,'Données projet'!$B$62,AI82+AH83-AQ82)))</f>
        <v>330</v>
      </c>
      <c r="AJ83" s="13">
        <f>AI83*VLOOKUP('Données projet'!$B$10,Paramètres!$A$1:$I$89,3,0)*VLOOKUP('Données projet'!$B$10,Paramètres!$A$1:$I$89,5,0)</f>
        <v>262.548</v>
      </c>
      <c r="AK83" s="13">
        <f t="shared" si="89"/>
        <v>63.265199933079444</v>
      </c>
      <c r="AL83" s="20">
        <f t="shared" si="58"/>
        <v>567.45798988344666</v>
      </c>
      <c r="AM83" s="59">
        <f t="shared" si="59"/>
        <v>860.79132321678003</v>
      </c>
      <c r="AN83" s="59">
        <f ca="1">AVERAGE(OFFSET($AM$3,0,0,'Données projet'!$E$10+1,1))-AVERAGE(OFFSET($H$3,0,0,'Données projet'!$E$10+1,1))</f>
        <v>244.70751760575268</v>
      </c>
      <c r="AO83" s="59">
        <f t="shared" si="90"/>
        <v>248.77995374147798</v>
      </c>
      <c r="AP83" s="15">
        <f>IF(ISNA(VLOOKUP(A83,'Données projet'!$A$61:$I$81,3,0)),0,VLOOKUP(A83,'Données projet'!$A$61:$I$81,3,0))</f>
        <v>14</v>
      </c>
      <c r="AQ83" s="15">
        <f>IF(ISNA(VLOOKUP(A83,'Données projet'!$A$61:$I$81,4,0)),0,VLOOKUP(A83,'Données projet'!$A$61:$I$81,4,0))</f>
        <v>11</v>
      </c>
      <c r="AR83" s="16">
        <f>IF(ISNA(VLOOKUP(A83,'Données projet'!$A$61:$I$81,5,0)),0%,VLOOKUP(A83,'Données projet'!$A$61:$I$81,5,0)*VLOOKUP('Données projet'!$B$10,Paramètres!$A$1:$I$89,7,0))</f>
        <v>0.53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53.168237644816656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53.168237644816656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330</v>
      </c>
      <c r="BB83" s="12">
        <f>VLOOKUP(A83,'Données projet'!$A$87:$I$107,9,0)</f>
        <v>3.6</v>
      </c>
      <c r="BC83" s="12">
        <f t="array" ref="BC83">INDEX(BB:BB,MIN(IF(ISNUMBER(BB83:BB279),ROW(BB83:BB279),"")))</f>
        <v>3.6</v>
      </c>
      <c r="BD83" s="12">
        <f>IF('Données projet'!$A$88&gt;35,BD82+BC83-BL82,IF(A83&lt;'Données projet'!$A$88,$BA$205^A83,IF(A83='Données projet'!$A$88,'Données projet'!$B$88,BD82+BC83-BL82)))</f>
        <v>330</v>
      </c>
      <c r="BE83" s="13">
        <f>BD83*VLOOKUP('Données projet'!$B$11,Paramètres!$A$1:$I$89,3,0)*VLOOKUP('Données projet'!$B$11,Paramètres!$A$1:$I$89,5,0)</f>
        <v>221.364</v>
      </c>
      <c r="BF83" s="13">
        <f t="shared" si="91"/>
        <v>54.411237653200793</v>
      </c>
      <c r="BG83" s="20">
        <f t="shared" si="61"/>
        <v>480.30853891265809</v>
      </c>
      <c r="BH83" s="59">
        <f t="shared" si="62"/>
        <v>773.64187224599141</v>
      </c>
      <c r="BI83" s="59">
        <f ca="1">AVERAGE(OFFSET($BH$3,0,0,'Données projet'!$E$11+1,1))-AVERAGE(OFFSET($H$3,0,0,'Données projet'!$E$11+1,1))</f>
        <v>195.02599095557656</v>
      </c>
      <c r="BJ83" s="59">
        <f t="shared" si="92"/>
        <v>201.41413798956927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11</v>
      </c>
      <c r="BM83" s="16">
        <f>IF(ISNA(VLOOKUP(A83,'Données projet'!$A$87:$I$107,5,0)),0%,VLOOKUP(A83,'Données projet'!$A$87:$I$107,5,0)*VLOOKUP('Données projet'!$B$11,Paramètres!$A$1:$I$89,7,0))</f>
        <v>0.53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44.828121935825806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44.828121935825806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70.761600000000087</v>
      </c>
      <c r="D84" s="11">
        <f t="shared" si="86"/>
        <v>19.862470414169785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699.55422775850423</v>
      </c>
      <c r="H84" s="66">
        <f t="shared" si="56"/>
        <v>451.1702559713458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6.8</v>
      </c>
      <c r="N84" s="13">
        <f>IF('Données projet'!$A$36&gt;35,N83+M84-V83,IF(A84&lt;'Données projet'!$A$36,$K$205^A84,IF(A84='Données projet'!$A$36,'Données projet'!$B$36,N83+M84-V83)))</f>
        <v>298.8</v>
      </c>
      <c r="O84" s="13">
        <f>N84*VLOOKUP('Données projet'!$B$9,Paramètres!$A$1:$I$89,3,0)*VLOOKUP('Données projet'!$B$9,Paramètres!$A$1:$I$89,5,0)</f>
        <v>251.70912000000001</v>
      </c>
      <c r="P84" s="13">
        <f t="shared" si="87"/>
        <v>60.951777927910598</v>
      </c>
      <c r="Q84" s="20">
        <f t="shared" si="54"/>
        <v>544.55106389111097</v>
      </c>
      <c r="R84" s="59">
        <f t="shared" si="55"/>
        <v>837.88439722444423</v>
      </c>
      <c r="S84" s="59">
        <f ca="1">AVERAGE(OFFSET($R$3,0,0,'Données projet'!$E$9+1,1))-AVERAGE(OFFSET($H$3,0,0,'Données projet'!$E$9+1,1))</f>
        <v>267.44861001389006</v>
      </c>
      <c r="T84" s="59">
        <f t="shared" si="88"/>
        <v>165.25921510802965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73.281554396750636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73.281554396750636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319</v>
      </c>
      <c r="AJ84" s="13">
        <f>AI84*VLOOKUP('Données projet'!$B$10,Paramètres!$A$1:$I$89,3,0)*VLOOKUP('Données projet'!$B$10,Paramètres!$A$1:$I$89,5,0)</f>
        <v>253.79640000000001</v>
      </c>
      <c r="AK84" s="13">
        <f t="shared" si="89"/>
        <v>61.39816832228076</v>
      </c>
      <c r="AL84" s="20">
        <f t="shared" si="58"/>
        <v>548.96387316130563</v>
      </c>
      <c r="AM84" s="59">
        <f t="shared" si="59"/>
        <v>842.29720649463889</v>
      </c>
      <c r="AN84" s="59">
        <f ca="1">AVERAGE(OFFSET($AM$3,0,0,'Données projet'!$E$10+1,1))-AVERAGE(OFFSET($H$3,0,0,'Données projet'!$E$10+1,1))</f>
        <v>244.70751760575268</v>
      </c>
      <c r="AO84" s="59">
        <f t="shared" si="90"/>
        <v>248.77995374147798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52.125640934024624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52.125640934024624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319</v>
      </c>
      <c r="BE84" s="13">
        <f>BD84*VLOOKUP('Données projet'!$B$11,Paramètres!$A$1:$I$89,3,0)*VLOOKUP('Données projet'!$B$11,Paramètres!$A$1:$I$89,5,0)</f>
        <v>213.98519999999999</v>
      </c>
      <c r="BF84" s="13">
        <f t="shared" si="91"/>
        <v>52.805497044008654</v>
      </c>
      <c r="BG84" s="20">
        <f t="shared" si="61"/>
        <v>464.66046401831505</v>
      </c>
      <c r="BH84" s="59">
        <f t="shared" si="62"/>
        <v>757.99379735164837</v>
      </c>
      <c r="BI84" s="59">
        <f ca="1">AVERAGE(OFFSET($BH$3,0,0,'Données projet'!$E$11+1,1))-AVERAGE(OFFSET($H$3,0,0,'Données projet'!$E$11+1,1))</f>
        <v>195.02599095557656</v>
      </c>
      <c r="BJ84" s="59">
        <f t="shared" si="92"/>
        <v>201.41413798956927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43.949069807118796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43.949069807118796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71.635200000000083</v>
      </c>
      <c r="D85" s="11">
        <f t="shared" si="86"/>
        <v>20.078988020012666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707.96917068080029</v>
      </c>
      <c r="H85" s="66">
        <f t="shared" si="56"/>
        <v>453.06887746818882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6.8</v>
      </c>
      <c r="N85" s="13">
        <f>IF('Données projet'!$A$36&gt;35,N84+M85-V84,IF(A85&lt;'Données projet'!$A$36,$K$205^A85,IF(A85='Données projet'!$A$36,'Données projet'!$B$36,N84+M85-V84)))</f>
        <v>305.60000000000002</v>
      </c>
      <c r="O85" s="13">
        <f>N85*VLOOKUP('Données projet'!$B$9,Paramètres!$A$1:$I$89,3,0)*VLOOKUP('Données projet'!$B$9,Paramètres!$A$1:$I$89,5,0)</f>
        <v>257.43744000000004</v>
      </c>
      <c r="P85" s="13">
        <f t="shared" si="87"/>
        <v>62.175829233865038</v>
      </c>
      <c r="Q85" s="20">
        <f t="shared" si="54"/>
        <v>556.65977724898164</v>
      </c>
      <c r="R85" s="59">
        <f t="shared" si="55"/>
        <v>849.99311058231501</v>
      </c>
      <c r="S85" s="59">
        <f ca="1">AVERAGE(OFFSET($R$3,0,0,'Données projet'!$E$9+1,1))-AVERAGE(OFFSET($H$3,0,0,'Données projet'!$E$9+1,1))</f>
        <v>267.44861001389006</v>
      </c>
      <c r="T85" s="59">
        <f t="shared" si="88"/>
        <v>165.25921510802965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71.844547812365036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71.844547812365036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319</v>
      </c>
      <c r="AJ85" s="13">
        <f>AI85*VLOOKUP('Données projet'!$B$10,Paramètres!$A$1:$I$89,3,0)*VLOOKUP('Données projet'!$B$10,Paramètres!$A$1:$I$89,5,0)</f>
        <v>253.79640000000001</v>
      </c>
      <c r="AK85" s="13">
        <f t="shared" si="89"/>
        <v>61.39816832228076</v>
      </c>
      <c r="AL85" s="20">
        <f t="shared" si="58"/>
        <v>548.96387316130563</v>
      </c>
      <c r="AM85" s="59">
        <f t="shared" si="59"/>
        <v>842.29720649463889</v>
      </c>
      <c r="AN85" s="59">
        <f ca="1">AVERAGE(OFFSET($AM$3,0,0,'Données projet'!$E$10+1,1))-AVERAGE(OFFSET($H$3,0,0,'Données projet'!$E$10+1,1))</f>
        <v>244.70751760575268</v>
      </c>
      <c r="AO85" s="59">
        <f t="shared" si="90"/>
        <v>248.77995374147798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51.103488908810021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51.103488908810021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319</v>
      </c>
      <c r="BE85" s="13">
        <f>BD85*VLOOKUP('Données projet'!$B$11,Paramètres!$A$1:$I$89,3,0)*VLOOKUP('Données projet'!$B$11,Paramètres!$A$1:$I$89,5,0)</f>
        <v>213.98519999999999</v>
      </c>
      <c r="BF85" s="13">
        <f t="shared" si="91"/>
        <v>52.805497044008654</v>
      </c>
      <c r="BG85" s="20">
        <f t="shared" si="61"/>
        <v>464.66046401831505</v>
      </c>
      <c r="BH85" s="59">
        <f t="shared" si="62"/>
        <v>757.99379735164837</v>
      </c>
      <c r="BI85" s="59">
        <f ca="1">AVERAGE(OFFSET($BH$3,0,0,'Données projet'!$E$11+1,1))-AVERAGE(OFFSET($H$3,0,0,'Données projet'!$E$11+1,1))</f>
        <v>195.02599095557656</v>
      </c>
      <c r="BJ85" s="59">
        <f t="shared" si="92"/>
        <v>201.41413798956927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43.087255354486878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43.087255354486878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72.508800000000079</v>
      </c>
      <c r="D86" s="11">
        <f t="shared" si="86"/>
        <v>20.295198486462844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716.38174270252091</v>
      </c>
      <c r="H86" s="66">
        <f t="shared" si="56"/>
        <v>454.96696403058957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6.8</v>
      </c>
      <c r="N86" s="13">
        <f>IF('Données projet'!$A$36&gt;35,N85+M86-V85,IF(A86&lt;'Données projet'!$A$36,$K$205^A86,IF(A86='Données projet'!$A$36,'Données projet'!$B$36,N85+M86-V85)))</f>
        <v>312.40000000000003</v>
      </c>
      <c r="O86" s="13">
        <f>N86*VLOOKUP('Données projet'!$B$9,Paramètres!$A$1:$I$89,3,0)*VLOOKUP('Données projet'!$B$9,Paramètres!$A$1:$I$89,5,0)</f>
        <v>263.16576000000003</v>
      </c>
      <c r="P86" s="13">
        <f t="shared" si="87"/>
        <v>63.396714008817959</v>
      </c>
      <c r="Q86" s="20">
        <f t="shared" si="54"/>
        <v>568.76297556535803</v>
      </c>
      <c r="R86" s="59">
        <f t="shared" si="55"/>
        <v>862.0963088986914</v>
      </c>
      <c r="S86" s="59">
        <f ca="1">AVERAGE(OFFSET($R$3,0,0,'Données projet'!$E$9+1,1))-AVERAGE(OFFSET($H$3,0,0,'Données projet'!$E$9+1,1))</f>
        <v>267.44861001389006</v>
      </c>
      <c r="T86" s="59">
        <f t="shared" si="88"/>
        <v>165.25921510802965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70.435720050611778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70.435720050611778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319</v>
      </c>
      <c r="AJ86" s="13">
        <f>AI86*VLOOKUP('Données projet'!$B$10,Paramètres!$A$1:$I$89,3,0)*VLOOKUP('Données projet'!$B$10,Paramètres!$A$1:$I$89,5,0)</f>
        <v>253.79640000000001</v>
      </c>
      <c r="AK86" s="13">
        <f t="shared" si="89"/>
        <v>61.39816832228076</v>
      </c>
      <c r="AL86" s="20">
        <f t="shared" si="58"/>
        <v>548.96387316130563</v>
      </c>
      <c r="AM86" s="59">
        <f t="shared" si="59"/>
        <v>842.29720649463889</v>
      </c>
      <c r="AN86" s="59">
        <f ca="1">AVERAGE(OFFSET($AM$3,0,0,'Données projet'!$E$10+1,1))-AVERAGE(OFFSET($H$3,0,0,'Données projet'!$E$10+1,1))</f>
        <v>244.70751760575268</v>
      </c>
      <c r="AO86" s="59">
        <f t="shared" si="90"/>
        <v>248.77995374147798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50.101380661358704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50.101380661358704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319</v>
      </c>
      <c r="BE86" s="13">
        <f>BD86*VLOOKUP('Données projet'!$B$11,Paramètres!$A$1:$I$89,3,0)*VLOOKUP('Données projet'!$B$11,Paramètres!$A$1:$I$89,5,0)</f>
        <v>213.98519999999999</v>
      </c>
      <c r="BF86" s="13">
        <f t="shared" si="91"/>
        <v>52.805497044008654</v>
      </c>
      <c r="BG86" s="20">
        <f t="shared" si="61"/>
        <v>464.66046401831505</v>
      </c>
      <c r="BH86" s="59">
        <f t="shared" si="62"/>
        <v>757.99379735164837</v>
      </c>
      <c r="BI86" s="59">
        <f ca="1">AVERAGE(OFFSET($BH$3,0,0,'Données projet'!$E$11+1,1))-AVERAGE(OFFSET($H$3,0,0,'Données projet'!$E$11+1,1))</f>
        <v>195.02599095557656</v>
      </c>
      <c r="BJ86" s="59">
        <f t="shared" si="92"/>
        <v>201.41413798956927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42.24234055761616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42.24234055761616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73.382400000000075</v>
      </c>
      <c r="D87" s="11">
        <f t="shared" si="86"/>
        <v>20.511105942035563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724.7919756929067</v>
      </c>
      <c r="H87" s="66">
        <f t="shared" si="56"/>
        <v>456.86452284904533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6.8</v>
      </c>
      <c r="N87" s="13">
        <f>IF('Données projet'!$A$36&gt;35,N86+M87-V86,IF(A87&lt;'Données projet'!$A$36,$K$205^A87,IF(A87='Données projet'!$A$36,'Données projet'!$B$36,N86+M87-V86)))</f>
        <v>319.20000000000005</v>
      </c>
      <c r="O87" s="13">
        <f>N87*VLOOKUP('Données projet'!$B$9,Paramètres!$A$1:$I$89,3,0)*VLOOKUP('Données projet'!$B$9,Paramètres!$A$1:$I$89,5,0)</f>
        <v>268.89408000000003</v>
      </c>
      <c r="P87" s="13">
        <f t="shared" si="87"/>
        <v>64.614509116360949</v>
      </c>
      <c r="Q87" s="20">
        <f t="shared" si="54"/>
        <v>580.86079271099538</v>
      </c>
      <c r="R87" s="59">
        <f t="shared" si="55"/>
        <v>874.19412604432864</v>
      </c>
      <c r="S87" s="59">
        <f ca="1">AVERAGE(OFFSET($R$3,0,0,'Données projet'!$E$9+1,1))-AVERAGE(OFFSET($H$3,0,0,'Données projet'!$E$9+1,1))</f>
        <v>267.44861001389006</v>
      </c>
      <c r="T87" s="59">
        <f t="shared" si="88"/>
        <v>165.25921510802965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69.054518541966416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69.054518541966416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319</v>
      </c>
      <c r="AJ87" s="13">
        <f>AI87*VLOOKUP('Données projet'!$B$10,Paramètres!$A$1:$I$89,3,0)*VLOOKUP('Données projet'!$B$10,Paramètres!$A$1:$I$89,5,0)</f>
        <v>253.79640000000001</v>
      </c>
      <c r="AK87" s="13">
        <f t="shared" si="89"/>
        <v>61.39816832228076</v>
      </c>
      <c r="AL87" s="20">
        <f t="shared" si="58"/>
        <v>548.96387316130563</v>
      </c>
      <c r="AM87" s="59">
        <f t="shared" si="59"/>
        <v>842.29720649463889</v>
      </c>
      <c r="AN87" s="59">
        <f ca="1">AVERAGE(OFFSET($AM$3,0,0,'Données projet'!$E$10+1,1))-AVERAGE(OFFSET($H$3,0,0,'Données projet'!$E$10+1,1))</f>
        <v>244.70751760575268</v>
      </c>
      <c r="AO87" s="59">
        <f t="shared" si="90"/>
        <v>248.77995374147798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49.118923145414229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49.118923145414229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319</v>
      </c>
      <c r="BE87" s="13">
        <f>BD87*VLOOKUP('Données projet'!$B$11,Paramètres!$A$1:$I$89,3,0)*VLOOKUP('Données projet'!$B$11,Paramètres!$A$1:$I$89,5,0)</f>
        <v>213.98519999999999</v>
      </c>
      <c r="BF87" s="13">
        <f t="shared" si="91"/>
        <v>52.805497044008654</v>
      </c>
      <c r="BG87" s="20">
        <f t="shared" si="61"/>
        <v>464.66046401831505</v>
      </c>
      <c r="BH87" s="59">
        <f t="shared" si="62"/>
        <v>757.99379735164837</v>
      </c>
      <c r="BI87" s="59">
        <f ca="1">AVERAGE(OFFSET($BH$3,0,0,'Données projet'!$E$11+1,1))-AVERAGE(OFFSET($H$3,0,0,'Données projet'!$E$11+1,1))</f>
        <v>195.02599095557656</v>
      </c>
      <c r="BJ87" s="59">
        <f t="shared" si="92"/>
        <v>201.41413798956927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41.413994024564936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41.413994024564936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74.256000000000071</v>
      </c>
      <c r="D88" s="11">
        <f t="shared" si="86"/>
        <v>20.726714411291841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733.19990071874463</v>
      </c>
      <c r="H88" s="66">
        <f t="shared" si="56"/>
        <v>458.76156093300006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326</v>
      </c>
      <c r="L88" s="12">
        <f>VLOOKUP(A88,'Données projet'!$A$35:$I$55,9,0)</f>
        <v>6.8</v>
      </c>
      <c r="M88" s="12">
        <f t="array" ref="M88">INDEX(L:L,MIN(IF(ISNUMBER(L88:L284),ROW(L88:L284),"")))</f>
        <v>6.8</v>
      </c>
      <c r="N88" s="13">
        <f>IF('Données projet'!$A$36&gt;35,N87+M88-V87,IF(A88&lt;'Données projet'!$A$36,$K$205^A88,IF(A88='Données projet'!$A$36,'Données projet'!$B$36,N87+M88-V87)))</f>
        <v>326.00000000000006</v>
      </c>
      <c r="O88" s="13">
        <f>N88*VLOOKUP('Données projet'!$B$9,Paramètres!$A$1:$I$89,3,0)*VLOOKUP('Données projet'!$B$9,Paramètres!$A$1:$I$89,5,0)</f>
        <v>274.62240000000008</v>
      </c>
      <c r="P88" s="13">
        <f t="shared" si="87"/>
        <v>65.829287958103762</v>
      </c>
      <c r="Q88" s="20">
        <f t="shared" si="54"/>
        <v>592.95335652703079</v>
      </c>
      <c r="R88" s="59">
        <f t="shared" si="55"/>
        <v>886.28668986036405</v>
      </c>
      <c r="S88" s="59">
        <f ca="1">AVERAGE(OFFSET($R$3,0,0,'Données projet'!$E$9+1,1))-AVERAGE(OFFSET($H$3,0,0,'Données projet'!$E$9+1,1))</f>
        <v>267.44861001389006</v>
      </c>
      <c r="T88" s="59">
        <f t="shared" si="88"/>
        <v>165.25921510802965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28</v>
      </c>
      <c r="W88" s="16">
        <f>IF(ISNA(VLOOKUP(A88,'Données projet'!$A$35:$I$55,5,0)),0%,VLOOKUP(A88,'Données projet'!$A$35:$I$55,5,0)*VLOOKUP('Données projet'!$B$9,Paramètres!$A$1:$I$89,7,0))</f>
        <v>0.43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78.912630454987266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78.912630454987266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319</v>
      </c>
      <c r="AJ88" s="13">
        <f>AI88*VLOOKUP('Données projet'!$B$10,Paramètres!$A$1:$I$89,3,0)*VLOOKUP('Données projet'!$B$10,Paramètres!$A$1:$I$89,5,0)</f>
        <v>253.79640000000001</v>
      </c>
      <c r="AK88" s="13">
        <f t="shared" si="89"/>
        <v>61.39816832228076</v>
      </c>
      <c r="AL88" s="20">
        <f t="shared" si="58"/>
        <v>548.96387316130563</v>
      </c>
      <c r="AM88" s="59">
        <f t="shared" si="59"/>
        <v>842.29720649463889</v>
      </c>
      <c r="AN88" s="59">
        <f ca="1">AVERAGE(OFFSET($AM$3,0,0,'Données projet'!$E$10+1,1))-AVERAGE(OFFSET($H$3,0,0,'Données projet'!$E$10+1,1))</f>
        <v>244.70751760575268</v>
      </c>
      <c r="AO88" s="59">
        <f t="shared" si="90"/>
        <v>248.77995374147798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48.155731022117514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48.155731022117514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319</v>
      </c>
      <c r="BE88" s="13">
        <f>BD88*VLOOKUP('Données projet'!$B$11,Paramètres!$A$1:$I$89,3,0)*VLOOKUP('Données projet'!$B$11,Paramètres!$A$1:$I$89,5,0)</f>
        <v>213.98519999999999</v>
      </c>
      <c r="BF88" s="13">
        <f t="shared" si="91"/>
        <v>52.805497044008654</v>
      </c>
      <c r="BG88" s="20">
        <f t="shared" si="61"/>
        <v>464.66046401831505</v>
      </c>
      <c r="BH88" s="59">
        <f t="shared" si="62"/>
        <v>757.99379735164837</v>
      </c>
      <c r="BI88" s="59">
        <f ca="1">AVERAGE(OFFSET($BH$3,0,0,'Données projet'!$E$11+1,1))-AVERAGE(OFFSET($H$3,0,0,'Données projet'!$E$11+1,1))</f>
        <v>195.02599095557656</v>
      </c>
      <c r="BJ88" s="59">
        <f t="shared" si="92"/>
        <v>201.41413798956927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40.60189086178535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40.60189086178535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75.129600000000067</v>
      </c>
      <c r="D89" s="11">
        <f t="shared" si="86"/>
        <v>20.942027818647599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741.6055480737715</v>
      </c>
      <c r="H89" s="66">
        <f t="shared" si="56"/>
        <v>460.65808511747798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6.4</v>
      </c>
      <c r="N89" s="13">
        <f>IF('Données projet'!$A$36&gt;35,N88+M89-V88,IF(A89&lt;'Données projet'!$A$36,$K$205^A89,IF(A89='Données projet'!$A$36,'Données projet'!$B$36,N88+M89-V88)))</f>
        <v>304.40000000000003</v>
      </c>
      <c r="O89" s="13">
        <f>N89*VLOOKUP('Données projet'!$B$9,Paramètres!$A$1:$I$89,3,0)*VLOOKUP('Données projet'!$B$9,Paramètres!$A$1:$I$89,5,0)</f>
        <v>256.42656000000005</v>
      </c>
      <c r="P89" s="13">
        <f t="shared" si="87"/>
        <v>61.960052520146306</v>
      </c>
      <c r="Q89" s="20">
        <f t="shared" si="54"/>
        <v>554.52335013925483</v>
      </c>
      <c r="R89" s="59">
        <f t="shared" si="55"/>
        <v>847.8566834725882</v>
      </c>
      <c r="S89" s="59">
        <f ca="1">AVERAGE(OFFSET($R$3,0,0,'Données projet'!$E$9+1,1))-AVERAGE(OFFSET($H$3,0,0,'Données projet'!$E$9+1,1))</f>
        <v>267.44861001389006</v>
      </c>
      <c r="T89" s="59">
        <f t="shared" si="88"/>
        <v>165.25921510802965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77.365201903716908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77.365201903716908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319</v>
      </c>
      <c r="AJ89" s="13">
        <f>AI89*VLOOKUP('Données projet'!$B$10,Paramètres!$A$1:$I$89,3,0)*VLOOKUP('Données projet'!$B$10,Paramètres!$A$1:$I$89,5,0)</f>
        <v>253.79640000000001</v>
      </c>
      <c r="AK89" s="13">
        <f t="shared" si="89"/>
        <v>61.39816832228076</v>
      </c>
      <c r="AL89" s="20">
        <f t="shared" si="58"/>
        <v>548.96387316130563</v>
      </c>
      <c r="AM89" s="59">
        <f t="shared" si="59"/>
        <v>842.29720649463889</v>
      </c>
      <c r="AN89" s="59">
        <f ca="1">AVERAGE(OFFSET($AM$3,0,0,'Données projet'!$E$10+1,1))-AVERAGE(OFFSET($H$3,0,0,'Données projet'!$E$10+1,1))</f>
        <v>244.70751760575268</v>
      </c>
      <c r="AO89" s="59">
        <f t="shared" si="90"/>
        <v>248.77995374147798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47.211426508869458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47.211426508869458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319</v>
      </c>
      <c r="BE89" s="13">
        <f>BD89*VLOOKUP('Données projet'!$B$11,Paramètres!$A$1:$I$89,3,0)*VLOOKUP('Données projet'!$B$11,Paramètres!$A$1:$I$89,5,0)</f>
        <v>213.98519999999999</v>
      </c>
      <c r="BF89" s="13">
        <f t="shared" si="91"/>
        <v>52.805497044008654</v>
      </c>
      <c r="BG89" s="20">
        <f t="shared" si="61"/>
        <v>464.66046401831505</v>
      </c>
      <c r="BH89" s="59">
        <f t="shared" si="62"/>
        <v>757.99379735164837</v>
      </c>
      <c r="BI89" s="59">
        <f ca="1">AVERAGE(OFFSET($BH$3,0,0,'Données projet'!$E$11+1,1))-AVERAGE(OFFSET($H$3,0,0,'Données projet'!$E$11+1,1))</f>
        <v>195.02599095557656</v>
      </c>
      <c r="BJ89" s="59">
        <f t="shared" si="92"/>
        <v>201.41413798956927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39.805712546693854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39.805712546693854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76.003200000000064</v>
      </c>
      <c r="D90" s="11">
        <f t="shared" si="86"/>
        <v>21.157049992000456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750.00894730667062</v>
      </c>
      <c r="H90" s="66">
        <f t="shared" si="56"/>
        <v>462.55410206940087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6.4</v>
      </c>
      <c r="N90" s="13">
        <f>IF('Données projet'!$A$36&gt;35,N89+M90-V89,IF(A90&lt;'Données projet'!$A$36,$K$205^A90,IF(A90='Données projet'!$A$36,'Données projet'!$B$36,N89+M90-V89)))</f>
        <v>310.8</v>
      </c>
      <c r="O90" s="13">
        <f>N90*VLOOKUP('Données projet'!$B$9,Paramètres!$A$1:$I$89,3,0)*VLOOKUP('Données projet'!$B$9,Paramètres!$A$1:$I$89,5,0)</f>
        <v>261.81792000000002</v>
      </c>
      <c r="P90" s="13">
        <f t="shared" si="87"/>
        <v>63.109727755181751</v>
      </c>
      <c r="Q90" s="20">
        <f t="shared" si="54"/>
        <v>565.91565317360812</v>
      </c>
      <c r="R90" s="59">
        <f t="shared" si="55"/>
        <v>859.24898650694149</v>
      </c>
      <c r="S90" s="59">
        <f ca="1">AVERAGE(OFFSET($R$3,0,0,'Données projet'!$E$9+1,1))-AVERAGE(OFFSET($H$3,0,0,'Données projet'!$E$9+1,1))</f>
        <v>267.44861001389006</v>
      </c>
      <c r="T90" s="59">
        <f t="shared" si="88"/>
        <v>165.25921510802965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75.848117482498736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75.848117482498736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319</v>
      </c>
      <c r="AJ90" s="13">
        <f>AI90*VLOOKUP('Données projet'!$B$10,Paramètres!$A$1:$I$89,3,0)*VLOOKUP('Données projet'!$B$10,Paramètres!$A$1:$I$89,5,0)</f>
        <v>253.79640000000001</v>
      </c>
      <c r="AK90" s="13">
        <f t="shared" si="89"/>
        <v>61.39816832228076</v>
      </c>
      <c r="AL90" s="20">
        <f t="shared" si="58"/>
        <v>548.96387316130563</v>
      </c>
      <c r="AM90" s="59">
        <f t="shared" si="59"/>
        <v>842.29720649463889</v>
      </c>
      <c r="AN90" s="59">
        <f ca="1">AVERAGE(OFFSET($AM$3,0,0,'Données projet'!$E$10+1,1))-AVERAGE(OFFSET($H$3,0,0,'Données projet'!$E$10+1,1))</f>
        <v>244.70751760575268</v>
      </c>
      <c r="AO90" s="59">
        <f t="shared" si="90"/>
        <v>248.77995374147798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46.285639231157319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46.285639231157319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319</v>
      </c>
      <c r="BE90" s="13">
        <f>BD90*VLOOKUP('Données projet'!$B$11,Paramètres!$A$1:$I$89,3,0)*VLOOKUP('Données projet'!$B$11,Paramètres!$A$1:$I$89,5,0)</f>
        <v>213.98519999999999</v>
      </c>
      <c r="BF90" s="13">
        <f t="shared" si="91"/>
        <v>52.805497044008654</v>
      </c>
      <c r="BG90" s="20">
        <f t="shared" si="61"/>
        <v>464.66046401831505</v>
      </c>
      <c r="BH90" s="59">
        <f t="shared" si="62"/>
        <v>757.99379735164837</v>
      </c>
      <c r="BI90" s="59">
        <f ca="1">AVERAGE(OFFSET($BH$3,0,0,'Données projet'!$E$11+1,1))-AVERAGE(OFFSET($H$3,0,0,'Données projet'!$E$11+1,1))</f>
        <v>195.02599095557656</v>
      </c>
      <c r="BJ90" s="59">
        <f t="shared" si="92"/>
        <v>201.41413798956927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39.02514680274048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39.02514680274048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76.87680000000006</v>
      </c>
      <c r="D91" s="11">
        <f t="shared" si="86"/>
        <v>21.371784666185135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758.41012724774544</v>
      </c>
      <c r="H91" s="66">
        <f t="shared" si="56"/>
        <v>464.44961829360585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6.4</v>
      </c>
      <c r="N91" s="13">
        <f>IF('Données projet'!$A$36&gt;35,N90+M91-V90,IF(A91&lt;'Données projet'!$A$36,$K$205^A91,IF(A91='Données projet'!$A$36,'Données projet'!$B$36,N90+M91-V90)))</f>
        <v>317.2</v>
      </c>
      <c r="O91" s="13">
        <f>N91*VLOOKUP('Données projet'!$B$9,Paramètres!$A$1:$I$89,3,0)*VLOOKUP('Données projet'!$B$9,Paramètres!$A$1:$I$89,5,0)</f>
        <v>267.20928000000004</v>
      </c>
      <c r="P91" s="13">
        <f t="shared" si="87"/>
        <v>64.256650415058076</v>
      </c>
      <c r="Q91" s="20">
        <f t="shared" si="54"/>
        <v>577.3031621395595</v>
      </c>
      <c r="R91" s="59">
        <f t="shared" si="55"/>
        <v>870.63649547289288</v>
      </c>
      <c r="S91" s="59">
        <f ca="1">AVERAGE(OFFSET($R$3,0,0,'Données projet'!$E$9+1,1))-AVERAGE(OFFSET($H$3,0,0,'Données projet'!$E$9+1,1))</f>
        <v>267.44861001389006</v>
      </c>
      <c r="T91" s="59">
        <f t="shared" si="88"/>
        <v>165.25921510802965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74.36078216145053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74.36078216145053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319</v>
      </c>
      <c r="AJ91" s="13">
        <f>AI91*VLOOKUP('Données projet'!$B$10,Paramètres!$A$1:$I$89,3,0)*VLOOKUP('Données projet'!$B$10,Paramètres!$A$1:$I$89,5,0)</f>
        <v>253.79640000000001</v>
      </c>
      <c r="AK91" s="13">
        <f t="shared" si="89"/>
        <v>61.39816832228076</v>
      </c>
      <c r="AL91" s="20">
        <f t="shared" si="58"/>
        <v>548.96387316130563</v>
      </c>
      <c r="AM91" s="59">
        <f t="shared" si="59"/>
        <v>842.29720649463889</v>
      </c>
      <c r="AN91" s="59">
        <f ca="1">AVERAGE(OFFSET($AM$3,0,0,'Données projet'!$E$10+1,1))-AVERAGE(OFFSET($H$3,0,0,'Données projet'!$E$10+1,1))</f>
        <v>244.70751760575268</v>
      </c>
      <c r="AO91" s="59">
        <f t="shared" si="90"/>
        <v>248.77995374147798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45.378006077286628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45.378006077286628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319</v>
      </c>
      <c r="BE91" s="13">
        <f>BD91*VLOOKUP('Données projet'!$B$11,Paramètres!$A$1:$I$89,3,0)*VLOOKUP('Données projet'!$B$11,Paramètres!$A$1:$I$89,5,0)</f>
        <v>213.98519999999999</v>
      </c>
      <c r="BF91" s="13">
        <f t="shared" si="91"/>
        <v>52.805497044008654</v>
      </c>
      <c r="BG91" s="20">
        <f t="shared" si="61"/>
        <v>464.66046401831505</v>
      </c>
      <c r="BH91" s="59">
        <f t="shared" si="62"/>
        <v>757.99379735164837</v>
      </c>
      <c r="BI91" s="59">
        <f ca="1">AVERAGE(OFFSET($BH$3,0,0,'Données projet'!$E$11+1,1))-AVERAGE(OFFSET($H$3,0,0,'Données projet'!$E$11+1,1))</f>
        <v>195.02599095557656</v>
      </c>
      <c r="BJ91" s="59">
        <f t="shared" si="92"/>
        <v>201.41413798956927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38.259887476927936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38.259887476927936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77.750400000000056</v>
      </c>
      <c r="D92" s="11">
        <f t="shared" si="86"/>
        <v>21.586235486267142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766.80911603434333</v>
      </c>
      <c r="H92" s="66">
        <f t="shared" si="56"/>
        <v>466.34464013858201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6.4</v>
      </c>
      <c r="N92" s="13">
        <f>IF('Données projet'!$A$36&gt;35,N91+M92-V91,IF(A92&lt;'Données projet'!$A$36,$K$205^A92,IF(A92='Données projet'!$A$36,'Données projet'!$B$36,N91+M92-V91)))</f>
        <v>323.59999999999997</v>
      </c>
      <c r="O92" s="13">
        <f>N92*VLOOKUP('Données projet'!$B$9,Paramètres!$A$1:$I$89,3,0)*VLOOKUP('Données projet'!$B$9,Paramètres!$A$1:$I$89,5,0)</f>
        <v>272.60064</v>
      </c>
      <c r="P92" s="13">
        <f t="shared" si="87"/>
        <v>65.400882437522853</v>
      </c>
      <c r="Q92" s="20">
        <f t="shared" si="54"/>
        <v>588.68598491201885</v>
      </c>
      <c r="R92" s="59">
        <f t="shared" si="55"/>
        <v>882.01931824535222</v>
      </c>
      <c r="S92" s="59">
        <f ca="1">AVERAGE(OFFSET($R$3,0,0,'Données projet'!$E$9+1,1))-AVERAGE(OFFSET($H$3,0,0,'Données projet'!$E$9+1,1))</f>
        <v>267.44861001389006</v>
      </c>
      <c r="T92" s="59">
        <f t="shared" si="88"/>
        <v>165.25921510802965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72.902612578863113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72.902612578863113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319</v>
      </c>
      <c r="AJ92" s="13">
        <f>AI92*VLOOKUP('Données projet'!$B$10,Paramètres!$A$1:$I$89,3,0)*VLOOKUP('Données projet'!$B$10,Paramètres!$A$1:$I$89,5,0)</f>
        <v>253.79640000000001</v>
      </c>
      <c r="AK92" s="13">
        <f t="shared" si="89"/>
        <v>61.39816832228076</v>
      </c>
      <c r="AL92" s="20">
        <f t="shared" si="58"/>
        <v>548.96387316130563</v>
      </c>
      <c r="AM92" s="59">
        <f t="shared" si="59"/>
        <v>842.29720649463889</v>
      </c>
      <c r="AN92" s="59">
        <f ca="1">AVERAGE(OFFSET($AM$3,0,0,'Données projet'!$E$10+1,1))-AVERAGE(OFFSET($H$3,0,0,'Données projet'!$E$10+1,1))</f>
        <v>244.70751760575268</v>
      </c>
      <c r="AO92" s="59">
        <f t="shared" si="90"/>
        <v>248.77995374147798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44.488171055961786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44.488171055961786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319</v>
      </c>
      <c r="BE92" s="13">
        <f>BD92*VLOOKUP('Données projet'!$B$11,Paramètres!$A$1:$I$89,3,0)*VLOOKUP('Données projet'!$B$11,Paramètres!$A$1:$I$89,5,0)</f>
        <v>213.98519999999999</v>
      </c>
      <c r="BF92" s="13">
        <f t="shared" si="91"/>
        <v>52.805497044008654</v>
      </c>
      <c r="BG92" s="20">
        <f t="shared" si="61"/>
        <v>464.66046401831505</v>
      </c>
      <c r="BH92" s="59">
        <f t="shared" si="62"/>
        <v>757.99379735164837</v>
      </c>
      <c r="BI92" s="59">
        <f ca="1">AVERAGE(OFFSET($BH$3,0,0,'Données projet'!$E$11+1,1))-AVERAGE(OFFSET($H$3,0,0,'Données projet'!$E$11+1,1))</f>
        <v>195.02599095557656</v>
      </c>
      <c r="BJ92" s="59">
        <f t="shared" si="92"/>
        <v>201.41413798956927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37.509634419732478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37.509634419732478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78.624000000000052</v>
      </c>
      <c r="D93" s="11">
        <f t="shared" si="86"/>
        <v>21.800406010684462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775.20594113510867</v>
      </c>
      <c r="H93" s="66">
        <f t="shared" si="56"/>
        <v>468.23917380194217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330</v>
      </c>
      <c r="L93" s="12">
        <f>VLOOKUP(A93,'Données projet'!$A$35:$I$55,9,0)</f>
        <v>6.4</v>
      </c>
      <c r="M93" s="12">
        <f t="array" ref="M93">INDEX(L:L,MIN(IF(ISNUMBER(L93:L289),ROW(L93:L289),"")))</f>
        <v>6.4</v>
      </c>
      <c r="N93" s="13">
        <f>IF('Données projet'!$A$36&gt;35,N92+M93-V92,IF(A93&lt;'Données projet'!$A$36,$K$205^A93,IF(A93='Données projet'!$A$36,'Données projet'!$B$36,N92+M93-V92)))</f>
        <v>329.99999999999994</v>
      </c>
      <c r="O93" s="13">
        <f>N93*VLOOKUP('Données projet'!$B$9,Paramètres!$A$1:$I$89,3,0)*VLOOKUP('Données projet'!$B$9,Paramètres!$A$1:$I$89,5,0)</f>
        <v>277.99200000000002</v>
      </c>
      <c r="P93" s="13">
        <f t="shared" si="87"/>
        <v>66.542483170264177</v>
      </c>
      <c r="Q93" s="20">
        <f t="shared" si="54"/>
        <v>600.06422485487678</v>
      </c>
      <c r="R93" s="59">
        <f t="shared" si="55"/>
        <v>893.39755818821004</v>
      </c>
      <c r="S93" s="59">
        <f ca="1">AVERAGE(OFFSET($R$3,0,0,'Données projet'!$E$9+1,1))-AVERAGE(OFFSET($H$3,0,0,'Données projet'!$E$9+1,1))</f>
        <v>267.44861001389006</v>
      </c>
      <c r="T93" s="59">
        <f t="shared" si="88"/>
        <v>165.25921510802965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28</v>
      </c>
      <c r="W93" s="16">
        <f>IF(ISNA(VLOOKUP(A93,'Données projet'!$A$35:$I$55,5,0)),0%,VLOOKUP(A93,'Données projet'!$A$35:$I$55,5,0)*VLOOKUP('Données projet'!$B$9,Paramètres!$A$1:$I$89,7,0))</f>
        <v>0.43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82.685265714926032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82.685265714926032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319</v>
      </c>
      <c r="AJ93" s="13">
        <f>AI93*VLOOKUP('Données projet'!$B$10,Paramètres!$A$1:$I$89,3,0)*VLOOKUP('Données projet'!$B$10,Paramètres!$A$1:$I$89,5,0)</f>
        <v>253.79640000000001</v>
      </c>
      <c r="AK93" s="13">
        <f t="shared" si="89"/>
        <v>61.39816832228076</v>
      </c>
      <c r="AL93" s="20">
        <f t="shared" si="58"/>
        <v>548.96387316130563</v>
      </c>
      <c r="AM93" s="59">
        <f t="shared" si="59"/>
        <v>842.29720649463889</v>
      </c>
      <c r="AN93" s="59">
        <f ca="1">AVERAGE(OFFSET($AM$3,0,0,'Données projet'!$E$10+1,1))-AVERAGE(OFFSET($H$3,0,0,'Données projet'!$E$10+1,1))</f>
        <v>244.70751760575268</v>
      </c>
      <c r="AO93" s="59">
        <f t="shared" si="90"/>
        <v>248.77995374147798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43.615785156659349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43.615785156659349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319</v>
      </c>
      <c r="BE93" s="13">
        <f>BD93*VLOOKUP('Données projet'!$B$11,Paramètres!$A$1:$I$89,3,0)*VLOOKUP('Données projet'!$B$11,Paramètres!$A$1:$I$89,5,0)</f>
        <v>213.98519999999999</v>
      </c>
      <c r="BF93" s="13">
        <f t="shared" si="91"/>
        <v>52.805497044008654</v>
      </c>
      <c r="BG93" s="20">
        <f t="shared" si="61"/>
        <v>464.66046401831505</v>
      </c>
      <c r="BH93" s="59">
        <f t="shared" si="62"/>
        <v>757.99379735164837</v>
      </c>
      <c r="BI93" s="59">
        <f ca="1">AVERAGE(OFFSET($BH$3,0,0,'Données projet'!$E$11+1,1))-AVERAGE(OFFSET($H$3,0,0,'Données projet'!$E$11+1,1))</f>
        <v>195.02599095557656</v>
      </c>
      <c r="BJ93" s="59">
        <f t="shared" si="92"/>
        <v>201.41413798956927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36.774093367379443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36.774093367379443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79.497600000000048</v>
      </c>
      <c r="D94" s="11">
        <f t="shared" si="86"/>
        <v>22.014299714245357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783.6006293731225</v>
      </c>
      <c r="H94" s="66">
        <f t="shared" si="56"/>
        <v>470.13322533564406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6.2</v>
      </c>
      <c r="N94" s="13">
        <f>IF('Données projet'!$A$36&gt;35,N93+M94-V93,IF(A94&lt;'Données projet'!$A$36,$K$205^A94,IF(A94='Données projet'!$A$36,'Données projet'!$B$36,N93+M94-V93)))</f>
        <v>308.19999999999993</v>
      </c>
      <c r="O94" s="13">
        <f>N94*VLOOKUP('Données projet'!$B$9,Paramètres!$A$1:$I$89,3,0)*VLOOKUP('Données projet'!$B$9,Paramètres!$A$1:$I$89,5,0)</f>
        <v>259.62767999999994</v>
      </c>
      <c r="P94" s="13">
        <f t="shared" si="87"/>
        <v>62.643007760076095</v>
      </c>
      <c r="Q94" s="20">
        <f t="shared" si="54"/>
        <v>561.28811451546574</v>
      </c>
      <c r="R94" s="59">
        <f t="shared" si="55"/>
        <v>854.62144784879911</v>
      </c>
      <c r="S94" s="59">
        <f ca="1">AVERAGE(OFFSET($R$3,0,0,'Données projet'!$E$9+1,1))-AVERAGE(OFFSET($H$3,0,0,'Données projet'!$E$9+1,1))</f>
        <v>267.44861001389006</v>
      </c>
      <c r="T94" s="59">
        <f t="shared" si="88"/>
        <v>165.25921510802965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81.063858087288565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81.063858087288565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319</v>
      </c>
      <c r="AJ94" s="13">
        <f>AI94*VLOOKUP('Données projet'!$B$10,Paramètres!$A$1:$I$89,3,0)*VLOOKUP('Données projet'!$B$10,Paramètres!$A$1:$I$89,5,0)</f>
        <v>253.79640000000001</v>
      </c>
      <c r="AK94" s="13">
        <f t="shared" si="89"/>
        <v>61.39816832228076</v>
      </c>
      <c r="AL94" s="20">
        <f t="shared" si="58"/>
        <v>548.96387316130563</v>
      </c>
      <c r="AM94" s="59">
        <f t="shared" si="59"/>
        <v>842.29720649463889</v>
      </c>
      <c r="AN94" s="59">
        <f ca="1">AVERAGE(OFFSET($AM$3,0,0,'Données projet'!$E$10+1,1))-AVERAGE(OFFSET($H$3,0,0,'Données projet'!$E$10+1,1))</f>
        <v>244.70751760575268</v>
      </c>
      <c r="AO94" s="59">
        <f t="shared" si="90"/>
        <v>248.77995374147798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42.760506212739379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42.760506212739379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319</v>
      </c>
      <c r="BE94" s="13">
        <f>BD94*VLOOKUP('Données projet'!$B$11,Paramètres!$A$1:$I$89,3,0)*VLOOKUP('Données projet'!$B$11,Paramètres!$A$1:$I$89,5,0)</f>
        <v>213.98519999999999</v>
      </c>
      <c r="BF94" s="13">
        <f t="shared" si="91"/>
        <v>52.805497044008654</v>
      </c>
      <c r="BG94" s="20">
        <f t="shared" si="61"/>
        <v>464.66046401831505</v>
      </c>
      <c r="BH94" s="59">
        <f t="shared" si="62"/>
        <v>757.99379735164837</v>
      </c>
      <c r="BI94" s="59">
        <f ca="1">AVERAGE(OFFSET($BH$3,0,0,'Données projet'!$E$11+1,1))-AVERAGE(OFFSET($H$3,0,0,'Données projet'!$E$11+1,1))</f>
        <v>195.02599095557656</v>
      </c>
      <c r="BJ94" s="59">
        <f t="shared" si="92"/>
        <v>201.41413798956927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36.052975826427307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36.052975826427307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80.371200000000044</v>
      </c>
      <c r="D95" s="11">
        <f t="shared" si="86"/>
        <v>22.227919990990831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791.99320694799974</v>
      </c>
      <c r="H95" s="66">
        <f t="shared" si="56"/>
        <v>472.0268006509757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6.2</v>
      </c>
      <c r="N95" s="13">
        <f>IF('Données projet'!$A$36&gt;35,N94+M95-V94,IF(A95&lt;'Données projet'!$A$36,$K$205^A95,IF(A95='Données projet'!$A$36,'Données projet'!$B$36,N94+M95-V94)))</f>
        <v>314.39999999999992</v>
      </c>
      <c r="O95" s="13">
        <f>N95*VLOOKUP('Données projet'!$B$9,Paramètres!$A$1:$I$89,3,0)*VLOOKUP('Données projet'!$B$9,Paramètres!$A$1:$I$89,5,0)</f>
        <v>264.85055999999997</v>
      </c>
      <c r="P95" s="13">
        <f t="shared" si="87"/>
        <v>63.755206416242395</v>
      </c>
      <c r="Q95" s="20">
        <f t="shared" si="54"/>
        <v>572.32170984162212</v>
      </c>
      <c r="R95" s="59">
        <f t="shared" si="55"/>
        <v>865.65504317495538</v>
      </c>
      <c r="S95" s="59">
        <f ca="1">AVERAGE(OFFSET($R$3,0,0,'Données projet'!$E$9+1,1))-AVERAGE(OFFSET($H$3,0,0,'Données projet'!$E$9+1,1))</f>
        <v>267.44861001389006</v>
      </c>
      <c r="T95" s="59">
        <f t="shared" si="88"/>
        <v>165.25921510802965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79.474245274268071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79.474245274268071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319</v>
      </c>
      <c r="AJ95" s="13">
        <f>AI95*VLOOKUP('Données projet'!$B$10,Paramètres!$A$1:$I$89,3,0)*VLOOKUP('Données projet'!$B$10,Paramètres!$A$1:$I$89,5,0)</f>
        <v>253.79640000000001</v>
      </c>
      <c r="AK95" s="13">
        <f t="shared" si="89"/>
        <v>61.39816832228076</v>
      </c>
      <c r="AL95" s="20">
        <f t="shared" si="58"/>
        <v>548.96387316130563</v>
      </c>
      <c r="AM95" s="59">
        <f t="shared" si="59"/>
        <v>842.29720649463889</v>
      </c>
      <c r="AN95" s="59">
        <f ca="1">AVERAGE(OFFSET($AM$3,0,0,'Données projet'!$E$10+1,1))-AVERAGE(OFFSET($H$3,0,0,'Données projet'!$E$10+1,1))</f>
        <v>244.70751760575268</v>
      </c>
      <c r="AO95" s="59">
        <f t="shared" si="90"/>
        <v>248.77995374147798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41.921998767241035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41.921998767241035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319</v>
      </c>
      <c r="BE95" s="13">
        <f>BD95*VLOOKUP('Données projet'!$B$11,Paramètres!$A$1:$I$89,3,0)*VLOOKUP('Données projet'!$B$11,Paramètres!$A$1:$I$89,5,0)</f>
        <v>213.98519999999999</v>
      </c>
      <c r="BF95" s="13">
        <f t="shared" si="91"/>
        <v>52.805497044008654</v>
      </c>
      <c r="BG95" s="20">
        <f t="shared" si="61"/>
        <v>464.66046401831505</v>
      </c>
      <c r="BH95" s="59">
        <f t="shared" si="62"/>
        <v>757.99379735164837</v>
      </c>
      <c r="BI95" s="59">
        <f ca="1">AVERAGE(OFFSET($BH$3,0,0,'Données projet'!$E$11+1,1))-AVERAGE(OFFSET($H$3,0,0,'Données projet'!$E$11+1,1))</f>
        <v>195.02599095557656</v>
      </c>
      <c r="BJ95" s="59">
        <f t="shared" si="92"/>
        <v>201.41413798956927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35.345998960614978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35.345998960614978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81.244800000000041</v>
      </c>
      <c r="D96" s="11">
        <f t="shared" si="86"/>
        <v>22.441270156928979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800.38369945699606</v>
      </c>
      <c r="H96" s="66">
        <f t="shared" si="56"/>
        <v>473.91990552331799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6.2</v>
      </c>
      <c r="N96" s="13">
        <f>IF('Données projet'!$A$36&gt;35,N95+M96-V95,IF(A96&lt;'Données projet'!$A$36,$K$205^A96,IF(A96='Données projet'!$A$36,'Données projet'!$B$36,N95+M96-V95)))</f>
        <v>320.59999999999991</v>
      </c>
      <c r="O96" s="13">
        <f>N96*VLOOKUP('Données projet'!$B$9,Paramètres!$A$1:$I$89,3,0)*VLOOKUP('Données projet'!$B$9,Paramètres!$A$1:$I$89,5,0)</f>
        <v>270.07343999999995</v>
      </c>
      <c r="P96" s="13">
        <f t="shared" si="87"/>
        <v>64.864854862635113</v>
      </c>
      <c r="Q96" s="20">
        <f t="shared" si="54"/>
        <v>583.35086355242277</v>
      </c>
      <c r="R96" s="59">
        <f t="shared" si="55"/>
        <v>876.68419688575614</v>
      </c>
      <c r="S96" s="59">
        <f ca="1">AVERAGE(OFFSET($R$3,0,0,'Données projet'!$E$9+1,1))-AVERAGE(OFFSET($H$3,0,0,'Données projet'!$E$9+1,1))</f>
        <v>267.44861001389006</v>
      </c>
      <c r="T96" s="59">
        <f t="shared" si="88"/>
        <v>165.25921510802965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77.915803798942832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77.915803798942832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319</v>
      </c>
      <c r="AJ96" s="13">
        <f>AI96*VLOOKUP('Données projet'!$B$10,Paramètres!$A$1:$I$89,3,0)*VLOOKUP('Données projet'!$B$10,Paramètres!$A$1:$I$89,5,0)</f>
        <v>253.79640000000001</v>
      </c>
      <c r="AK96" s="13">
        <f t="shared" si="89"/>
        <v>61.39816832228076</v>
      </c>
      <c r="AL96" s="20">
        <f t="shared" si="58"/>
        <v>548.96387316130563</v>
      </c>
      <c r="AM96" s="59">
        <f t="shared" si="59"/>
        <v>842.29720649463889</v>
      </c>
      <c r="AN96" s="59">
        <f ca="1">AVERAGE(OFFSET($AM$3,0,0,'Données projet'!$E$10+1,1))-AVERAGE(OFFSET($H$3,0,0,'Données projet'!$E$10+1,1))</f>
        <v>244.70751760575268</v>
      </c>
      <c r="AO96" s="59">
        <f t="shared" si="90"/>
        <v>248.77995374147798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41.099933941309871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41.099933941309871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319</v>
      </c>
      <c r="BE96" s="13">
        <f>BD96*VLOOKUP('Données projet'!$B$11,Paramètres!$A$1:$I$89,3,0)*VLOOKUP('Données projet'!$B$11,Paramètres!$A$1:$I$89,5,0)</f>
        <v>213.98519999999999</v>
      </c>
      <c r="BF96" s="13">
        <f t="shared" si="91"/>
        <v>52.805497044008654</v>
      </c>
      <c r="BG96" s="20">
        <f t="shared" si="61"/>
        <v>464.66046401831505</v>
      </c>
      <c r="BH96" s="59">
        <f t="shared" si="62"/>
        <v>757.99379735164837</v>
      </c>
      <c r="BI96" s="59">
        <f ca="1">AVERAGE(OFFSET($BH$3,0,0,'Données projet'!$E$11+1,1))-AVERAGE(OFFSET($H$3,0,0,'Données projet'!$E$11+1,1))</f>
        <v>195.02599095557656</v>
      </c>
      <c r="BJ96" s="59">
        <f t="shared" si="92"/>
        <v>201.41413798956927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34.652885479927917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34.652885479927917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82.118400000000037</v>
      </c>
      <c r="D97" s="11">
        <f t="shared" si="86"/>
        <v>22.654353452648408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808.77213191518103</v>
      </c>
      <c r="H97" s="66">
        <f t="shared" si="56"/>
        <v>475.81254559669605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6.2</v>
      </c>
      <c r="N97" s="13">
        <f>IF('Données projet'!$A$36&gt;35,N96+M97-V96,IF(A97&lt;'Données projet'!$A$36,$K$205^A97,IF(A97='Données projet'!$A$36,'Données projet'!$B$36,N96+M97-V96)))</f>
        <v>326.7999999999999</v>
      </c>
      <c r="O97" s="13">
        <f>N97*VLOOKUP('Données projet'!$B$9,Paramètres!$A$1:$I$89,3,0)*VLOOKUP('Données projet'!$B$9,Paramètres!$A$1:$I$89,5,0)</f>
        <v>275.29631999999992</v>
      </c>
      <c r="P97" s="13">
        <f t="shared" si="87"/>
        <v>65.972008102689301</v>
      </c>
      <c r="Q97" s="20">
        <f t="shared" si="54"/>
        <v>594.37567144551701</v>
      </c>
      <c r="R97" s="59">
        <f t="shared" si="55"/>
        <v>887.70900477885039</v>
      </c>
      <c r="S97" s="59">
        <f ca="1">AVERAGE(OFFSET($R$3,0,0,'Données projet'!$E$9+1,1))-AVERAGE(OFFSET($H$3,0,0,'Données projet'!$E$9+1,1))</f>
        <v>267.44861001389006</v>
      </c>
      <c r="T97" s="59">
        <f t="shared" si="88"/>
        <v>165.25921510802965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76.387922410393287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76.387922410393287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319</v>
      </c>
      <c r="AJ97" s="13">
        <f>AI97*VLOOKUP('Données projet'!$B$10,Paramètres!$A$1:$I$89,3,0)*VLOOKUP('Données projet'!$B$10,Paramètres!$A$1:$I$89,5,0)</f>
        <v>253.79640000000001</v>
      </c>
      <c r="AK97" s="13">
        <f t="shared" si="89"/>
        <v>61.39816832228076</v>
      </c>
      <c r="AL97" s="20">
        <f t="shared" si="58"/>
        <v>548.96387316130563</v>
      </c>
      <c r="AM97" s="59">
        <f t="shared" si="59"/>
        <v>842.29720649463889</v>
      </c>
      <c r="AN97" s="59">
        <f ca="1">AVERAGE(OFFSET($AM$3,0,0,'Données projet'!$E$10+1,1))-AVERAGE(OFFSET($H$3,0,0,'Données projet'!$E$10+1,1))</f>
        <v>244.70751760575268</v>
      </c>
      <c r="AO97" s="59">
        <f t="shared" si="90"/>
        <v>248.77995374147798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40.29398930520518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40.29398930520518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319</v>
      </c>
      <c r="BE97" s="13">
        <f>BD97*VLOOKUP('Données projet'!$B$11,Paramètres!$A$1:$I$89,3,0)*VLOOKUP('Données projet'!$B$11,Paramètres!$A$1:$I$89,5,0)</f>
        <v>213.98519999999999</v>
      </c>
      <c r="BF97" s="13">
        <f t="shared" si="91"/>
        <v>52.805497044008654</v>
      </c>
      <c r="BG97" s="20">
        <f t="shared" si="61"/>
        <v>464.66046401831505</v>
      </c>
      <c r="BH97" s="59">
        <f t="shared" si="62"/>
        <v>757.99379735164837</v>
      </c>
      <c r="BI97" s="59">
        <f ca="1">AVERAGE(OFFSET($BH$3,0,0,'Données projet'!$E$11+1,1))-AVERAGE(OFFSET($H$3,0,0,'Données projet'!$E$11+1,1))</f>
        <v>195.02599095557656</v>
      </c>
      <c r="BJ97" s="59">
        <f t="shared" si="92"/>
        <v>201.41413798956927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33.973363531839652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33.973363531839652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82.992000000000033</v>
      </c>
      <c r="D98" s="11">
        <f t="shared" si="86"/>
        <v>22.867173045817324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817.15852877473037</v>
      </c>
      <c r="H98" s="66">
        <f t="shared" si="56"/>
        <v>477.70472638813186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333</v>
      </c>
      <c r="L98" s="12">
        <f>VLOOKUP(A98,'Données projet'!$A$35:$I$55,9,0)</f>
        <v>6.2</v>
      </c>
      <c r="M98" s="12">
        <f t="array" ref="M98">INDEX(L:L,MIN(IF(ISNUMBER(L98:L294),ROW(L98:L294),"")))</f>
        <v>6.2</v>
      </c>
      <c r="N98" s="13">
        <f>IF('Données projet'!$A$36&gt;35,N97+M98-V97,IF(A98&lt;'Données projet'!$A$36,$K$205^A98,IF(A98='Données projet'!$A$36,'Données projet'!$B$36,N97+M98-V97)))</f>
        <v>332.99999999999989</v>
      </c>
      <c r="O98" s="13">
        <f>N98*VLOOKUP('Données projet'!$B$9,Paramètres!$A$1:$I$89,3,0)*VLOOKUP('Données projet'!$B$9,Paramètres!$A$1:$I$89,5,0)</f>
        <v>280.5191999999999</v>
      </c>
      <c r="P98" s="13">
        <f t="shared" si="87"/>
        <v>67.076718933381159</v>
      </c>
      <c r="Q98" s="20">
        <f t="shared" si="54"/>
        <v>605.39622547563874</v>
      </c>
      <c r="R98" s="59">
        <f t="shared" si="55"/>
        <v>898.72955880897212</v>
      </c>
      <c r="S98" s="59">
        <f ca="1">AVERAGE(OFFSET($R$3,0,0,'Données projet'!$E$9+1,1))-AVERAGE(OFFSET($H$3,0,0,'Données projet'!$E$9+1,1))</f>
        <v>267.44861001389006</v>
      </c>
      <c r="T98" s="59">
        <f t="shared" si="88"/>
        <v>165.25921510802965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28</v>
      </c>
      <c r="W98" s="16">
        <f>IF(ISNA(VLOOKUP(A98,'Données projet'!$A$35:$I$55,5,0)),0%,VLOOKUP(A98,'Données projet'!$A$35:$I$55,5,0)*VLOOKUP('Données projet'!$B$9,Paramètres!$A$1:$I$89,7,0))</f>
        <v>0.43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86.102230746488999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86.102230746488999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319</v>
      </c>
      <c r="AJ98" s="13">
        <f>AI98*VLOOKUP('Données projet'!$B$10,Paramètres!$A$1:$I$89,3,0)*VLOOKUP('Données projet'!$B$10,Paramètres!$A$1:$I$89,5,0)</f>
        <v>253.79640000000001</v>
      </c>
      <c r="AK98" s="13">
        <f t="shared" si="89"/>
        <v>61.39816832228076</v>
      </c>
      <c r="AL98" s="20">
        <f t="shared" si="58"/>
        <v>548.96387316130563</v>
      </c>
      <c r="AM98" s="59">
        <f t="shared" si="59"/>
        <v>842.29720649463889</v>
      </c>
      <c r="AN98" s="59">
        <f ca="1">AVERAGE(OFFSET($AM$3,0,0,'Données projet'!$E$10+1,1))-AVERAGE(OFFSET($H$3,0,0,'Données projet'!$E$10+1,1))</f>
        <v>244.70751760575268</v>
      </c>
      <c r="AO98" s="59">
        <f t="shared" si="90"/>
        <v>248.77995374147798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39.503848751836813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39.503848751836813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319</v>
      </c>
      <c r="BE98" s="13">
        <f>BD98*VLOOKUP('Données projet'!$B$11,Paramètres!$A$1:$I$89,3,0)*VLOOKUP('Données projet'!$B$11,Paramètres!$A$1:$I$89,5,0)</f>
        <v>213.98519999999999</v>
      </c>
      <c r="BF98" s="13">
        <f t="shared" si="91"/>
        <v>52.805497044008654</v>
      </c>
      <c r="BG98" s="20">
        <f t="shared" si="61"/>
        <v>464.66046401831505</v>
      </c>
      <c r="BH98" s="59">
        <f t="shared" si="62"/>
        <v>757.99379735164837</v>
      </c>
      <c r="BI98" s="59">
        <f ca="1">AVERAGE(OFFSET($BH$3,0,0,'Données projet'!$E$11+1,1))-AVERAGE(OFFSET($H$3,0,0,'Données projet'!$E$11+1,1))</f>
        <v>195.02599095557656</v>
      </c>
      <c r="BJ98" s="59">
        <f t="shared" si="92"/>
        <v>201.41413798956927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33.307166594685931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33.307166594685931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83.865600000000029</v>
      </c>
      <c r="D99" s="11">
        <f t="shared" si="86"/>
        <v>23.079732033574274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825.54291394338054</v>
      </c>
      <c r="H99" s="66">
        <f t="shared" si="56"/>
        <v>479.59645329180853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5.6</v>
      </c>
      <c r="N99" s="13">
        <f>IF('Données projet'!$A$36&gt;35,N98+M99-V98,IF(A99&lt;'Données projet'!$A$36,$K$205^A99,IF(A99='Données projet'!$A$36,'Données projet'!$B$36,N98+M99-V98)))</f>
        <v>310.59999999999991</v>
      </c>
      <c r="O99" s="13">
        <f>N99*VLOOKUP('Données projet'!$B$9,Paramètres!$A$1:$I$89,3,0)*VLOOKUP('Données projet'!$B$9,Paramètres!$A$1:$I$89,5,0)</f>
        <v>261.64943999999997</v>
      </c>
      <c r="P99" s="13">
        <f t="shared" si="87"/>
        <v>63.073842398428624</v>
      </c>
      <c r="Q99" s="20">
        <f t="shared" ref="Q99:Q130" si="107">(O99+P99)*0.475*44/12</f>
        <v>565.55971684392978</v>
      </c>
      <c r="R99" s="59">
        <f t="shared" si="55"/>
        <v>858.89305017726315</v>
      </c>
      <c r="S99" s="59">
        <f ca="1">AVERAGE(OFFSET($R$3,0,0,'Données projet'!$E$9+1,1))-AVERAGE(OFFSET($H$3,0,0,'Données projet'!$E$9+1,1))</f>
        <v>267.44861001389006</v>
      </c>
      <c r="T99" s="59">
        <f t="shared" si="88"/>
        <v>165.25921510802965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84.413818518725463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84.413818518725463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319</v>
      </c>
      <c r="AJ99" s="13">
        <f>AI99*VLOOKUP('Données projet'!$B$10,Paramètres!$A$1:$I$89,3,0)*VLOOKUP('Données projet'!$B$10,Paramètres!$A$1:$I$89,5,0)</f>
        <v>253.79640000000001</v>
      </c>
      <c r="AK99" s="13">
        <f t="shared" si="89"/>
        <v>61.39816832228076</v>
      </c>
      <c r="AL99" s="20">
        <f t="shared" si="58"/>
        <v>548.96387316130563</v>
      </c>
      <c r="AM99" s="59">
        <f t="shared" si="59"/>
        <v>842.29720649463889</v>
      </c>
      <c r="AN99" s="59">
        <f ca="1">AVERAGE(OFFSET($AM$3,0,0,'Données projet'!$E$10+1,1))-AVERAGE(OFFSET($H$3,0,0,'Données projet'!$E$10+1,1))</f>
        <v>244.70751760575268</v>
      </c>
      <c r="AO99" s="59">
        <f t="shared" si="90"/>
        <v>248.77995374147798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38.729202372781849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38.729202372781849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319</v>
      </c>
      <c r="BE99" s="13">
        <f>BD99*VLOOKUP('Données projet'!$B$11,Paramètres!$A$1:$I$89,3,0)*VLOOKUP('Données projet'!$B$11,Paramètres!$A$1:$I$89,5,0)</f>
        <v>213.98519999999999</v>
      </c>
      <c r="BF99" s="13">
        <f t="shared" si="91"/>
        <v>52.805497044008654</v>
      </c>
      <c r="BG99" s="20">
        <f t="shared" si="61"/>
        <v>464.66046401831505</v>
      </c>
      <c r="BH99" s="59">
        <f t="shared" si="62"/>
        <v>757.99379735164837</v>
      </c>
      <c r="BI99" s="59">
        <f ca="1">AVERAGE(OFFSET($BH$3,0,0,'Données projet'!$E$11+1,1))-AVERAGE(OFFSET($H$3,0,0,'Données projet'!$E$11+1,1))</f>
        <v>195.02599095557656</v>
      </c>
      <c r="BJ99" s="59">
        <f t="shared" si="92"/>
        <v>201.41413798956927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32.654033373129785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32.654033373129785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84.739200000000025</v>
      </c>
      <c r="D100" s="11">
        <f t="shared" si="86"/>
        <v>23.292033444816514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833.92531080209255</v>
      </c>
      <c r="H100" s="66">
        <f t="shared" si="56"/>
        <v>481.48773158305545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5.6</v>
      </c>
      <c r="N100" s="13">
        <f>IF('Données projet'!$A$36&gt;35,N99+M100-V99,IF(A100&lt;'Données projet'!$A$36,$K$205^A100,IF(A100='Données projet'!$A$36,'Données projet'!$B$36,N99+M100-V99)))</f>
        <v>316.19999999999993</v>
      </c>
      <c r="O100" s="13">
        <f>N100*VLOOKUP('Données projet'!$B$9,Paramètres!$A$1:$I$89,3,0)*VLOOKUP('Données projet'!$B$9,Paramètres!$A$1:$I$89,5,0)</f>
        <v>266.36687999999992</v>
      </c>
      <c r="P100" s="13">
        <f t="shared" si="87"/>
        <v>64.077622653233107</v>
      </c>
      <c r="Q100" s="20">
        <f t="shared" si="107"/>
        <v>575.52417545438084</v>
      </c>
      <c r="R100" s="59">
        <f t="shared" si="55"/>
        <v>868.8575087877141</v>
      </c>
      <c r="S100" s="59">
        <f ca="1">AVERAGE(OFFSET($R$3,0,0,'Données projet'!$E$9+1,1))-AVERAGE(OFFSET($H$3,0,0,'Données projet'!$E$9+1,1))</f>
        <v>267.44861001389006</v>
      </c>
      <c r="T100" s="59">
        <f t="shared" si="88"/>
        <v>165.25921510802965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82.758515024918594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82.758515024918594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319</v>
      </c>
      <c r="AJ100" s="13">
        <f>AI100*VLOOKUP('Données projet'!$B$10,Paramètres!$A$1:$I$89,3,0)*VLOOKUP('Données projet'!$B$10,Paramètres!$A$1:$I$89,5,0)</f>
        <v>253.79640000000001</v>
      </c>
      <c r="AK100" s="13">
        <f t="shared" si="89"/>
        <v>61.39816832228076</v>
      </c>
      <c r="AL100" s="20">
        <f t="shared" si="58"/>
        <v>548.96387316130563</v>
      </c>
      <c r="AM100" s="59">
        <f t="shared" si="59"/>
        <v>842.29720649463889</v>
      </c>
      <c r="AN100" s="59">
        <f ca="1">AVERAGE(OFFSET($AM$3,0,0,'Données projet'!$E$10+1,1))-AVERAGE(OFFSET($H$3,0,0,'Données projet'!$E$10+1,1))</f>
        <v>244.70751760575268</v>
      </c>
      <c r="AO100" s="59">
        <f t="shared" si="90"/>
        <v>248.77995374147798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37.96974633673252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37.96974633673252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319</v>
      </c>
      <c r="BE100" s="13">
        <f>BD100*VLOOKUP('Données projet'!$B$11,Paramètres!$A$1:$I$89,3,0)*VLOOKUP('Données projet'!$B$11,Paramètres!$A$1:$I$89,5,0)</f>
        <v>213.98519999999999</v>
      </c>
      <c r="BF100" s="13">
        <f t="shared" si="91"/>
        <v>52.805497044008654</v>
      </c>
      <c r="BG100" s="20">
        <f t="shared" si="61"/>
        <v>464.66046401831505</v>
      </c>
      <c r="BH100" s="59">
        <f t="shared" si="62"/>
        <v>757.99379735164837</v>
      </c>
      <c r="BI100" s="59">
        <f ca="1">AVERAGE(OFFSET($BH$3,0,0,'Données projet'!$E$11+1,1))-AVERAGE(OFFSET($H$3,0,0,'Données projet'!$E$11+1,1))</f>
        <v>195.02599095557656</v>
      </c>
      <c r="BJ100" s="59">
        <f t="shared" si="92"/>
        <v>201.41413798956927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32.01370769567643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32.01370769567643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85.612800000000021</v>
      </c>
      <c r="D101" s="11">
        <f t="shared" si="86"/>
        <v>23.504080242391282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842.30574222196799</v>
      </c>
      <c r="H101" s="66">
        <f t="shared" si="56"/>
        <v>483.37856642216479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5.6</v>
      </c>
      <c r="N101" s="13">
        <f>IF('Données projet'!$A$36&gt;35,N100+M101-V100,IF(A101&lt;'Données projet'!$A$36,$K$205^A101,IF(A101='Données projet'!$A$36,'Données projet'!$B$36,N100+M101-V100)))</f>
        <v>321.79999999999995</v>
      </c>
      <c r="O101" s="13">
        <f>N101*VLOOKUP('Données projet'!$B$9,Paramètres!$A$1:$I$89,3,0)*VLOOKUP('Données projet'!$B$9,Paramètres!$A$1:$I$89,5,0)</f>
        <v>271.08431999999999</v>
      </c>
      <c r="P101" s="13">
        <f t="shared" si="87"/>
        <v>65.079335652211455</v>
      </c>
      <c r="Q101" s="20">
        <f t="shared" si="107"/>
        <v>585.4850335942682</v>
      </c>
      <c r="R101" s="59">
        <f t="shared" si="55"/>
        <v>878.81836692760157</v>
      </c>
      <c r="S101" s="59">
        <f ca="1">AVERAGE(OFFSET($R$3,0,0,'Données projet'!$E$9+1,1))-AVERAGE(OFFSET($H$3,0,0,'Données projet'!$E$9+1,1))</f>
        <v>267.44861001389006</v>
      </c>
      <c r="T101" s="59">
        <f t="shared" si="88"/>
        <v>165.25921510802965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81.13567102298984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81.13567102298984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319</v>
      </c>
      <c r="AJ101" s="13">
        <f>AI101*VLOOKUP('Données projet'!$B$10,Paramètres!$A$1:$I$89,3,0)*VLOOKUP('Données projet'!$B$10,Paramètres!$A$1:$I$89,5,0)</f>
        <v>253.79640000000001</v>
      </c>
      <c r="AK101" s="13">
        <f t="shared" si="89"/>
        <v>61.39816832228076</v>
      </c>
      <c r="AL101" s="20">
        <f t="shared" si="58"/>
        <v>548.96387316130563</v>
      </c>
      <c r="AM101" s="59">
        <f t="shared" si="59"/>
        <v>842.29720649463889</v>
      </c>
      <c r="AN101" s="59">
        <f ca="1">AVERAGE(OFFSET($AM$3,0,0,'Données projet'!$E$10+1,1))-AVERAGE(OFFSET($H$3,0,0,'Données projet'!$E$10+1,1))</f>
        <v>244.70751760575268</v>
      </c>
      <c r="AO101" s="59">
        <f t="shared" si="90"/>
        <v>248.77995374147798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37.22518277032767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37.22518277032767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319</v>
      </c>
      <c r="BE101" s="13">
        <f>BD101*VLOOKUP('Données projet'!$B$11,Paramètres!$A$1:$I$89,3,0)*VLOOKUP('Données projet'!$B$11,Paramètres!$A$1:$I$89,5,0)</f>
        <v>213.98519999999999</v>
      </c>
      <c r="BF101" s="13">
        <f t="shared" si="91"/>
        <v>52.805497044008654</v>
      </c>
      <c r="BG101" s="20">
        <f t="shared" si="61"/>
        <v>464.66046401831505</v>
      </c>
      <c r="BH101" s="59">
        <f t="shared" si="62"/>
        <v>757.99379735164837</v>
      </c>
      <c r="BI101" s="59">
        <f ca="1">AVERAGE(OFFSET($BH$3,0,0,'Données projet'!$E$11+1,1))-AVERAGE(OFFSET($H$3,0,0,'Données projet'!$E$11+1,1))</f>
        <v>195.02599095557656</v>
      </c>
      <c r="BJ101" s="59">
        <f t="shared" si="92"/>
        <v>201.41413798956927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31.385938414197835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31.385938414197835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86.486400000000017</v>
      </c>
      <c r="D102" s="11">
        <f t="shared" si="86"/>
        <v>23.715875325195146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850.68423058045391</v>
      </c>
      <c r="H102" s="66">
        <f t="shared" si="56"/>
        <v>485.26896285804821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5.6</v>
      </c>
      <c r="N102" s="13">
        <f>IF('Données projet'!$A$36&gt;35,N101+M102-V101,IF(A102&lt;'Données projet'!$A$36,$K$205^A102,IF(A102='Données projet'!$A$36,'Données projet'!$B$36,N101+M102-V101)))</f>
        <v>327.39999999999998</v>
      </c>
      <c r="O102" s="13">
        <f>N102*VLOOKUP('Données projet'!$B$9,Paramètres!$A$1:$I$89,3,0)*VLOOKUP('Données projet'!$B$9,Paramètres!$A$1:$I$89,5,0)</f>
        <v>275.80176</v>
      </c>
      <c r="P102" s="13">
        <f t="shared" si="87"/>
        <v>66.079021520862696</v>
      </c>
      <c r="Q102" s="20">
        <f t="shared" si="107"/>
        <v>595.44236114883586</v>
      </c>
      <c r="R102" s="59">
        <f t="shared" si="55"/>
        <v>888.77569448216923</v>
      </c>
      <c r="S102" s="59">
        <f ca="1">AVERAGE(OFFSET($R$3,0,0,'Données projet'!$E$9+1,1))-AVERAGE(OFFSET($H$3,0,0,'Données projet'!$E$9+1,1))</f>
        <v>267.44861001389006</v>
      </c>
      <c r="T102" s="59">
        <f t="shared" si="88"/>
        <v>165.25921510802965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79.544650002101818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79.544650002101818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319</v>
      </c>
      <c r="AJ102" s="13">
        <f>AI102*VLOOKUP('Données projet'!$B$10,Paramètres!$A$1:$I$89,3,0)*VLOOKUP('Données projet'!$B$10,Paramètres!$A$1:$I$89,5,0)</f>
        <v>253.79640000000001</v>
      </c>
      <c r="AK102" s="13">
        <f t="shared" si="89"/>
        <v>61.39816832228076</v>
      </c>
      <c r="AL102" s="20">
        <f t="shared" si="58"/>
        <v>548.96387316130563</v>
      </c>
      <c r="AM102" s="59">
        <f t="shared" si="59"/>
        <v>842.29720649463889</v>
      </c>
      <c r="AN102" s="59">
        <f ca="1">AVERAGE(OFFSET($AM$3,0,0,'Données projet'!$E$10+1,1))-AVERAGE(OFFSET($H$3,0,0,'Données projet'!$E$10+1,1))</f>
        <v>244.70751760575268</v>
      </c>
      <c r="AO102" s="59">
        <f t="shared" si="90"/>
        <v>248.77995374147798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36.495219641321093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36.495219641321093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319</v>
      </c>
      <c r="BE102" s="13">
        <f>BD102*VLOOKUP('Données projet'!$B$11,Paramètres!$A$1:$I$89,3,0)*VLOOKUP('Données projet'!$B$11,Paramètres!$A$1:$I$89,5,0)</f>
        <v>213.98519999999999</v>
      </c>
      <c r="BF102" s="13">
        <f t="shared" si="91"/>
        <v>52.805497044008654</v>
      </c>
      <c r="BG102" s="20">
        <f t="shared" si="61"/>
        <v>464.66046401831505</v>
      </c>
      <c r="BH102" s="59">
        <f t="shared" si="62"/>
        <v>757.99379735164837</v>
      </c>
      <c r="BI102" s="59">
        <f ca="1">AVERAGE(OFFSET($BH$3,0,0,'Données projet'!$E$11+1,1))-AVERAGE(OFFSET($H$3,0,0,'Données projet'!$E$11+1,1))</f>
        <v>195.02599095557656</v>
      </c>
      <c r="BJ102" s="59">
        <f t="shared" si="92"/>
        <v>201.41413798956927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30.770479305427582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30.770479305427582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87.360000000000014</v>
      </c>
      <c r="D103" s="11">
        <f t="shared" si="86"/>
        <v>23.927421530185931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859.06079777687398</v>
      </c>
      <c r="H103" s="66">
        <f t="shared" si="56"/>
        <v>487.15892583174048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333</v>
      </c>
      <c r="L103" s="12">
        <f>VLOOKUP(A103,'Données projet'!$A$35:$I$55,9,0)</f>
        <v>5.6</v>
      </c>
      <c r="M103" s="12">
        <f t="array" ref="M103">INDEX(L:L,MIN(IF(ISNUMBER(L103:L299),ROW(L103:L299),"")))</f>
        <v>5.6</v>
      </c>
      <c r="N103" s="13">
        <f>IF('Données projet'!$A$36&gt;35,N102+M103-V102,IF(A103&lt;'Données projet'!$A$36,$K$205^A103,IF(A103='Données projet'!$A$36,'Données projet'!$B$36,N102+M103-V102)))</f>
        <v>333</v>
      </c>
      <c r="O103" s="13">
        <f>N103*VLOOKUP('Données projet'!$B$9,Paramètres!$A$1:$I$89,3,0)*VLOOKUP('Données projet'!$B$9,Paramètres!$A$1:$I$89,5,0)</f>
        <v>280.51920000000007</v>
      </c>
      <c r="P103" s="13">
        <f t="shared" si="87"/>
        <v>67.07671893338123</v>
      </c>
      <c r="Q103" s="20">
        <f t="shared" si="107"/>
        <v>605.39622547563897</v>
      </c>
      <c r="R103" s="59">
        <f t="shared" si="55"/>
        <v>898.72955880897234</v>
      </c>
      <c r="S103" s="59">
        <f ca="1">AVERAGE(OFFSET($R$3,0,0,'Données projet'!$E$9+1,1))-AVERAGE(OFFSET($H$3,0,0,'Données projet'!$E$9+1,1))</f>
        <v>267.44861001389006</v>
      </c>
      <c r="T103" s="59">
        <f t="shared" si="88"/>
        <v>165.25921510802965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27</v>
      </c>
      <c r="W103" s="16">
        <f>IF(ISNA(VLOOKUP(A103,'Données projet'!$A$35:$I$55,5,0)),0%,VLOOKUP(A103,'Données projet'!$A$35:$I$55,5,0)*VLOOKUP('Données projet'!$B$9,Paramètres!$A$1:$I$89,7,0))</f>
        <v>0.43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88.796620089018845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88.796620089018845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319</v>
      </c>
      <c r="AJ103" s="13">
        <f>AI103*VLOOKUP('Données projet'!$B$10,Paramètres!$A$1:$I$89,3,0)*VLOOKUP('Données projet'!$B$10,Paramètres!$A$1:$I$89,5,0)</f>
        <v>253.79640000000001</v>
      </c>
      <c r="AK103" s="13">
        <f t="shared" si="89"/>
        <v>61.39816832228076</v>
      </c>
      <c r="AL103" s="20">
        <f t="shared" si="58"/>
        <v>548.96387316130563</v>
      </c>
      <c r="AM103" s="59">
        <f t="shared" si="59"/>
        <v>842.29720649463889</v>
      </c>
      <c r="AN103" s="59">
        <f ca="1">AVERAGE(OFFSET($AM$3,0,0,'Données projet'!$E$10+1,1))-AVERAGE(OFFSET($H$3,0,0,'Données projet'!$E$10+1,1))</f>
        <v>244.70751760575268</v>
      </c>
      <c r="AO103" s="59">
        <f t="shared" si="90"/>
        <v>248.77995374147798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35.779570644040788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35.779570644040788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319</v>
      </c>
      <c r="BE103" s="13">
        <f>BD103*VLOOKUP('Données projet'!$B$11,Paramètres!$A$1:$I$89,3,0)*VLOOKUP('Données projet'!$B$11,Paramètres!$A$1:$I$89,5,0)</f>
        <v>213.98519999999999</v>
      </c>
      <c r="BF103" s="13">
        <f t="shared" si="91"/>
        <v>52.805497044008654</v>
      </c>
      <c r="BG103" s="20">
        <f t="shared" si="61"/>
        <v>464.66046401831505</v>
      </c>
      <c r="BH103" s="59">
        <f t="shared" si="62"/>
        <v>757.99379735164837</v>
      </c>
      <c r="BI103" s="59">
        <f ca="1">AVERAGE(OFFSET($BH$3,0,0,'Données projet'!$E$11+1,1))-AVERAGE(OFFSET($H$3,0,0,'Données projet'!$E$11+1,1))</f>
        <v>195.02599095557656</v>
      </c>
      <c r="BJ103" s="59">
        <f t="shared" si="92"/>
        <v>201.41413798956927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30.167088974387323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30.167088974387323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88.23360000000001</v>
      </c>
      <c r="D104" s="11">
        <f t="shared" si="86"/>
        <v>24.138721634312098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867.43546524732153</v>
      </c>
      <c r="H104" s="66">
        <f t="shared" si="56"/>
        <v>489.04846017976024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5.4</v>
      </c>
      <c r="N104" s="13">
        <f>IF('Données projet'!$A$36&gt;35,N103+M104-V103,IF(A104&lt;'Données projet'!$A$36,$K$205^A104,IF(A104='Données projet'!$A$36,'Données projet'!$B$36,N103+M104-V103)))</f>
        <v>311.39999999999998</v>
      </c>
      <c r="O104" s="13">
        <f>N104*VLOOKUP('Données projet'!$B$9,Paramètres!$A$1:$I$89,3,0)*VLOOKUP('Données projet'!$B$9,Paramètres!$A$1:$I$89,5,0)</f>
        <v>262.32336000000004</v>
      </c>
      <c r="P104" s="13">
        <f t="shared" si="87"/>
        <v>63.217367706132244</v>
      </c>
      <c r="Q104" s="20">
        <f t="shared" si="107"/>
        <v>566.98343408818027</v>
      </c>
      <c r="R104" s="59">
        <f t="shared" si="55"/>
        <v>860.31676742151353</v>
      </c>
      <c r="S104" s="59">
        <f ca="1">AVERAGE(OFFSET($R$3,0,0,'Données projet'!$E$9+1,1))-AVERAGE(OFFSET($H$3,0,0,'Données projet'!$E$9+1,1))</f>
        <v>267.44861001389006</v>
      </c>
      <c r="T104" s="59">
        <f t="shared" si="88"/>
        <v>165.25921510802965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87.055372529663529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87.055372529663529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319</v>
      </c>
      <c r="AJ104" s="13">
        <f>AI104*VLOOKUP('Données projet'!$B$10,Paramètres!$A$1:$I$89,3,0)*VLOOKUP('Données projet'!$B$10,Paramètres!$A$1:$I$89,5,0)</f>
        <v>253.79640000000001</v>
      </c>
      <c r="AK104" s="13">
        <f t="shared" si="89"/>
        <v>61.39816832228076</v>
      </c>
      <c r="AL104" s="20">
        <f t="shared" si="58"/>
        <v>548.96387316130563</v>
      </c>
      <c r="AM104" s="59">
        <f t="shared" si="59"/>
        <v>842.29720649463889</v>
      </c>
      <c r="AN104" s="59">
        <f ca="1">AVERAGE(OFFSET($AM$3,0,0,'Données projet'!$E$10+1,1))-AVERAGE(OFFSET($H$3,0,0,'Données projet'!$E$10+1,1))</f>
        <v>244.70751760575268</v>
      </c>
      <c r="AO104" s="59">
        <f t="shared" si="90"/>
        <v>248.77995374147798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35.077955087094359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35.077955087094359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319</v>
      </c>
      <c r="BE104" s="13">
        <f>BD104*VLOOKUP('Données projet'!$B$11,Paramètres!$A$1:$I$89,3,0)*VLOOKUP('Données projet'!$B$11,Paramètres!$A$1:$I$89,5,0)</f>
        <v>213.98519999999999</v>
      </c>
      <c r="BF104" s="13">
        <f t="shared" si="91"/>
        <v>52.805497044008654</v>
      </c>
      <c r="BG104" s="20">
        <f t="shared" si="61"/>
        <v>464.66046401831505</v>
      </c>
      <c r="BH104" s="59">
        <f t="shared" si="62"/>
        <v>757.99379735164837</v>
      </c>
      <c r="BI104" s="59">
        <f ca="1">AVERAGE(OFFSET($BH$3,0,0,'Données projet'!$E$11+1,1))-AVERAGE(OFFSET($H$3,0,0,'Données projet'!$E$11+1,1))</f>
        <v>195.02599095557656</v>
      </c>
      <c r="BJ104" s="59">
        <f t="shared" si="92"/>
        <v>201.41413798956927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29.575530759707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29.575530759707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89.107200000000006</v>
      </c>
      <c r="D105" s="11">
        <f t="shared" si="86"/>
        <v>24.349778356363352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875.80825397894523</v>
      </c>
      <c r="H105" s="66">
        <f t="shared" si="56"/>
        <v>490.93757063733278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5.4</v>
      </c>
      <c r="N105" s="13">
        <f>IF('Données projet'!$A$36&gt;35,N104+M105-V104,IF(A105&lt;'Données projet'!$A$36,$K$205^A105,IF(A105='Données projet'!$A$36,'Données projet'!$B$36,N104+M105-V104)))</f>
        <v>316.79999999999995</v>
      </c>
      <c r="O105" s="13">
        <f>N105*VLOOKUP('Données projet'!$B$9,Paramètres!$A$1:$I$89,3,0)*VLOOKUP('Données projet'!$B$9,Paramètres!$A$1:$I$89,5,0)</f>
        <v>266.87231999999995</v>
      </c>
      <c r="P105" s="13">
        <f t="shared" si="87"/>
        <v>64.185047205393062</v>
      </c>
      <c r="Q105" s="20">
        <f t="shared" si="107"/>
        <v>576.59158121605947</v>
      </c>
      <c r="R105" s="59">
        <f t="shared" si="55"/>
        <v>869.92491454939272</v>
      </c>
      <c r="S105" s="59">
        <f ca="1">AVERAGE(OFFSET($R$3,0,0,'Données projet'!$E$9+1,1))-AVERAGE(OFFSET($H$3,0,0,'Données projet'!$E$9+1,1))</f>
        <v>267.44861001389006</v>
      </c>
      <c r="T105" s="59">
        <f t="shared" si="88"/>
        <v>165.25921510802965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85.34826977289103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85.34826977289103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319</v>
      </c>
      <c r="AJ105" s="13">
        <f>AI105*VLOOKUP('Données projet'!$B$10,Paramètres!$A$1:$I$89,3,0)*VLOOKUP('Données projet'!$B$10,Paramètres!$A$1:$I$89,5,0)</f>
        <v>253.79640000000001</v>
      </c>
      <c r="AK105" s="13">
        <f t="shared" si="89"/>
        <v>61.39816832228076</v>
      </c>
      <c r="AL105" s="20">
        <f t="shared" si="58"/>
        <v>548.96387316130563</v>
      </c>
      <c r="AM105" s="59">
        <f t="shared" si="59"/>
        <v>842.29720649463889</v>
      </c>
      <c r="AN105" s="59">
        <f ca="1">AVERAGE(OFFSET($AM$3,0,0,'Données projet'!$E$10+1,1))-AVERAGE(OFFSET($H$3,0,0,'Données projet'!$E$10+1,1))</f>
        <v>244.70751760575268</v>
      </c>
      <c r="AO105" s="59">
        <f t="shared" si="90"/>
        <v>248.77995374147798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34.390097783276417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34.390097783276417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319</v>
      </c>
      <c r="BE105" s="13">
        <f>BD105*VLOOKUP('Données projet'!$B$11,Paramètres!$A$1:$I$89,3,0)*VLOOKUP('Données projet'!$B$11,Paramètres!$A$1:$I$89,5,0)</f>
        <v>213.98519999999999</v>
      </c>
      <c r="BF105" s="13">
        <f t="shared" si="91"/>
        <v>52.805497044008654</v>
      </c>
      <c r="BG105" s="20">
        <f t="shared" si="61"/>
        <v>464.66046401831505</v>
      </c>
      <c r="BH105" s="59">
        <f t="shared" si="62"/>
        <v>757.99379735164837</v>
      </c>
      <c r="BI105" s="59">
        <f ca="1">AVERAGE(OFFSET($BH$3,0,0,'Données projet'!$E$11+1,1))-AVERAGE(OFFSET($H$3,0,0,'Données projet'!$E$11+1,1))</f>
        <v>195.02599095557656</v>
      </c>
      <c r="BJ105" s="59">
        <f t="shared" si="92"/>
        <v>201.41413798956927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28.995572640801676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28.995572640801676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89.980800000000002</v>
      </c>
      <c r="D106" s="11">
        <f t="shared" si="86"/>
        <v>24.560594358746627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884.17918452365814</v>
      </c>
      <c r="H106" s="66">
        <f t="shared" si="56"/>
        <v>492.82626184148364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5.4</v>
      </c>
      <c r="N106" s="13">
        <f>IF('Données projet'!$A$36&gt;35,N105+M106-V105,IF(A106&lt;'Données projet'!$A$36,$K$205^A106,IF(A106='Données projet'!$A$36,'Données projet'!$B$36,N105+M106-V105)))</f>
        <v>322.19999999999993</v>
      </c>
      <c r="O106" s="13">
        <f>N106*VLOOKUP('Données projet'!$B$9,Paramètres!$A$1:$I$89,3,0)*VLOOKUP('Données projet'!$B$9,Paramètres!$A$1:$I$89,5,0)</f>
        <v>271.42127999999997</v>
      </c>
      <c r="P106" s="13">
        <f t="shared" si="87"/>
        <v>65.15080854578764</v>
      </c>
      <c r="Q106" s="20">
        <f t="shared" si="107"/>
        <v>586.19638755057997</v>
      </c>
      <c r="R106" s="59">
        <f t="shared" si="55"/>
        <v>879.52972088391334</v>
      </c>
      <c r="S106" s="59">
        <f ca="1">AVERAGE(OFFSET($R$3,0,0,'Données projet'!$E$9+1,1))-AVERAGE(OFFSET($H$3,0,0,'Données projet'!$E$9+1,1))</f>
        <v>267.44861001389006</v>
      </c>
      <c r="T106" s="59">
        <f t="shared" si="88"/>
        <v>165.25921510802965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83.674642259948968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83.674642259948968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319</v>
      </c>
      <c r="AJ106" s="13">
        <f>AI106*VLOOKUP('Données projet'!$B$10,Paramètres!$A$1:$I$89,3,0)*VLOOKUP('Données projet'!$B$10,Paramètres!$A$1:$I$89,5,0)</f>
        <v>253.79640000000001</v>
      </c>
      <c r="AK106" s="13">
        <f t="shared" si="89"/>
        <v>61.39816832228076</v>
      </c>
      <c r="AL106" s="20">
        <f t="shared" si="58"/>
        <v>548.96387316130563</v>
      </c>
      <c r="AM106" s="59">
        <f t="shared" si="59"/>
        <v>842.29720649463889</v>
      </c>
      <c r="AN106" s="59">
        <f ca="1">AVERAGE(OFFSET($AM$3,0,0,'Données projet'!$E$10+1,1))-AVERAGE(OFFSET($H$3,0,0,'Données projet'!$E$10+1,1))</f>
        <v>244.70751760575268</v>
      </c>
      <c r="AO106" s="59">
        <f t="shared" si="90"/>
        <v>248.77995374147798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33.715728941634815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33.715728941634815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319</v>
      </c>
      <c r="BE106" s="13">
        <f>BD106*VLOOKUP('Données projet'!$B$11,Paramètres!$A$1:$I$89,3,0)*VLOOKUP('Données projet'!$B$11,Paramètres!$A$1:$I$89,5,0)</f>
        <v>213.98519999999999</v>
      </c>
      <c r="BF106" s="13">
        <f t="shared" si="91"/>
        <v>52.805497044008654</v>
      </c>
      <c r="BG106" s="20">
        <f t="shared" si="61"/>
        <v>464.66046401831505</v>
      </c>
      <c r="BH106" s="59">
        <f t="shared" si="62"/>
        <v>757.99379735164837</v>
      </c>
      <c r="BI106" s="59">
        <f ca="1">AVERAGE(OFFSET($BH$3,0,0,'Données projet'!$E$11+1,1))-AVERAGE(OFFSET($H$3,0,0,'Données projet'!$E$11+1,1))</f>
        <v>195.02599095557656</v>
      </c>
      <c r="BJ106" s="59">
        <f t="shared" si="92"/>
        <v>201.41413798956927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28.426987146868562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28.426987146868562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90.854399999999998</v>
      </c>
      <c r="D107" s="11">
        <f t="shared" si="86"/>
        <v>24.771172249191284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892.54827701130114</v>
      </c>
      <c r="H107" s="66">
        <f t="shared" si="56"/>
        <v>494.71453833400813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5.4</v>
      </c>
      <c r="N107" s="13">
        <f>IF('Données projet'!$A$36&gt;35,N106+M107-V106,IF(A107&lt;'Données projet'!$A$36,$K$205^A107,IF(A107='Données projet'!$A$36,'Données projet'!$B$36,N106+M107-V106)))</f>
        <v>327.59999999999991</v>
      </c>
      <c r="O107" s="13">
        <f>N107*VLOOKUP('Données projet'!$B$9,Paramètres!$A$1:$I$89,3,0)*VLOOKUP('Données projet'!$B$9,Paramètres!$A$1:$I$89,5,0)</f>
        <v>275.97023999999993</v>
      </c>
      <c r="P107" s="13">
        <f t="shared" si="87"/>
        <v>66.114687585645072</v>
      </c>
      <c r="Q107" s="20">
        <f t="shared" si="107"/>
        <v>595.79791554499843</v>
      </c>
      <c r="R107" s="59">
        <f t="shared" si="55"/>
        <v>889.13124887833169</v>
      </c>
      <c r="S107" s="59">
        <f ca="1">AVERAGE(OFFSET($R$3,0,0,'Données projet'!$E$9+1,1))-AVERAGE(OFFSET($H$3,0,0,'Données projet'!$E$9+1,1))</f>
        <v>267.44861001389006</v>
      </c>
      <c r="T107" s="59">
        <f t="shared" si="88"/>
        <v>165.25921510802965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82.033833561723711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82.033833561723711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319</v>
      </c>
      <c r="AJ107" s="13">
        <f>AI107*VLOOKUP('Données projet'!$B$10,Paramètres!$A$1:$I$89,3,0)*VLOOKUP('Données projet'!$B$10,Paramètres!$A$1:$I$89,5,0)</f>
        <v>253.79640000000001</v>
      </c>
      <c r="AK107" s="13">
        <f t="shared" si="89"/>
        <v>61.39816832228076</v>
      </c>
      <c r="AL107" s="20">
        <f t="shared" si="58"/>
        <v>548.96387316130563</v>
      </c>
      <c r="AM107" s="59">
        <f t="shared" si="59"/>
        <v>842.29720649463889</v>
      </c>
      <c r="AN107" s="59">
        <f ca="1">AVERAGE(OFFSET($AM$3,0,0,'Données projet'!$E$10+1,1))-AVERAGE(OFFSET($H$3,0,0,'Données projet'!$E$10+1,1))</f>
        <v>244.70751760575268</v>
      </c>
      <c r="AO107" s="59">
        <f t="shared" si="90"/>
        <v>248.77995374147798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33.054584061653429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33.054584061653429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319</v>
      </c>
      <c r="BE107" s="13">
        <f>BD107*VLOOKUP('Données projet'!$B$11,Paramètres!$A$1:$I$89,3,0)*VLOOKUP('Données projet'!$B$11,Paramètres!$A$1:$I$89,5,0)</f>
        <v>213.98519999999999</v>
      </c>
      <c r="BF107" s="13">
        <f t="shared" si="91"/>
        <v>52.805497044008654</v>
      </c>
      <c r="BG107" s="20">
        <f t="shared" si="61"/>
        <v>464.66046401831505</v>
      </c>
      <c r="BH107" s="59">
        <f t="shared" si="62"/>
        <v>757.99379735164837</v>
      </c>
      <c r="BI107" s="59">
        <f ca="1">AVERAGE(OFFSET($BH$3,0,0,'Données projet'!$E$11+1,1))-AVERAGE(OFFSET($H$3,0,0,'Données projet'!$E$11+1,1))</f>
        <v>195.02599095557656</v>
      </c>
      <c r="BJ107" s="59">
        <f t="shared" si="92"/>
        <v>201.41413798956927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27.869551267668569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27.869551267668569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91.727999999999994</v>
      </c>
      <c r="D108" s="11">
        <f t="shared" si="86"/>
        <v>24.981514582386563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900.91555116228221</v>
      </c>
      <c r="H108" s="66">
        <f t="shared" si="56"/>
        <v>496.60240456432325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333</v>
      </c>
      <c r="L108" s="12">
        <f>VLOOKUP(A108,'Données projet'!$A$35:$I$55,9,0)</f>
        <v>5.4</v>
      </c>
      <c r="M108" s="12">
        <f t="array" ref="M108">INDEX(L:L,MIN(IF(ISNUMBER(L108:L304),ROW(L108:L304),"")))</f>
        <v>5.4</v>
      </c>
      <c r="N108" s="13">
        <f>IF('Données projet'!$A$36&gt;35,N107+M108-V107,IF(A108&lt;'Données projet'!$A$36,$K$205^A108,IF(A108='Données projet'!$A$36,'Données projet'!$B$36,N107+M108-V107)))</f>
        <v>332.99999999999989</v>
      </c>
      <c r="O108" s="13">
        <f>N108*VLOOKUP('Données projet'!$B$9,Paramètres!$A$1:$I$89,3,0)*VLOOKUP('Données projet'!$B$9,Paramètres!$A$1:$I$89,5,0)</f>
        <v>280.5191999999999</v>
      </c>
      <c r="P108" s="13">
        <f t="shared" si="87"/>
        <v>67.076718933381159</v>
      </c>
      <c r="Q108" s="20">
        <f t="shared" si="107"/>
        <v>605.39622547563874</v>
      </c>
      <c r="R108" s="59">
        <f t="shared" si="55"/>
        <v>898.72955880897212</v>
      </c>
      <c r="S108" s="59">
        <f ca="1">AVERAGE(OFFSET($R$3,0,0,'Données projet'!$E$9+1,1))-AVERAGE(OFFSET($H$3,0,0,'Données projet'!$E$9+1,1))</f>
        <v>267.44861001389006</v>
      </c>
      <c r="T108" s="59">
        <f t="shared" si="88"/>
        <v>165.25921510802965</v>
      </c>
      <c r="U108" s="15">
        <f>IF(ISNA(VLOOKUP(A108,'Données projet'!$A$35:$I$55,3,0)),0,VLOOKUP(A108,'Données projet'!$A$35:$I$55,3,0))</f>
        <v>18</v>
      </c>
      <c r="V108" s="15">
        <f>IF(ISNA(VLOOKUP(A108,'Données projet'!$A$35:$I$55,4,0)),0,VLOOKUP(A108,'Données projet'!$A$35:$I$55,4,0))</f>
        <v>26</v>
      </c>
      <c r="W108" s="16">
        <f>IF(ISNA(VLOOKUP(A108,'Données projet'!$A$35:$I$55,5,0)),0%,VLOOKUP(A108,'Données projet'!$A$35:$I$55,5,0)*VLOOKUP('Données projet'!$B$9,Paramètres!$A$1:$I$89,7,0))</f>
        <v>0.43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90.83655553076963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90.83655553076963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319</v>
      </c>
      <c r="AJ108" s="13">
        <f>AI108*VLOOKUP('Données projet'!$B$10,Paramètres!$A$1:$I$89,3,0)*VLOOKUP('Données projet'!$B$10,Paramètres!$A$1:$I$89,5,0)</f>
        <v>253.79640000000001</v>
      </c>
      <c r="AK108" s="13">
        <f t="shared" si="89"/>
        <v>61.39816832228076</v>
      </c>
      <c r="AL108" s="20">
        <f t="shared" si="58"/>
        <v>548.96387316130563</v>
      </c>
      <c r="AM108" s="59">
        <f t="shared" si="59"/>
        <v>842.29720649463889</v>
      </c>
      <c r="AN108" s="59">
        <f ca="1">AVERAGE(OFFSET($AM$3,0,0,'Données projet'!$E$10+1,1))-AVERAGE(OFFSET($H$3,0,0,'Données projet'!$E$10+1,1))</f>
        <v>244.70751760575268</v>
      </c>
      <c r="AO108" s="59">
        <f t="shared" si="90"/>
        <v>248.77995374147798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32.406403829509919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32.406403829509919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319</v>
      </c>
      <c r="BE108" s="13">
        <f>BD108*VLOOKUP('Données projet'!$B$11,Paramètres!$A$1:$I$89,3,0)*VLOOKUP('Données projet'!$B$11,Paramètres!$A$1:$I$89,5,0)</f>
        <v>213.98519999999999</v>
      </c>
      <c r="BF108" s="13">
        <f t="shared" si="91"/>
        <v>52.805497044008654</v>
      </c>
      <c r="BG108" s="20">
        <f t="shared" si="61"/>
        <v>464.66046401831505</v>
      </c>
      <c r="BH108" s="59">
        <f t="shared" si="62"/>
        <v>757.99379735164837</v>
      </c>
      <c r="BI108" s="59">
        <f ca="1">AVERAGE(OFFSET($BH$3,0,0,'Données projet'!$E$11+1,1))-AVERAGE(OFFSET($H$3,0,0,'Données projet'!$E$11+1,1))</f>
        <v>195.02599095557656</v>
      </c>
      <c r="BJ108" s="59">
        <f t="shared" si="92"/>
        <v>201.41413798956927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27.323046366057376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27.323046366057376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92.601599999999991</v>
      </c>
      <c r="D109" s="11">
        <f t="shared" si="86"/>
        <v>25.191623861555186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909.2810262997242</v>
      </c>
      <c r="H109" s="66">
        <f t="shared" si="56"/>
        <v>498.48986489220857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</v>
      </c>
      <c r="N109" s="13">
        <f>IF('Données projet'!$A$36&gt;35,N108+M109-V108,IF(A109&lt;'Données projet'!$A$36,$K$205^A109,IF(A109='Données projet'!$A$36,'Données projet'!$B$36,N108+M109-V108)))</f>
        <v>311.99999999999989</v>
      </c>
      <c r="O109" s="13">
        <f>N109*VLOOKUP('Données projet'!$B$9,Paramètres!$A$1:$I$89,3,0)*VLOOKUP('Données projet'!$B$9,Paramètres!$A$1:$I$89,5,0)</f>
        <v>262.82879999999994</v>
      </c>
      <c r="P109" s="13">
        <f t="shared" si="87"/>
        <v>63.324983518559428</v>
      </c>
      <c r="Q109" s="20">
        <f t="shared" si="107"/>
        <v>568.05117296149081</v>
      </c>
      <c r="R109" s="59">
        <f t="shared" si="55"/>
        <v>861.38450629482418</v>
      </c>
      <c r="S109" s="59">
        <f ca="1">AVERAGE(OFFSET($R$3,0,0,'Données projet'!$E$9+1,1))-AVERAGE(OFFSET($H$3,0,0,'Données projet'!$E$9+1,1))</f>
        <v>267.44861001389006</v>
      </c>
      <c r="T109" s="59">
        <f t="shared" si="88"/>
        <v>165.25921510802965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89.055306081639344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89.055306081639344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319</v>
      </c>
      <c r="AJ109" s="13">
        <f>AI109*VLOOKUP('Données projet'!$B$10,Paramètres!$A$1:$I$89,3,0)*VLOOKUP('Données projet'!$B$10,Paramètres!$A$1:$I$89,5,0)</f>
        <v>253.79640000000001</v>
      </c>
      <c r="AK109" s="13">
        <f t="shared" si="89"/>
        <v>61.39816832228076</v>
      </c>
      <c r="AL109" s="20">
        <f t="shared" si="58"/>
        <v>548.96387316130563</v>
      </c>
      <c r="AM109" s="59">
        <f t="shared" si="59"/>
        <v>842.29720649463889</v>
      </c>
      <c r="AN109" s="59">
        <f ca="1">AVERAGE(OFFSET($AM$3,0,0,'Données projet'!$E$10+1,1))-AVERAGE(OFFSET($H$3,0,0,'Données projet'!$E$10+1,1))</f>
        <v>244.70751760575268</v>
      </c>
      <c r="AO109" s="59">
        <f t="shared" si="90"/>
        <v>248.77995374147798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31.770934016367839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31.770934016367839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319</v>
      </c>
      <c r="BE109" s="13">
        <f>BD109*VLOOKUP('Données projet'!$B$11,Paramètres!$A$1:$I$89,3,0)*VLOOKUP('Données projet'!$B$11,Paramètres!$A$1:$I$89,5,0)</f>
        <v>213.98519999999999</v>
      </c>
      <c r="BF109" s="13">
        <f t="shared" si="91"/>
        <v>52.805497044008654</v>
      </c>
      <c r="BG109" s="20">
        <f t="shared" si="61"/>
        <v>464.66046401831505</v>
      </c>
      <c r="BH109" s="59">
        <f t="shared" si="62"/>
        <v>757.99379735164837</v>
      </c>
      <c r="BI109" s="59">
        <f ca="1">AVERAGE(OFFSET($BH$3,0,0,'Données projet'!$E$11+1,1))-AVERAGE(OFFSET($H$3,0,0,'Données projet'!$E$11+1,1))</f>
        <v>195.02599095557656</v>
      </c>
      <c r="BJ109" s="59">
        <f t="shared" si="92"/>
        <v>201.41413798956927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26.787258092231703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26.787258092231703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93.475199999999987</v>
      </c>
      <c r="D110" s="11">
        <f t="shared" si="86"/>
        <v>25.401502539965662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917.64472136113852</v>
      </c>
      <c r="H110" s="66">
        <f t="shared" si="56"/>
        <v>500.37692359044013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</v>
      </c>
      <c r="N110" s="13">
        <f>IF('Données projet'!$A$36&gt;35,N109+M110-V109,IF(A110&lt;'Données projet'!$A$36,$K$205^A110,IF(A110='Données projet'!$A$36,'Données projet'!$B$36,N109+M110-V109)))</f>
        <v>316.99999999999989</v>
      </c>
      <c r="O110" s="13">
        <f>N110*VLOOKUP('Données projet'!$B$9,Paramètres!$A$1:$I$89,3,0)*VLOOKUP('Données projet'!$B$9,Paramètres!$A$1:$I$89,5,0)</f>
        <v>267.04079999999993</v>
      </c>
      <c r="P110" s="13">
        <f t="shared" si="87"/>
        <v>64.220850124833518</v>
      </c>
      <c r="Q110" s="20">
        <f t="shared" si="107"/>
        <v>576.94737396741823</v>
      </c>
      <c r="R110" s="59">
        <f t="shared" si="55"/>
        <v>870.2807073007516</v>
      </c>
      <c r="S110" s="59">
        <f ca="1">AVERAGE(OFFSET($R$3,0,0,'Données projet'!$E$9+1,1))-AVERAGE(OFFSET($H$3,0,0,'Données projet'!$E$9+1,1))</f>
        <v>267.44861001389006</v>
      </c>
      <c r="T110" s="59">
        <f t="shared" si="88"/>
        <v>165.25921510802965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87.308985847751615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87.308985847751615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319</v>
      </c>
      <c r="AJ110" s="13">
        <f>AI110*VLOOKUP('Données projet'!$B$10,Paramètres!$A$1:$I$89,3,0)*VLOOKUP('Données projet'!$B$10,Paramètres!$A$1:$I$89,5,0)</f>
        <v>253.79640000000001</v>
      </c>
      <c r="AK110" s="13">
        <f t="shared" si="89"/>
        <v>61.39816832228076</v>
      </c>
      <c r="AL110" s="20">
        <f t="shared" si="58"/>
        <v>548.96387316130563</v>
      </c>
      <c r="AM110" s="59">
        <f t="shared" si="59"/>
        <v>842.29720649463889</v>
      </c>
      <c r="AN110" s="59">
        <f ca="1">AVERAGE(OFFSET($AM$3,0,0,'Données projet'!$E$10+1,1))-AVERAGE(OFFSET($H$3,0,0,'Données projet'!$E$10+1,1))</f>
        <v>244.70751760575268</v>
      </c>
      <c r="AO110" s="59">
        <f t="shared" si="90"/>
        <v>248.77995374147798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31.14792537866316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31.14792537866316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319</v>
      </c>
      <c r="BE110" s="13">
        <f>BD110*VLOOKUP('Données projet'!$B$11,Paramètres!$A$1:$I$89,3,0)*VLOOKUP('Données projet'!$B$11,Paramètres!$A$1:$I$89,5,0)</f>
        <v>213.98519999999999</v>
      </c>
      <c r="BF110" s="13">
        <f t="shared" si="91"/>
        <v>52.805497044008654</v>
      </c>
      <c r="BG110" s="20">
        <f t="shared" si="61"/>
        <v>464.66046401831505</v>
      </c>
      <c r="BH110" s="59">
        <f t="shared" si="62"/>
        <v>757.99379735164837</v>
      </c>
      <c r="BI110" s="59">
        <f ca="1">AVERAGE(OFFSET($BH$3,0,0,'Données projet'!$E$11+1,1))-AVERAGE(OFFSET($H$3,0,0,'Données projet'!$E$11+1,1))</f>
        <v>195.02599095557656</v>
      </c>
      <c r="BJ110" s="59">
        <f t="shared" si="92"/>
        <v>201.41413798956927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26.261976299657171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26.261976299657171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94.348799999999983</v>
      </c>
      <c r="D111" s="11">
        <f t="shared" si="86"/>
        <v>25.611153022386461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926.00665490964991</v>
      </c>
      <c r="H111" s="66">
        <f t="shared" si="56"/>
        <v>502.26358484732305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</v>
      </c>
      <c r="N111" s="13">
        <f>IF('Données projet'!$A$36&gt;35,N110+M111-V110,IF(A111&lt;'Données projet'!$A$36,$K$205^A111,IF(A111='Données projet'!$A$36,'Données projet'!$B$36,N110+M111-V110)))</f>
        <v>321.99999999999989</v>
      </c>
      <c r="O111" s="13">
        <f>N111*VLOOKUP('Données projet'!$B$9,Paramètres!$A$1:$I$89,3,0)*VLOOKUP('Données projet'!$B$9,Paramètres!$A$1:$I$89,5,0)</f>
        <v>271.25279999999992</v>
      </c>
      <c r="P111" s="13">
        <f t="shared" si="87"/>
        <v>65.115073390838859</v>
      </c>
      <c r="Q111" s="20">
        <f t="shared" si="107"/>
        <v>585.84071282237755</v>
      </c>
      <c r="R111" s="59">
        <f t="shared" si="55"/>
        <v>879.17404615571081</v>
      </c>
      <c r="S111" s="59">
        <f ca="1">AVERAGE(OFFSET($R$3,0,0,'Données projet'!$E$9+1,1))-AVERAGE(OFFSET($H$3,0,0,'Données projet'!$E$9+1,1))</f>
        <v>267.44861001389006</v>
      </c>
      <c r="T111" s="59">
        <f t="shared" si="88"/>
        <v>165.25921510802965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85.59690988850025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85.59690988850025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319</v>
      </c>
      <c r="AJ111" s="13">
        <f>AI111*VLOOKUP('Données projet'!$B$10,Paramètres!$A$1:$I$89,3,0)*VLOOKUP('Données projet'!$B$10,Paramètres!$A$1:$I$89,5,0)</f>
        <v>253.79640000000001</v>
      </c>
      <c r="AK111" s="13">
        <f t="shared" si="89"/>
        <v>61.39816832228076</v>
      </c>
      <c r="AL111" s="20">
        <f t="shared" si="58"/>
        <v>548.96387316130563</v>
      </c>
      <c r="AM111" s="59">
        <f t="shared" si="59"/>
        <v>842.29720649463889</v>
      </c>
      <c r="AN111" s="59">
        <f ca="1">AVERAGE(OFFSET($AM$3,0,0,'Données projet'!$E$10+1,1))-AVERAGE(OFFSET($H$3,0,0,'Données projet'!$E$10+1,1))</f>
        <v>244.70751760575268</v>
      </c>
      <c r="AO111" s="59">
        <f t="shared" si="90"/>
        <v>248.77995374147798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30.537133560346124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30.537133560346124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319</v>
      </c>
      <c r="BE111" s="13">
        <f>BD111*VLOOKUP('Données projet'!$B$11,Paramètres!$A$1:$I$89,3,0)*VLOOKUP('Données projet'!$B$11,Paramètres!$A$1:$I$89,5,0)</f>
        <v>213.98519999999999</v>
      </c>
      <c r="BF111" s="13">
        <f t="shared" si="91"/>
        <v>52.805497044008654</v>
      </c>
      <c r="BG111" s="20">
        <f t="shared" si="61"/>
        <v>464.66046401831505</v>
      </c>
      <c r="BH111" s="59">
        <f t="shared" si="62"/>
        <v>757.99379735164837</v>
      </c>
      <c r="BI111" s="59">
        <f ca="1">AVERAGE(OFFSET($BH$3,0,0,'Données projet'!$E$11+1,1))-AVERAGE(OFFSET($H$3,0,0,'Données projet'!$E$11+1,1))</f>
        <v>195.02599095557656</v>
      </c>
      <c r="BJ111" s="59">
        <f t="shared" si="92"/>
        <v>201.41413798956927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25.746994962644767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25.746994962644767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95.222399999999979</v>
      </c>
      <c r="D112" s="11">
        <f t="shared" si="86"/>
        <v>25.820577666484969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934.36684514479612</v>
      </c>
      <c r="H112" s="66">
        <f t="shared" si="56"/>
        <v>504.1498527691279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</v>
      </c>
      <c r="N112" s="13">
        <f>IF('Données projet'!$A$36&gt;35,N111+M112-V111,IF(A112&lt;'Données projet'!$A$36,$K$205^A112,IF(A112='Données projet'!$A$36,'Données projet'!$B$36,N111+M112-V111)))</f>
        <v>326.99999999999989</v>
      </c>
      <c r="O112" s="13">
        <f>N112*VLOOKUP('Données projet'!$B$9,Paramètres!$A$1:$I$89,3,0)*VLOOKUP('Données projet'!$B$9,Paramètres!$A$1:$I$89,5,0)</f>
        <v>275.46479999999997</v>
      </c>
      <c r="P112" s="13">
        <f t="shared" si="87"/>
        <v>66.007681781116673</v>
      </c>
      <c r="Q112" s="20">
        <f t="shared" si="107"/>
        <v>594.73123910211143</v>
      </c>
      <c r="R112" s="59">
        <f t="shared" si="55"/>
        <v>888.06457243544469</v>
      </c>
      <c r="S112" s="59">
        <f ca="1">AVERAGE(OFFSET($R$3,0,0,'Données projet'!$E$9+1,1))-AVERAGE(OFFSET($H$3,0,0,'Données projet'!$E$9+1,1))</f>
        <v>267.44861001389006</v>
      </c>
      <c r="T112" s="59">
        <f t="shared" si="88"/>
        <v>165.25921510802965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83.91840669454659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83.91840669454659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319</v>
      </c>
      <c r="AJ112" s="13">
        <f>AI112*VLOOKUP('Données projet'!$B$10,Paramètres!$A$1:$I$89,3,0)*VLOOKUP('Données projet'!$B$10,Paramètres!$A$1:$I$89,5,0)</f>
        <v>253.79640000000001</v>
      </c>
      <c r="AK112" s="13">
        <f t="shared" si="89"/>
        <v>61.39816832228076</v>
      </c>
      <c r="AL112" s="20">
        <f t="shared" si="58"/>
        <v>548.96387316130563</v>
      </c>
      <c r="AM112" s="59">
        <f t="shared" si="59"/>
        <v>842.29720649463889</v>
      </c>
      <c r="AN112" s="59">
        <f ca="1">AVERAGE(OFFSET($AM$3,0,0,'Données projet'!$E$10+1,1))-AVERAGE(OFFSET($H$3,0,0,'Données projet'!$E$10+1,1))</f>
        <v>244.70751760575268</v>
      </c>
      <c r="AO112" s="59">
        <f t="shared" si="90"/>
        <v>248.77995374147798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29.938318997040064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29.938318997040064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319</v>
      </c>
      <c r="BE112" s="13">
        <f>BD112*VLOOKUP('Données projet'!$B$11,Paramètres!$A$1:$I$89,3,0)*VLOOKUP('Données projet'!$B$11,Paramètres!$A$1:$I$89,5,0)</f>
        <v>213.98519999999999</v>
      </c>
      <c r="BF112" s="13">
        <f t="shared" si="91"/>
        <v>52.805497044008654</v>
      </c>
      <c r="BG112" s="20">
        <f t="shared" si="61"/>
        <v>464.66046401831505</v>
      </c>
      <c r="BH112" s="59">
        <f t="shared" si="62"/>
        <v>757.99379735164837</v>
      </c>
      <c r="BI112" s="59">
        <f ca="1">AVERAGE(OFFSET($BH$3,0,0,'Données projet'!$E$11+1,1))-AVERAGE(OFFSET($H$3,0,0,'Données projet'!$E$11+1,1))</f>
        <v>195.02599095557656</v>
      </c>
      <c r="BJ112" s="59">
        <f t="shared" si="92"/>
        <v>201.41413798956927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25.242112095543579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25.242112095543579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96.095999999999975</v>
      </c>
      <c r="D113" s="11">
        <f t="shared" si="86"/>
        <v>26.029778784173352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942.72530991291694</v>
      </c>
      <c r="H113" s="66">
        <f t="shared" si="56"/>
        <v>506.03573138243519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332</v>
      </c>
      <c r="L113" s="12">
        <f>VLOOKUP(A113,'Données projet'!$A$35:$I$55,9,0)</f>
        <v>5</v>
      </c>
      <c r="M113" s="12">
        <f t="array" ref="M113">INDEX(L:L,MIN(IF(ISNUMBER(L113:L309),ROW(L113:L309),"")))</f>
        <v>5</v>
      </c>
      <c r="N113" s="13">
        <f>IF('Données projet'!$A$36&gt;35,N112+M113-V112,IF(A113&lt;'Données projet'!$A$36,$K$205^A113,IF(A113='Données projet'!$A$36,'Données projet'!$B$36,N112+M113-V112)))</f>
        <v>331.99999999999989</v>
      </c>
      <c r="O113" s="13">
        <f>N113*VLOOKUP('Données projet'!$B$9,Paramètres!$A$1:$I$89,3,0)*VLOOKUP('Données projet'!$B$9,Paramètres!$A$1:$I$89,5,0)</f>
        <v>279.6767999999999</v>
      </c>
      <c r="P113" s="13">
        <f t="shared" si="87"/>
        <v>66.898702839783041</v>
      </c>
      <c r="Q113" s="20">
        <f t="shared" si="107"/>
        <v>603.61900077928851</v>
      </c>
      <c r="R113" s="59">
        <f t="shared" si="55"/>
        <v>896.95233411262188</v>
      </c>
      <c r="S113" s="59">
        <f ca="1">AVERAGE(OFFSET($R$3,0,0,'Données projet'!$E$9+1,1))-AVERAGE(OFFSET($H$3,0,0,'Données projet'!$E$9+1,1))</f>
        <v>267.44861001389006</v>
      </c>
      <c r="T113" s="59">
        <f t="shared" si="88"/>
        <v>165.25921510802965</v>
      </c>
      <c r="U113" s="15">
        <f>IF(ISNA(VLOOKUP(A113,'Données projet'!$A$35:$I$55,3,0)),0,VLOOKUP(A113,'Données projet'!$A$35:$I$55,3,0))</f>
        <v>19</v>
      </c>
      <c r="V113" s="15">
        <f>IF(ISNA(VLOOKUP(A113,'Données projet'!$A$35:$I$55,4,0)),0,VLOOKUP(A113,'Données projet'!$A$35:$I$55,4,0))</f>
        <v>25</v>
      </c>
      <c r="W113" s="16">
        <f>IF(ISNA(VLOOKUP(A113,'Données projet'!$A$35:$I$55,5,0)),0%,VLOOKUP(A113,'Données projet'!$A$35:$I$55,5,0)*VLOOKUP('Données projet'!$B$9,Paramètres!$A$1:$I$89,7,0))</f>
        <v>0.43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92.283736587414992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92.283736587414992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319</v>
      </c>
      <c r="AJ113" s="13">
        <f>AI113*VLOOKUP('Données projet'!$B$10,Paramètres!$A$1:$I$89,3,0)*VLOOKUP('Données projet'!$B$10,Paramètres!$A$1:$I$89,5,0)</f>
        <v>253.79640000000001</v>
      </c>
      <c r="AK113" s="13">
        <f t="shared" si="89"/>
        <v>61.39816832228076</v>
      </c>
      <c r="AL113" s="20">
        <f t="shared" si="58"/>
        <v>548.96387316130563</v>
      </c>
      <c r="AM113" s="59">
        <f t="shared" si="59"/>
        <v>842.29720649463889</v>
      </c>
      <c r="AN113" s="59">
        <f ca="1">AVERAGE(OFFSET($AM$3,0,0,'Données projet'!$E$10+1,1))-AVERAGE(OFFSET($H$3,0,0,'Données projet'!$E$10+1,1))</f>
        <v>244.70751760575268</v>
      </c>
      <c r="AO113" s="59">
        <f t="shared" si="90"/>
        <v>248.77995374147798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29.351246822079613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29.351246822079613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319</v>
      </c>
      <c r="BE113" s="13">
        <f>BD113*VLOOKUP('Données projet'!$B$11,Paramètres!$A$1:$I$89,3,0)*VLOOKUP('Données projet'!$B$11,Paramètres!$A$1:$I$89,5,0)</f>
        <v>213.98519999999999</v>
      </c>
      <c r="BF113" s="13">
        <f t="shared" si="91"/>
        <v>52.805497044008654</v>
      </c>
      <c r="BG113" s="20">
        <f t="shared" si="61"/>
        <v>464.66046401831505</v>
      </c>
      <c r="BH113" s="59">
        <f t="shared" si="62"/>
        <v>757.99379735164837</v>
      </c>
      <c r="BI113" s="59">
        <f ca="1">AVERAGE(OFFSET($BH$3,0,0,'Données projet'!$E$11+1,1))-AVERAGE(OFFSET($H$3,0,0,'Données projet'!$E$11+1,1))</f>
        <v>195.02599095557656</v>
      </c>
      <c r="BJ113" s="59">
        <f t="shared" si="92"/>
        <v>201.41413798956927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24.747129673518103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24.747129673518103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96.969599999999971</v>
      </c>
      <c r="D114" s="11">
        <f t="shared" si="86"/>
        <v>26.238758642904312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951.08206671715607</v>
      </c>
      <c r="H114" s="66">
        <f t="shared" si="56"/>
        <v>507.92122463639157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4.8</v>
      </c>
      <c r="N114" s="13">
        <f>IF('Données projet'!$A$36&gt;35,N113+M114-V113,IF(A114&lt;'Données projet'!$A$36,$K$205^A114,IF(A114='Données projet'!$A$36,'Données projet'!$B$36,N113+M114-V113)))</f>
        <v>311.7999999999999</v>
      </c>
      <c r="O114" s="13">
        <f>N114*VLOOKUP('Données projet'!$B$9,Paramètres!$A$1:$I$89,3,0)*VLOOKUP('Données projet'!$B$9,Paramètres!$A$1:$I$89,5,0)</f>
        <v>262.66031999999996</v>
      </c>
      <c r="P114" s="13">
        <f t="shared" si="87"/>
        <v>63.289114259938891</v>
      </c>
      <c r="Q114" s="20">
        <f t="shared" si="107"/>
        <v>567.6952646693934</v>
      </c>
      <c r="R114" s="59">
        <f t="shared" si="55"/>
        <v>861.02859800272677</v>
      </c>
      <c r="S114" s="59">
        <f ca="1">AVERAGE(OFFSET($R$3,0,0,'Données projet'!$E$9+1,1))-AVERAGE(OFFSET($H$3,0,0,'Données projet'!$E$9+1,1))</f>
        <v>267.44861001389006</v>
      </c>
      <c r="T114" s="59">
        <f t="shared" si="88"/>
        <v>165.25921510802965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90.474108800457174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90.474108800457174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319</v>
      </c>
      <c r="AJ114" s="13">
        <f>AI114*VLOOKUP('Données projet'!$B$10,Paramètres!$A$1:$I$89,3,0)*VLOOKUP('Données projet'!$B$10,Paramètres!$A$1:$I$89,5,0)</f>
        <v>253.79640000000001</v>
      </c>
      <c r="AK114" s="13">
        <f t="shared" si="89"/>
        <v>61.39816832228076</v>
      </c>
      <c r="AL114" s="20">
        <f t="shared" si="58"/>
        <v>548.96387316130563</v>
      </c>
      <c r="AM114" s="59">
        <f t="shared" si="59"/>
        <v>842.29720649463889</v>
      </c>
      <c r="AN114" s="59">
        <f ca="1">AVERAGE(OFFSET($AM$3,0,0,'Données projet'!$E$10+1,1))-AVERAGE(OFFSET($H$3,0,0,'Données projet'!$E$10+1,1))</f>
        <v>244.70751760575268</v>
      </c>
      <c r="AO114" s="59">
        <f t="shared" si="90"/>
        <v>248.77995374147798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28.77568677439147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28.77568677439147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319</v>
      </c>
      <c r="BE114" s="13">
        <f>BD114*VLOOKUP('Données projet'!$B$11,Paramètres!$A$1:$I$89,3,0)*VLOOKUP('Données projet'!$B$11,Paramètres!$A$1:$I$89,5,0)</f>
        <v>213.98519999999999</v>
      </c>
      <c r="BF114" s="13">
        <f t="shared" si="91"/>
        <v>52.805497044008654</v>
      </c>
      <c r="BG114" s="20">
        <f t="shared" si="61"/>
        <v>464.66046401831505</v>
      </c>
      <c r="BH114" s="59">
        <f t="shared" si="62"/>
        <v>757.99379735164837</v>
      </c>
      <c r="BI114" s="59">
        <f ca="1">AVERAGE(OFFSET($BH$3,0,0,'Données projet'!$E$11+1,1))-AVERAGE(OFFSET($H$3,0,0,'Données projet'!$E$11+1,1))</f>
        <v>195.02599095557656</v>
      </c>
      <c r="BJ114" s="59">
        <f t="shared" si="92"/>
        <v>201.41413798956927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24.261853554879078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24.261853554879078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97.843199999999968</v>
      </c>
      <c r="D115" s="11">
        <f t="shared" si="86"/>
        <v>26.447519466918756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959.43713272709192</v>
      </c>
      <c r="H115" s="66">
        <f t="shared" si="56"/>
        <v>509.80633640488338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4.8</v>
      </c>
      <c r="N115" s="13">
        <f>IF('Données projet'!$A$36&gt;35,N114+M115-V114,IF(A115&lt;'Données projet'!$A$36,$K$205^A115,IF(A115='Données projet'!$A$36,'Données projet'!$B$36,N114+M115-V114)))</f>
        <v>316.59999999999991</v>
      </c>
      <c r="O115" s="13">
        <f>N115*VLOOKUP('Données projet'!$B$9,Paramètres!$A$1:$I$89,3,0)*VLOOKUP('Données projet'!$B$9,Paramètres!$A$1:$I$89,5,0)</f>
        <v>266.70383999999996</v>
      </c>
      <c r="P115" s="13">
        <f t="shared" si="87"/>
        <v>64.14924165488371</v>
      </c>
      <c r="Q115" s="20">
        <f t="shared" si="107"/>
        <v>576.23578388225576</v>
      </c>
      <c r="R115" s="59">
        <f t="shared" si="55"/>
        <v>869.56911721558913</v>
      </c>
      <c r="S115" s="59">
        <f ca="1">AVERAGE(OFFSET($R$3,0,0,'Données projet'!$E$9+1,1))-AVERAGE(OFFSET($H$3,0,0,'Données projet'!$E$9+1,1))</f>
        <v>267.44861001389006</v>
      </c>
      <c r="T115" s="59">
        <f t="shared" si="88"/>
        <v>165.25921510802965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88.699966710637639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88.699966710637639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319</v>
      </c>
      <c r="AJ115" s="13">
        <f>AI115*VLOOKUP('Données projet'!$B$10,Paramètres!$A$1:$I$89,3,0)*VLOOKUP('Données projet'!$B$10,Paramètres!$A$1:$I$89,5,0)</f>
        <v>253.79640000000001</v>
      </c>
      <c r="AK115" s="13">
        <f t="shared" si="89"/>
        <v>61.39816832228076</v>
      </c>
      <c r="AL115" s="20">
        <f t="shared" si="58"/>
        <v>548.96387316130563</v>
      </c>
      <c r="AM115" s="59">
        <f t="shared" si="59"/>
        <v>842.29720649463889</v>
      </c>
      <c r="AN115" s="59">
        <f ca="1">AVERAGE(OFFSET($AM$3,0,0,'Données projet'!$E$10+1,1))-AVERAGE(OFFSET($H$3,0,0,'Données projet'!$E$10+1,1))</f>
        <v>244.70751760575268</v>
      </c>
      <c r="AO115" s="59">
        <f t="shared" si="90"/>
        <v>248.77995374147798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28.211413108181524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28.211413108181524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319</v>
      </c>
      <c r="BE115" s="13">
        <f>BD115*VLOOKUP('Données projet'!$B$11,Paramètres!$A$1:$I$89,3,0)*VLOOKUP('Données projet'!$B$11,Paramètres!$A$1:$I$89,5,0)</f>
        <v>213.98519999999999</v>
      </c>
      <c r="BF115" s="13">
        <f t="shared" si="91"/>
        <v>52.805497044008654</v>
      </c>
      <c r="BG115" s="20">
        <f t="shared" si="61"/>
        <v>464.66046401831505</v>
      </c>
      <c r="BH115" s="59">
        <f t="shared" si="62"/>
        <v>757.99379735164837</v>
      </c>
      <c r="BI115" s="59">
        <f ca="1">AVERAGE(OFFSET($BH$3,0,0,'Données projet'!$E$11+1,1))-AVERAGE(OFFSET($H$3,0,0,'Données projet'!$E$11+1,1))</f>
        <v>195.02599095557656</v>
      </c>
      <c r="BJ115" s="59">
        <f t="shared" si="92"/>
        <v>201.41413798956927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23.786093404937361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23.786093404937361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98.716799999999964</v>
      </c>
      <c r="D116" s="11">
        <f t="shared" si="86"/>
        <v>26.656063438447475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967.79052478801532</v>
      </c>
      <c r="H116" s="66">
        <f t="shared" si="56"/>
        <v>511.69107048862929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4.8</v>
      </c>
      <c r="N116" s="13">
        <f>IF('Données projet'!$A$36&gt;35,N115+M116-V115,IF(A116&lt;'Données projet'!$A$36,$K$205^A116,IF(A116='Données projet'!$A$36,'Données projet'!$B$36,N115+M116-V115)))</f>
        <v>321.39999999999992</v>
      </c>
      <c r="O116" s="13">
        <f>N116*VLOOKUP('Données projet'!$B$9,Paramètres!$A$1:$I$89,3,0)*VLOOKUP('Données projet'!$B$9,Paramètres!$A$1:$I$89,5,0)</f>
        <v>270.74735999999996</v>
      </c>
      <c r="P116" s="13">
        <f t="shared" si="87"/>
        <v>65.007852416747113</v>
      </c>
      <c r="Q116" s="20">
        <f t="shared" si="107"/>
        <v>584.77366162583451</v>
      </c>
      <c r="R116" s="59">
        <f t="shared" si="55"/>
        <v>878.10699495916788</v>
      </c>
      <c r="S116" s="59">
        <f ca="1">AVERAGE(OFFSET($R$3,0,0,'Données projet'!$E$9+1,1))-AVERAGE(OFFSET($H$3,0,0,'Données projet'!$E$9+1,1))</f>
        <v>267.44861001389006</v>
      </c>
      <c r="T116" s="59">
        <f t="shared" si="88"/>
        <v>165.25921510802965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86.96061446507963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86.96061446507963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319</v>
      </c>
      <c r="AJ116" s="13">
        <f>AI116*VLOOKUP('Données projet'!$B$10,Paramètres!$A$1:$I$89,3,0)*VLOOKUP('Données projet'!$B$10,Paramètres!$A$1:$I$89,5,0)</f>
        <v>253.79640000000001</v>
      </c>
      <c r="AK116" s="13">
        <f t="shared" si="89"/>
        <v>61.39816832228076</v>
      </c>
      <c r="AL116" s="20">
        <f t="shared" si="58"/>
        <v>548.96387316130563</v>
      </c>
      <c r="AM116" s="59">
        <f t="shared" si="59"/>
        <v>842.29720649463889</v>
      </c>
      <c r="AN116" s="59">
        <f ca="1">AVERAGE(OFFSET($AM$3,0,0,'Données projet'!$E$10+1,1))-AVERAGE(OFFSET($H$3,0,0,'Données projet'!$E$10+1,1))</f>
        <v>244.70751760575268</v>
      </c>
      <c r="AO116" s="59">
        <f t="shared" si="90"/>
        <v>248.77995374147798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27.658204504393005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27.658204504393005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319</v>
      </c>
      <c r="BE116" s="13">
        <f>BD116*VLOOKUP('Données projet'!$B$11,Paramètres!$A$1:$I$89,3,0)*VLOOKUP('Données projet'!$B$11,Paramètres!$A$1:$I$89,5,0)</f>
        <v>213.98519999999999</v>
      </c>
      <c r="BF116" s="13">
        <f t="shared" si="91"/>
        <v>52.805497044008654</v>
      </c>
      <c r="BG116" s="20">
        <f t="shared" si="61"/>
        <v>464.66046401831505</v>
      </c>
      <c r="BH116" s="59">
        <f t="shared" si="62"/>
        <v>757.99379735164837</v>
      </c>
      <c r="BI116" s="59">
        <f ca="1">AVERAGE(OFFSET($BH$3,0,0,'Données projet'!$E$11+1,1))-AVERAGE(OFFSET($H$3,0,0,'Données projet'!$E$11+1,1))</f>
        <v>195.02599095557656</v>
      </c>
      <c r="BJ116" s="59">
        <f t="shared" si="92"/>
        <v>201.41413798956927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23.319662621350961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23.319662621350961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99.59039999999996</v>
      </c>
      <c r="D117" s="11">
        <f t="shared" si="86"/>
        <v>26.864392698869324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976.14225942986832</v>
      </c>
      <c r="H117" s="66">
        <f t="shared" si="56"/>
        <v>513.5754306171973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4.8</v>
      </c>
      <c r="N117" s="13">
        <f>IF('Données projet'!$A$36&gt;35,N116+M117-V116,IF(A117&lt;'Données projet'!$A$36,$K$205^A117,IF(A117='Données projet'!$A$36,'Données projet'!$B$36,N116+M117-V116)))</f>
        <v>326.19999999999993</v>
      </c>
      <c r="O117" s="13">
        <f>N117*VLOOKUP('Données projet'!$B$9,Paramètres!$A$1:$I$89,3,0)*VLOOKUP('Données projet'!$B$9,Paramètres!$A$1:$I$89,5,0)</f>
        <v>274.79087999999996</v>
      </c>
      <c r="P117" s="13">
        <f t="shared" si="87"/>
        <v>65.86497181236102</v>
      </c>
      <c r="Q117" s="20">
        <f t="shared" si="107"/>
        <v>593.30894190652873</v>
      </c>
      <c r="R117" s="59">
        <f t="shared" si="55"/>
        <v>886.6422752398621</v>
      </c>
      <c r="S117" s="59">
        <f ca="1">AVERAGE(OFFSET($R$3,0,0,'Données projet'!$E$9+1,1))-AVERAGE(OFFSET($H$3,0,0,'Données projet'!$E$9+1,1))</f>
        <v>267.44861001389006</v>
      </c>
      <c r="T117" s="59">
        <f t="shared" si="88"/>
        <v>165.25921510802965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85.255369856156904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85.255369856156904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319</v>
      </c>
      <c r="AJ117" s="13">
        <f>AI117*VLOOKUP('Données projet'!$B$10,Paramètres!$A$1:$I$89,3,0)*VLOOKUP('Données projet'!$B$10,Paramètres!$A$1:$I$89,5,0)</f>
        <v>253.79640000000001</v>
      </c>
      <c r="AK117" s="13">
        <f t="shared" si="89"/>
        <v>61.39816832228076</v>
      </c>
      <c r="AL117" s="20">
        <f t="shared" si="58"/>
        <v>548.96387316130563</v>
      </c>
      <c r="AM117" s="59">
        <f t="shared" si="59"/>
        <v>842.29720649463889</v>
      </c>
      <c r="AN117" s="59">
        <f ca="1">AVERAGE(OFFSET($AM$3,0,0,'Données projet'!$E$10+1,1))-AVERAGE(OFFSET($H$3,0,0,'Données projet'!$E$10+1,1))</f>
        <v>244.70751760575268</v>
      </c>
      <c r="AO117" s="59">
        <f t="shared" si="90"/>
        <v>248.77995374147798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27.115843983900849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27.115843983900849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319</v>
      </c>
      <c r="BE117" s="13">
        <f>BD117*VLOOKUP('Données projet'!$B$11,Paramètres!$A$1:$I$89,3,0)*VLOOKUP('Données projet'!$B$11,Paramètres!$A$1:$I$89,5,0)</f>
        <v>213.98519999999999</v>
      </c>
      <c r="BF117" s="13">
        <f t="shared" si="91"/>
        <v>52.805497044008654</v>
      </c>
      <c r="BG117" s="20">
        <f t="shared" si="61"/>
        <v>464.66046401831505</v>
      </c>
      <c r="BH117" s="59">
        <f t="shared" si="62"/>
        <v>757.99379735164837</v>
      </c>
      <c r="BI117" s="59">
        <f ca="1">AVERAGE(OFFSET($BH$3,0,0,'Données projet'!$E$11+1,1))-AVERAGE(OFFSET($H$3,0,0,'Données projet'!$E$11+1,1))</f>
        <v>195.02599095557656</v>
      </c>
      <c r="BJ117" s="59">
        <f t="shared" si="92"/>
        <v>201.41413798956927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22.862378260936005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22.862378260936005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100.46399999999996</v>
      </c>
      <c r="D118" s="11">
        <f t="shared" si="86"/>
        <v>27.072509349827456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984.49235287586089</v>
      </c>
      <c r="H118" s="66">
        <f t="shared" si="56"/>
        <v>515.45942045094944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331</v>
      </c>
      <c r="L118" s="12">
        <f>VLOOKUP(A118,'Données projet'!$A$35:$I$55,9,0)</f>
        <v>4.8</v>
      </c>
      <c r="M118" s="12">
        <f t="array" ref="M118">INDEX(L:L,MIN(IF(ISNUMBER(L118:L314),ROW(L118:L314),"")))</f>
        <v>4.8</v>
      </c>
      <c r="N118" s="13">
        <f>IF('Données projet'!$A$36&gt;35,N117+M118-V117,IF(A118&lt;'Données projet'!$A$36,$K$205^A118,IF(A118='Données projet'!$A$36,'Données projet'!$B$36,N117+M118-V117)))</f>
        <v>330.99999999999994</v>
      </c>
      <c r="O118" s="13">
        <f>N118*VLOOKUP('Données projet'!$B$9,Paramètres!$A$1:$I$89,3,0)*VLOOKUP('Données projet'!$B$9,Paramètres!$A$1:$I$89,5,0)</f>
        <v>278.83439999999996</v>
      </c>
      <c r="P118" s="13">
        <f t="shared" si="87"/>
        <v>66.720624322271249</v>
      </c>
      <c r="Q118" s="20">
        <f t="shared" si="107"/>
        <v>601.84166736128896</v>
      </c>
      <c r="R118" s="59">
        <f t="shared" si="55"/>
        <v>895.17500069462221</v>
      </c>
      <c r="S118" s="59">
        <f ca="1">AVERAGE(OFFSET($R$3,0,0,'Données projet'!$E$9+1,1))-AVERAGE(OFFSET($H$3,0,0,'Données projet'!$E$9+1,1))</f>
        <v>267.44861001389006</v>
      </c>
      <c r="T118" s="59">
        <f t="shared" si="88"/>
        <v>165.25921510802965</v>
      </c>
      <c r="U118" s="15">
        <f>IF(ISNA(VLOOKUP(A118,'Données projet'!$A$35:$I$55,3,0)),0,VLOOKUP(A118,'Données projet'!$A$35:$I$55,3,0))</f>
        <v>20</v>
      </c>
      <c r="V118" s="15">
        <f>IF(ISNA(VLOOKUP(A118,'Données projet'!$A$35:$I$55,4,0)),0,VLOOKUP(A118,'Données projet'!$A$35:$I$55,4,0))</f>
        <v>24</v>
      </c>
      <c r="W118" s="16">
        <f>IF(ISNA(VLOOKUP(A118,'Données projet'!$A$35:$I$55,5,0)),0%,VLOOKUP(A118,'Données projet'!$A$35:$I$55,5,0)*VLOOKUP('Données projet'!$B$9,Paramètres!$A$1:$I$89,7,0))</f>
        <v>0.43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93.194045970374148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93.194045970374148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319</v>
      </c>
      <c r="AJ118" s="13">
        <f>AI118*VLOOKUP('Données projet'!$B$10,Paramètres!$A$1:$I$89,3,0)*VLOOKUP('Données projet'!$B$10,Paramètres!$A$1:$I$89,5,0)</f>
        <v>253.79640000000001</v>
      </c>
      <c r="AK118" s="13">
        <f t="shared" si="89"/>
        <v>61.39816832228076</v>
      </c>
      <c r="AL118" s="20">
        <f t="shared" si="58"/>
        <v>548.96387316130563</v>
      </c>
      <c r="AM118" s="59">
        <f t="shared" si="59"/>
        <v>842.29720649463889</v>
      </c>
      <c r="AN118" s="59">
        <f ca="1">AVERAGE(OFFSET($AM$3,0,0,'Données projet'!$E$10+1,1))-AVERAGE(OFFSET($H$3,0,0,'Données projet'!$E$10+1,1))</f>
        <v>244.70751760575268</v>
      </c>
      <c r="AO118" s="59">
        <f t="shared" si="90"/>
        <v>248.77995374147798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26.584118822408289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26.584118822408289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319</v>
      </c>
      <c r="BE118" s="13">
        <f>BD118*VLOOKUP('Données projet'!$B$11,Paramètres!$A$1:$I$89,3,0)*VLOOKUP('Données projet'!$B$11,Paramètres!$A$1:$I$89,5,0)</f>
        <v>213.98519999999999</v>
      </c>
      <c r="BF118" s="13">
        <f t="shared" si="91"/>
        <v>52.805497044008654</v>
      </c>
      <c r="BG118" s="20">
        <f t="shared" si="61"/>
        <v>464.66046401831505</v>
      </c>
      <c r="BH118" s="59">
        <f t="shared" si="62"/>
        <v>757.99379735164837</v>
      </c>
      <c r="BI118" s="59">
        <f ca="1">AVERAGE(OFFSET($BH$3,0,0,'Données projet'!$E$11+1,1))-AVERAGE(OFFSET($H$3,0,0,'Données projet'!$E$11+1,1))</f>
        <v>195.02599095557656</v>
      </c>
      <c r="BJ118" s="59">
        <f t="shared" si="92"/>
        <v>201.41413798956927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22.414060967912867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22.414060967912867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101.33759999999995</v>
      </c>
      <c r="D119" s="11">
        <f t="shared" si="86"/>
        <v>27.28041545430554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992.84082105077925</v>
      </c>
      <c r="H119" s="66">
        <f t="shared" si="56"/>
        <v>517.34304358291536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306.99999999999994</v>
      </c>
      <c r="O119" s="13">
        <f>N119*VLOOKUP('Données projet'!$B$9,Paramètres!$A$1:$I$89,3,0)*VLOOKUP('Données projet'!$B$9,Paramètres!$A$1:$I$89,5,0)</f>
        <v>258.61679999999996</v>
      </c>
      <c r="P119" s="13">
        <f t="shared" si="87"/>
        <v>62.427444141032439</v>
      </c>
      <c r="Q119" s="20">
        <f t="shared" si="107"/>
        <v>559.15205854563135</v>
      </c>
      <c r="R119" s="59">
        <f t="shared" si="55"/>
        <v>852.48539187896472</v>
      </c>
      <c r="S119" s="59">
        <f ca="1">AVERAGE(OFFSET($R$3,0,0,'Données projet'!$E$9+1,1))-AVERAGE(OFFSET($H$3,0,0,'Données projet'!$E$9+1,1))</f>
        <v>267.44861001389006</v>
      </c>
      <c r="T119" s="59">
        <f t="shared" si="88"/>
        <v>165.25921510802965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91.366567571650393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91.366567571650393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319</v>
      </c>
      <c r="AJ119" s="13">
        <f>AI119*VLOOKUP('Données projet'!$B$10,Paramètres!$A$1:$I$89,3,0)*VLOOKUP('Données projet'!$B$10,Paramètres!$A$1:$I$89,5,0)</f>
        <v>253.79640000000001</v>
      </c>
      <c r="AK119" s="13">
        <f t="shared" si="89"/>
        <v>61.39816832228076</v>
      </c>
      <c r="AL119" s="20">
        <f t="shared" si="58"/>
        <v>548.96387316130563</v>
      </c>
      <c r="AM119" s="59">
        <f t="shared" si="59"/>
        <v>842.29720649463889</v>
      </c>
      <c r="AN119" s="59">
        <f ca="1">AVERAGE(OFFSET($AM$3,0,0,'Données projet'!$E$10+1,1))-AVERAGE(OFFSET($H$3,0,0,'Données projet'!$E$10+1,1))</f>
        <v>244.70751760575268</v>
      </c>
      <c r="AO119" s="59">
        <f t="shared" si="90"/>
        <v>248.77995374147798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26.062820467012276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26.062820467012276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319</v>
      </c>
      <c r="BE119" s="13">
        <f>BD119*VLOOKUP('Données projet'!$B$11,Paramètres!$A$1:$I$89,3,0)*VLOOKUP('Données projet'!$B$11,Paramètres!$A$1:$I$89,5,0)</f>
        <v>213.98519999999999</v>
      </c>
      <c r="BF119" s="13">
        <f t="shared" si="91"/>
        <v>52.805497044008654</v>
      </c>
      <c r="BG119" s="20">
        <f t="shared" si="61"/>
        <v>464.66046401831505</v>
      </c>
      <c r="BH119" s="59">
        <f t="shared" si="62"/>
        <v>757.99379735164837</v>
      </c>
      <c r="BI119" s="59">
        <f ca="1">AVERAGE(OFFSET($BH$3,0,0,'Données projet'!$E$11+1,1))-AVERAGE(OFFSET($H$3,0,0,'Données projet'!$E$11+1,1))</f>
        <v>195.02599095557656</v>
      </c>
      <c r="BJ119" s="59">
        <f t="shared" si="92"/>
        <v>201.41413798956927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21.974534903559366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21.974534903559366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102.21119999999995</v>
      </c>
      <c r="D120" s="11">
        <f t="shared" si="86"/>
        <v>27.488113037666018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1001.1876795890006</v>
      </c>
      <c r="H120" s="66">
        <f t="shared" si="56"/>
        <v>519.22630354060152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306.99999999999994</v>
      </c>
      <c r="O120" s="13">
        <f>N120*VLOOKUP('Données projet'!$B$9,Paramètres!$A$1:$I$89,3,0)*VLOOKUP('Données projet'!$B$9,Paramètres!$A$1:$I$89,5,0)</f>
        <v>258.61679999999996</v>
      </c>
      <c r="P120" s="13">
        <f t="shared" si="87"/>
        <v>62.427444141032439</v>
      </c>
      <c r="Q120" s="20">
        <f t="shared" si="107"/>
        <v>559.15205854563135</v>
      </c>
      <c r="R120" s="59">
        <f t="shared" si="55"/>
        <v>852.48539187896472</v>
      </c>
      <c r="S120" s="59">
        <f ca="1">AVERAGE(OFFSET($R$3,0,0,'Données projet'!$E$9+1,1))-AVERAGE(OFFSET($H$3,0,0,'Données projet'!$E$9+1,1))</f>
        <v>267.44861001389006</v>
      </c>
      <c r="T120" s="59">
        <f t="shared" si="88"/>
        <v>165.25921510802965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89.574924909673854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89.574924909673854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319</v>
      </c>
      <c r="AJ120" s="13">
        <f>AI120*VLOOKUP('Données projet'!$B$10,Paramètres!$A$1:$I$89,3,0)*VLOOKUP('Données projet'!$B$10,Paramètres!$A$1:$I$89,5,0)</f>
        <v>253.79640000000001</v>
      </c>
      <c r="AK120" s="13">
        <f t="shared" si="89"/>
        <v>61.39816832228076</v>
      </c>
      <c r="AL120" s="20">
        <f t="shared" si="58"/>
        <v>548.96387316130563</v>
      </c>
      <c r="AM120" s="59">
        <f t="shared" si="59"/>
        <v>842.29720649463889</v>
      </c>
      <c r="AN120" s="59">
        <f ca="1">AVERAGE(OFFSET($AM$3,0,0,'Données projet'!$E$10+1,1))-AVERAGE(OFFSET($H$3,0,0,'Données projet'!$E$10+1,1))</f>
        <v>244.70751760575268</v>
      </c>
      <c r="AO120" s="59">
        <f t="shared" si="90"/>
        <v>248.77995374147798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25.551744454404975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25.551744454404975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319</v>
      </c>
      <c r="BE120" s="13">
        <f>BD120*VLOOKUP('Données projet'!$B$11,Paramètres!$A$1:$I$89,3,0)*VLOOKUP('Données projet'!$B$11,Paramètres!$A$1:$I$89,5,0)</f>
        <v>213.98519999999999</v>
      </c>
      <c r="BF120" s="13">
        <f t="shared" si="91"/>
        <v>52.805497044008654</v>
      </c>
      <c r="BG120" s="20">
        <f t="shared" si="61"/>
        <v>464.66046401831505</v>
      </c>
      <c r="BH120" s="59">
        <f t="shared" si="62"/>
        <v>757.99379735164837</v>
      </c>
      <c r="BI120" s="59">
        <f ca="1">AVERAGE(OFFSET($BH$3,0,0,'Données projet'!$E$11+1,1))-AVERAGE(OFFSET($H$3,0,0,'Données projet'!$E$11+1,1))</f>
        <v>195.02599095557656</v>
      </c>
      <c r="BJ120" s="59">
        <f t="shared" si="92"/>
        <v>201.41413798956927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21.543627677243407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21.543627677243407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103.08479999999994</v>
      </c>
      <c r="D121" s="11">
        <f t="shared" si="86"/>
        <v>27.69560408865161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1009.5329438422226</v>
      </c>
      <c r="H121" s="66">
        <f t="shared" si="56"/>
        <v>521.10920378773471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306.99999999999994</v>
      </c>
      <c r="O121" s="13">
        <f>N121*VLOOKUP('Données projet'!$B$9,Paramètres!$A$1:$I$89,3,0)*VLOOKUP('Données projet'!$B$9,Paramètres!$A$1:$I$89,5,0)</f>
        <v>258.61679999999996</v>
      </c>
      <c r="P121" s="13">
        <f t="shared" si="87"/>
        <v>62.427444141032439</v>
      </c>
      <c r="Q121" s="20">
        <f t="shared" si="107"/>
        <v>559.15205854563135</v>
      </c>
      <c r="R121" s="59">
        <f t="shared" si="55"/>
        <v>852.48539187896472</v>
      </c>
      <c r="S121" s="59">
        <f ca="1">AVERAGE(OFFSET($R$3,0,0,'Données projet'!$E$9+1,1))-AVERAGE(OFFSET($H$3,0,0,'Données projet'!$E$9+1,1))</f>
        <v>267.44861001389006</v>
      </c>
      <c r="T121" s="59">
        <f t="shared" si="88"/>
        <v>165.25921510802965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87.818415267504562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87.818415267504562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319</v>
      </c>
      <c r="AJ121" s="13">
        <f>AI121*VLOOKUP('Données projet'!$B$10,Paramètres!$A$1:$I$89,3,0)*VLOOKUP('Données projet'!$B$10,Paramètres!$A$1:$I$89,5,0)</f>
        <v>253.79640000000001</v>
      </c>
      <c r="AK121" s="13">
        <f t="shared" si="89"/>
        <v>61.39816832228076</v>
      </c>
      <c r="AL121" s="20">
        <f t="shared" si="58"/>
        <v>548.96387316130563</v>
      </c>
      <c r="AM121" s="59">
        <f t="shared" si="59"/>
        <v>842.29720649463889</v>
      </c>
      <c r="AN121" s="59">
        <f ca="1">AVERAGE(OFFSET($AM$3,0,0,'Données projet'!$E$10+1,1))-AVERAGE(OFFSET($H$3,0,0,'Données projet'!$E$10+1,1))</f>
        <v>244.70751760575268</v>
      </c>
      <c r="AO121" s="59">
        <f t="shared" si="90"/>
        <v>248.77995374147798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25.050690330679316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25.050690330679316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319</v>
      </c>
      <c r="BE121" s="13">
        <f>BD121*VLOOKUP('Données projet'!$B$11,Paramètres!$A$1:$I$89,3,0)*VLOOKUP('Données projet'!$B$11,Paramètres!$A$1:$I$89,5,0)</f>
        <v>213.98519999999999</v>
      </c>
      <c r="BF121" s="13">
        <f t="shared" si="91"/>
        <v>52.805497044008654</v>
      </c>
      <c r="BG121" s="20">
        <f t="shared" si="61"/>
        <v>464.66046401831505</v>
      </c>
      <c r="BH121" s="59">
        <f t="shared" si="62"/>
        <v>757.99379735164837</v>
      </c>
      <c r="BI121" s="59">
        <f ca="1">AVERAGE(OFFSET($BH$3,0,0,'Données projet'!$E$11+1,1))-AVERAGE(OFFSET($H$3,0,0,'Données projet'!$E$11+1,1))</f>
        <v>195.02599095557656</v>
      </c>
      <c r="BJ121" s="59">
        <f t="shared" si="92"/>
        <v>201.41413798956927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21.121170278808048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21.121170278808048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103.95839999999994</v>
      </c>
      <c r="D122" s="11">
        <f t="shared" si="86"/>
        <v>27.902890560352166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1017.8766288869284</v>
      </c>
      <c r="H122" s="66">
        <f t="shared" si="56"/>
        <v>522.99174772594654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306.99999999999994</v>
      </c>
      <c r="O122" s="13">
        <f>N122*VLOOKUP('Données projet'!$B$9,Paramètres!$A$1:$I$89,3,0)*VLOOKUP('Données projet'!$B$9,Paramètres!$A$1:$I$89,5,0)</f>
        <v>258.61679999999996</v>
      </c>
      <c r="P122" s="13">
        <f t="shared" si="87"/>
        <v>62.427444141032439</v>
      </c>
      <c r="Q122" s="20">
        <f t="shared" si="107"/>
        <v>559.15205854563135</v>
      </c>
      <c r="R122" s="59">
        <f t="shared" si="55"/>
        <v>852.48539187896472</v>
      </c>
      <c r="S122" s="59">
        <f ca="1">AVERAGE(OFFSET($R$3,0,0,'Données projet'!$E$9+1,1))-AVERAGE(OFFSET($H$3,0,0,'Données projet'!$E$9+1,1))</f>
        <v>267.44861001389006</v>
      </c>
      <c r="T122" s="59">
        <f t="shared" si="88"/>
        <v>165.25921510802965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86.096349708053111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86.096349708053111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319</v>
      </c>
      <c r="AJ122" s="13">
        <f>AI122*VLOOKUP('Données projet'!$B$10,Paramètres!$A$1:$I$89,3,0)*VLOOKUP('Données projet'!$B$10,Paramètres!$A$1:$I$89,5,0)</f>
        <v>253.79640000000001</v>
      </c>
      <c r="AK122" s="13">
        <f t="shared" si="89"/>
        <v>61.39816832228076</v>
      </c>
      <c r="AL122" s="20">
        <f t="shared" si="58"/>
        <v>548.96387316130563</v>
      </c>
      <c r="AM122" s="59">
        <f t="shared" si="59"/>
        <v>842.29720649463889</v>
      </c>
      <c r="AN122" s="59">
        <f ca="1">AVERAGE(OFFSET($AM$3,0,0,'Données projet'!$E$10+1,1))-AVERAGE(OFFSET($H$3,0,0,'Données projet'!$E$10+1,1))</f>
        <v>244.70751760575268</v>
      </c>
      <c r="AO122" s="59">
        <f t="shared" si="90"/>
        <v>248.77995374147798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24.559461572707079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24.559461572707079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319</v>
      </c>
      <c r="BE122" s="13">
        <f>BD122*VLOOKUP('Données projet'!$B$11,Paramètres!$A$1:$I$89,3,0)*VLOOKUP('Données projet'!$B$11,Paramètres!$A$1:$I$89,5,0)</f>
        <v>213.98519999999999</v>
      </c>
      <c r="BF122" s="13">
        <f t="shared" si="91"/>
        <v>52.805497044008654</v>
      </c>
      <c r="BG122" s="20">
        <f t="shared" si="61"/>
        <v>464.66046401831505</v>
      </c>
      <c r="BH122" s="59">
        <f t="shared" si="62"/>
        <v>757.99379735164837</v>
      </c>
      <c r="BI122" s="59">
        <f ca="1">AVERAGE(OFFSET($BH$3,0,0,'Données projet'!$E$11+1,1))-AVERAGE(OFFSET($H$3,0,0,'Données projet'!$E$11+1,1))</f>
        <v>195.02599095557656</v>
      </c>
      <c r="BJ122" s="59">
        <f t="shared" si="92"/>
        <v>201.41413798956927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20.706997012282436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20.706997012282436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104.83199999999994</v>
      </c>
      <c r="D123" s="11">
        <f t="shared" si="86"/>
        <v>28.109974371137692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1026.2187495315889</v>
      </c>
      <c r="H123" s="66">
        <f t="shared" si="56"/>
        <v>524.873938696398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306.99999999999994</v>
      </c>
      <c r="O123" s="13">
        <f>N123*VLOOKUP('Données projet'!$B$9,Paramètres!$A$1:$I$89,3,0)*VLOOKUP('Données projet'!$B$9,Paramètres!$A$1:$I$89,5,0)</f>
        <v>258.61679999999996</v>
      </c>
      <c r="P123" s="13">
        <f t="shared" si="87"/>
        <v>62.427444141032439</v>
      </c>
      <c r="Q123" s="20">
        <f t="shared" si="107"/>
        <v>559.15205854563135</v>
      </c>
      <c r="R123" s="59">
        <f t="shared" si="55"/>
        <v>852.48539187896472</v>
      </c>
      <c r="S123" s="59">
        <f ca="1">AVERAGE(OFFSET($R$3,0,0,'Données projet'!$E$9+1,1))-AVERAGE(OFFSET($H$3,0,0,'Données projet'!$E$9+1,1))</f>
        <v>267.44861001389006</v>
      </c>
      <c r="T123" s="59">
        <f t="shared" si="88"/>
        <v>165.25921510802965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84.408052803866227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84.408052803866227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319</v>
      </c>
      <c r="AJ123" s="13">
        <f>AI123*VLOOKUP('Données projet'!$B$10,Paramètres!$A$1:$I$89,3,0)*VLOOKUP('Données projet'!$B$10,Paramètres!$A$1:$I$89,5,0)</f>
        <v>253.79640000000001</v>
      </c>
      <c r="AK123" s="13">
        <f t="shared" si="89"/>
        <v>61.39816832228076</v>
      </c>
      <c r="AL123" s="20">
        <f t="shared" si="58"/>
        <v>548.96387316130563</v>
      </c>
      <c r="AM123" s="59">
        <f t="shared" si="59"/>
        <v>842.29720649463889</v>
      </c>
      <c r="AN123" s="59">
        <f ca="1">AVERAGE(OFFSET($AM$3,0,0,'Données projet'!$E$10+1,1))-AVERAGE(OFFSET($H$3,0,0,'Données projet'!$E$10+1,1))</f>
        <v>244.70751760575268</v>
      </c>
      <c r="AO123" s="59">
        <f t="shared" si="90"/>
        <v>248.77995374147798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24.077865511058722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24.077865511058722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319</v>
      </c>
      <c r="BE123" s="13">
        <f>BD123*VLOOKUP('Données projet'!$B$11,Paramètres!$A$1:$I$89,3,0)*VLOOKUP('Données projet'!$B$11,Paramètres!$A$1:$I$89,5,0)</f>
        <v>213.98519999999999</v>
      </c>
      <c r="BF123" s="13">
        <f t="shared" si="91"/>
        <v>52.805497044008654</v>
      </c>
      <c r="BG123" s="20">
        <f t="shared" si="61"/>
        <v>464.66046401831505</v>
      </c>
      <c r="BH123" s="59">
        <f t="shared" si="62"/>
        <v>757.99379735164837</v>
      </c>
      <c r="BI123" s="59">
        <f ca="1">AVERAGE(OFFSET($BH$3,0,0,'Données projet'!$E$11+1,1))-AVERAGE(OFFSET($H$3,0,0,'Données projet'!$E$11+1,1))</f>
        <v>195.02599095557656</v>
      </c>
      <c r="BJ123" s="59">
        <f t="shared" si="92"/>
        <v>201.41413798956927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20.300945430892643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20.300945430892643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105.70559999999993</v>
      </c>
      <c r="D124" s="11">
        <f t="shared" si="86"/>
        <v>28.316857405559968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1034.5593203236203</v>
      </c>
      <c r="H124" s="66">
        <f t="shared" si="56"/>
        <v>526.75577998135009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306.99999999999994</v>
      </c>
      <c r="O124" s="13">
        <f>N124*VLOOKUP('Données projet'!$B$9,Paramètres!$A$1:$I$89,3,0)*VLOOKUP('Données projet'!$B$9,Paramètres!$A$1:$I$89,5,0)</f>
        <v>258.61679999999996</v>
      </c>
      <c r="P124" s="13">
        <f t="shared" si="87"/>
        <v>62.427444141032439</v>
      </c>
      <c r="Q124" s="20">
        <f t="shared" si="107"/>
        <v>559.15205854563135</v>
      </c>
      <c r="R124" s="59">
        <f t="shared" si="55"/>
        <v>852.48539187896472</v>
      </c>
      <c r="S124" s="59">
        <f ca="1">AVERAGE(OFFSET($R$3,0,0,'Données projet'!$E$9+1,1))-AVERAGE(OFFSET($H$3,0,0,'Données projet'!$E$9+1,1))</f>
        <v>267.44861001389006</v>
      </c>
      <c r="T124" s="59">
        <f t="shared" si="88"/>
        <v>165.25921510802965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82.752862372211013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82.752862372211013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319</v>
      </c>
      <c r="AJ124" s="13">
        <f>AI124*VLOOKUP('Données projet'!$B$10,Paramètres!$A$1:$I$89,3,0)*VLOOKUP('Données projet'!$B$10,Paramètres!$A$1:$I$89,5,0)</f>
        <v>253.79640000000001</v>
      </c>
      <c r="AK124" s="13">
        <f t="shared" si="89"/>
        <v>61.39816832228076</v>
      </c>
      <c r="AL124" s="20">
        <f t="shared" si="58"/>
        <v>548.96387316130563</v>
      </c>
      <c r="AM124" s="59">
        <f t="shared" si="59"/>
        <v>842.29720649463889</v>
      </c>
      <c r="AN124" s="59">
        <f ca="1">AVERAGE(OFFSET($AM$3,0,0,'Données projet'!$E$10+1,1))-AVERAGE(OFFSET($H$3,0,0,'Données projet'!$E$10+1,1))</f>
        <v>244.70751760575268</v>
      </c>
      <c r="AO124" s="59">
        <f t="shared" si="90"/>
        <v>248.77995374147798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23.605713254434693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23.605713254434693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319</v>
      </c>
      <c r="BE124" s="13">
        <f>BD124*VLOOKUP('Données projet'!$B$11,Paramètres!$A$1:$I$89,3,0)*VLOOKUP('Données projet'!$B$11,Paramètres!$A$1:$I$89,5,0)</f>
        <v>213.98519999999999</v>
      </c>
      <c r="BF124" s="13">
        <f t="shared" si="91"/>
        <v>52.805497044008654</v>
      </c>
      <c r="BG124" s="20">
        <f t="shared" si="61"/>
        <v>464.66046401831505</v>
      </c>
      <c r="BH124" s="59">
        <f t="shared" si="62"/>
        <v>757.99379735164837</v>
      </c>
      <c r="BI124" s="59">
        <f ca="1">AVERAGE(OFFSET($BH$3,0,0,'Données projet'!$E$11+1,1))-AVERAGE(OFFSET($H$3,0,0,'Données projet'!$E$11+1,1))</f>
        <v>195.02599095557656</v>
      </c>
      <c r="BJ124" s="59">
        <f t="shared" si="92"/>
        <v>201.41413798956927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19.902856273346895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19.902856273346895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106.57919999999993</v>
      </c>
      <c r="D125" s="11">
        <f t="shared" si="86"/>
        <v>28.523541515222913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1042.8983555561063</v>
      </c>
      <c r="H125" s="66">
        <f t="shared" si="56"/>
        <v>528.63727480567968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306.99999999999994</v>
      </c>
      <c r="O125" s="13">
        <f>N125*VLOOKUP('Données projet'!$B$9,Paramètres!$A$1:$I$89,3,0)*VLOOKUP('Données projet'!$B$9,Paramètres!$A$1:$I$89,5,0)</f>
        <v>258.61679999999996</v>
      </c>
      <c r="P125" s="13">
        <f t="shared" si="87"/>
        <v>62.427444141032439</v>
      </c>
      <c r="Q125" s="20">
        <f t="shared" si="107"/>
        <v>559.15205854563135</v>
      </c>
      <c r="R125" s="59">
        <f t="shared" si="55"/>
        <v>852.48539187896472</v>
      </c>
      <c r="S125" s="59">
        <f ca="1">AVERAGE(OFFSET($R$3,0,0,'Données projet'!$E$9+1,1))-AVERAGE(OFFSET($H$3,0,0,'Données projet'!$E$9+1,1))</f>
        <v>267.44861001389006</v>
      </c>
      <c r="T125" s="59">
        <f t="shared" si="88"/>
        <v>165.25921510802965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81.130129215354089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81.130129215354089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319</v>
      </c>
      <c r="AJ125" s="13">
        <f>AI125*VLOOKUP('Données projet'!$B$10,Paramètres!$A$1:$I$89,3,0)*VLOOKUP('Données projet'!$B$10,Paramètres!$A$1:$I$89,5,0)</f>
        <v>253.79640000000001</v>
      </c>
      <c r="AK125" s="13">
        <f t="shared" si="89"/>
        <v>61.39816832228076</v>
      </c>
      <c r="AL125" s="20">
        <f t="shared" si="58"/>
        <v>548.96387316130563</v>
      </c>
      <c r="AM125" s="59">
        <f t="shared" si="59"/>
        <v>842.29720649463889</v>
      </c>
      <c r="AN125" s="59">
        <f ca="1">AVERAGE(OFFSET($AM$3,0,0,'Données projet'!$E$10+1,1))-AVERAGE(OFFSET($H$3,0,0,'Données projet'!$E$10+1,1))</f>
        <v>244.70751760575268</v>
      </c>
      <c r="AO125" s="59">
        <f t="shared" si="90"/>
        <v>248.77995374147798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23.142819615578624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23.142819615578624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319</v>
      </c>
      <c r="BE125" s="13">
        <f>BD125*VLOOKUP('Données projet'!$B$11,Paramètres!$A$1:$I$89,3,0)*VLOOKUP('Données projet'!$B$11,Paramètres!$A$1:$I$89,5,0)</f>
        <v>213.98519999999999</v>
      </c>
      <c r="BF125" s="13">
        <f t="shared" si="91"/>
        <v>52.805497044008654</v>
      </c>
      <c r="BG125" s="20">
        <f t="shared" si="61"/>
        <v>464.66046401831505</v>
      </c>
      <c r="BH125" s="59">
        <f t="shared" si="62"/>
        <v>757.99379735164837</v>
      </c>
      <c r="BI125" s="59">
        <f ca="1">AVERAGE(OFFSET($BH$3,0,0,'Données projet'!$E$11+1,1))-AVERAGE(OFFSET($H$3,0,0,'Données projet'!$E$11+1,1))</f>
        <v>195.02599095557656</v>
      </c>
      <c r="BJ125" s="59">
        <f t="shared" si="92"/>
        <v>201.41413798956927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19.512573401370208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19.512573401370208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107.45279999999993</v>
      </c>
      <c r="D126" s="11">
        <f t="shared" si="86"/>
        <v>28.730028519623875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1051.2358692742889</v>
      </c>
      <c r="H126" s="66">
        <f t="shared" si="56"/>
        <v>530.51842633834474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306.99999999999994</v>
      </c>
      <c r="O126" s="13">
        <f>N126*VLOOKUP('Données projet'!$B$9,Paramètres!$A$1:$I$89,3,0)*VLOOKUP('Données projet'!$B$9,Paramètres!$A$1:$I$89,5,0)</f>
        <v>258.61679999999996</v>
      </c>
      <c r="P126" s="13">
        <f t="shared" si="87"/>
        <v>62.427444141032439</v>
      </c>
      <c r="Q126" s="20">
        <f t="shared" si="107"/>
        <v>559.15205854563135</v>
      </c>
      <c r="R126" s="59">
        <f t="shared" si="55"/>
        <v>852.48539187896472</v>
      </c>
      <c r="S126" s="59">
        <f ca="1">AVERAGE(OFFSET($R$3,0,0,'Données projet'!$E$9+1,1))-AVERAGE(OFFSET($H$3,0,0,'Données projet'!$E$9+1,1))</f>
        <v>267.44861001389006</v>
      </c>
      <c r="T126" s="59">
        <f t="shared" si="88"/>
        <v>165.25921510802965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79.539216865933625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79.539216865933625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319</v>
      </c>
      <c r="AJ126" s="13">
        <f>AI126*VLOOKUP('Données projet'!$B$10,Paramètres!$A$1:$I$89,3,0)*VLOOKUP('Données projet'!$B$10,Paramètres!$A$1:$I$89,5,0)</f>
        <v>253.79640000000001</v>
      </c>
      <c r="AK126" s="13">
        <f t="shared" si="89"/>
        <v>61.39816832228076</v>
      </c>
      <c r="AL126" s="20">
        <f t="shared" si="58"/>
        <v>548.96387316130563</v>
      </c>
      <c r="AM126" s="59">
        <f t="shared" si="59"/>
        <v>842.29720649463889</v>
      </c>
      <c r="AN126" s="59">
        <f ca="1">AVERAGE(OFFSET($AM$3,0,0,'Données projet'!$E$10+1,1))-AVERAGE(OFFSET($H$3,0,0,'Données projet'!$E$10+1,1))</f>
        <v>244.70751760575268</v>
      </c>
      <c r="AO126" s="59">
        <f t="shared" si="90"/>
        <v>248.77995374147798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22.689003038643282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22.689003038643282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319</v>
      </c>
      <c r="BE126" s="13">
        <f>BD126*VLOOKUP('Données projet'!$B$11,Paramètres!$A$1:$I$89,3,0)*VLOOKUP('Données projet'!$B$11,Paramètres!$A$1:$I$89,5,0)</f>
        <v>213.98519999999999</v>
      </c>
      <c r="BF126" s="13">
        <f t="shared" si="91"/>
        <v>52.805497044008654</v>
      </c>
      <c r="BG126" s="20">
        <f t="shared" si="61"/>
        <v>464.66046401831505</v>
      </c>
      <c r="BH126" s="59">
        <f t="shared" si="62"/>
        <v>757.99379735164837</v>
      </c>
      <c r="BI126" s="59">
        <f ca="1">AVERAGE(OFFSET($BH$3,0,0,'Données projet'!$E$11+1,1))-AVERAGE(OFFSET($H$3,0,0,'Données projet'!$E$11+1,1))</f>
        <v>195.02599095557656</v>
      </c>
      <c r="BJ126" s="59">
        <f t="shared" si="92"/>
        <v>201.41413798956927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19.12994373846394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19.12994373846394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108.32639999999992</v>
      </c>
      <c r="D127" s="11">
        <f t="shared" si="86"/>
        <v>28.936320206966858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1059.5718752818489</v>
      </c>
      <c r="H127" s="66">
        <f t="shared" si="56"/>
        <v>532.39923769380039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306.99999999999994</v>
      </c>
      <c r="O127" s="13">
        <f>N127*VLOOKUP('Données projet'!$B$9,Paramètres!$A$1:$I$89,3,0)*VLOOKUP('Données projet'!$B$9,Paramètres!$A$1:$I$89,5,0)</f>
        <v>258.61679999999996</v>
      </c>
      <c r="P127" s="13">
        <f t="shared" si="87"/>
        <v>62.427444141032439</v>
      </c>
      <c r="Q127" s="20">
        <f t="shared" si="107"/>
        <v>559.15205854563135</v>
      </c>
      <c r="R127" s="59">
        <f t="shared" si="55"/>
        <v>852.48539187896472</v>
      </c>
      <c r="S127" s="59">
        <f ca="1">AVERAGE(OFFSET($R$3,0,0,'Données projet'!$E$9+1,1))-AVERAGE(OFFSET($H$3,0,0,'Données projet'!$E$9+1,1))</f>
        <v>267.44861001389006</v>
      </c>
      <c r="T127" s="59">
        <f t="shared" si="88"/>
        <v>165.25921510802965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77.979501337324578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77.979501337324578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319</v>
      </c>
      <c r="AJ127" s="13">
        <f>AI127*VLOOKUP('Données projet'!$B$10,Paramètres!$A$1:$I$89,3,0)*VLOOKUP('Données projet'!$B$10,Paramètres!$A$1:$I$89,5,0)</f>
        <v>253.79640000000001</v>
      </c>
      <c r="AK127" s="13">
        <f t="shared" si="89"/>
        <v>61.39816832228076</v>
      </c>
      <c r="AL127" s="20">
        <f t="shared" si="58"/>
        <v>548.96387316130563</v>
      </c>
      <c r="AM127" s="59">
        <f t="shared" si="59"/>
        <v>842.29720649463889</v>
      </c>
      <c r="AN127" s="59">
        <f ca="1">AVERAGE(OFFSET($AM$3,0,0,'Données projet'!$E$10+1,1))-AVERAGE(OFFSET($H$3,0,0,'Données projet'!$E$10+1,1))</f>
        <v>244.70751760575268</v>
      </c>
      <c r="AO127" s="59">
        <f t="shared" si="90"/>
        <v>248.77995374147798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22.244085527980861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22.244085527980861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319</v>
      </c>
      <c r="BE127" s="13">
        <f>BD127*VLOOKUP('Données projet'!$B$11,Paramètres!$A$1:$I$89,3,0)*VLOOKUP('Données projet'!$B$11,Paramètres!$A$1:$I$89,5,0)</f>
        <v>213.98519999999999</v>
      </c>
      <c r="BF127" s="13">
        <f t="shared" si="91"/>
        <v>52.805497044008654</v>
      </c>
      <c r="BG127" s="20">
        <f t="shared" si="61"/>
        <v>464.66046401831505</v>
      </c>
      <c r="BH127" s="59">
        <f t="shared" si="62"/>
        <v>757.99379735164837</v>
      </c>
      <c r="BI127" s="59">
        <f ca="1">AVERAGE(OFFSET($BH$3,0,0,'Données projet'!$E$11+1,1))-AVERAGE(OFFSET($H$3,0,0,'Données projet'!$E$11+1,1))</f>
        <v>195.02599095557656</v>
      </c>
      <c r="BJ127" s="59">
        <f t="shared" si="92"/>
        <v>201.41413798956927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18.754817209866211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18.754817209866211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109.19999999999992</v>
      </c>
      <c r="D128" s="11">
        <f t="shared" si="86"/>
        <v>29.142418334948587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1067.9063871469709</v>
      </c>
      <c r="H128" s="66">
        <f t="shared" si="56"/>
        <v>534.27971193336862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306.99999999999994</v>
      </c>
      <c r="O128" s="13">
        <f>N128*VLOOKUP('Données projet'!$B$9,Paramètres!$A$1:$I$89,3,0)*VLOOKUP('Données projet'!$B$9,Paramètres!$A$1:$I$89,5,0)</f>
        <v>258.61679999999996</v>
      </c>
      <c r="P128" s="13">
        <f t="shared" si="87"/>
        <v>62.427444141032439</v>
      </c>
      <c r="Q128" s="20">
        <f t="shared" si="107"/>
        <v>559.15205854563135</v>
      </c>
      <c r="R128" s="59">
        <f t="shared" si="55"/>
        <v>852.48539187896472</v>
      </c>
      <c r="S128" s="59">
        <f ca="1">AVERAGE(OFFSET($R$3,0,0,'Données projet'!$E$9+1,1))-AVERAGE(OFFSET($H$3,0,0,'Données projet'!$E$9+1,1))</f>
        <v>267.44861001389006</v>
      </c>
      <c r="T128" s="59">
        <f t="shared" si="88"/>
        <v>165.25921510802965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76.450370878899022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76.450370878899022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319</v>
      </c>
      <c r="AJ128" s="13">
        <f>AI128*VLOOKUP('Données projet'!$B$10,Paramètres!$A$1:$I$89,3,0)*VLOOKUP('Données projet'!$B$10,Paramètres!$A$1:$I$89,5,0)</f>
        <v>253.79640000000001</v>
      </c>
      <c r="AK128" s="13">
        <f t="shared" si="89"/>
        <v>61.39816832228076</v>
      </c>
      <c r="AL128" s="20">
        <f t="shared" si="58"/>
        <v>548.96387316130563</v>
      </c>
      <c r="AM128" s="59">
        <f t="shared" si="59"/>
        <v>842.29720649463889</v>
      </c>
      <c r="AN128" s="59">
        <f ca="1">AVERAGE(OFFSET($AM$3,0,0,'Données projet'!$E$10+1,1))-AVERAGE(OFFSET($H$3,0,0,'Données projet'!$E$10+1,1))</f>
        <v>244.70751760575268</v>
      </c>
      <c r="AO128" s="59">
        <f t="shared" si="90"/>
        <v>248.77995374147798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21.807892578329643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21.807892578329643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319</v>
      </c>
      <c r="BE128" s="13">
        <f>BD128*VLOOKUP('Données projet'!$B$11,Paramètres!$A$1:$I$89,3,0)*VLOOKUP('Données projet'!$B$11,Paramètres!$A$1:$I$89,5,0)</f>
        <v>213.98519999999999</v>
      </c>
      <c r="BF128" s="13">
        <f t="shared" si="91"/>
        <v>52.805497044008654</v>
      </c>
      <c r="BG128" s="20">
        <f t="shared" si="61"/>
        <v>464.66046401831505</v>
      </c>
      <c r="BH128" s="59">
        <f t="shared" si="62"/>
        <v>757.99379735164837</v>
      </c>
      <c r="BI128" s="59">
        <f ca="1">AVERAGE(OFFSET($BH$3,0,0,'Données projet'!$E$11+1,1))-AVERAGE(OFFSET($H$3,0,0,'Données projet'!$E$11+1,1))</f>
        <v>195.02599095557656</v>
      </c>
      <c r="BJ128" s="59">
        <f t="shared" si="92"/>
        <v>201.41413798956927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18.387046683689693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18.387046683689693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110.07359999999991</v>
      </c>
      <c r="D129" s="11">
        <f t="shared" si="86"/>
        <v>29.348324631518803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1076.2394182082146</v>
      </c>
      <c r="H129" s="66">
        <f t="shared" si="56"/>
        <v>536.15985206656171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306.99999999999994</v>
      </c>
      <c r="O129" s="13">
        <f>N129*VLOOKUP('Données projet'!$B$9,Paramètres!$A$1:$I$89,3,0)*VLOOKUP('Données projet'!$B$9,Paramètres!$A$1:$I$89,5,0)</f>
        <v>258.61679999999996</v>
      </c>
      <c r="P129" s="13">
        <f t="shared" si="87"/>
        <v>62.427444141032439</v>
      </c>
      <c r="Q129" s="20">
        <f t="shared" si="107"/>
        <v>559.15205854563135</v>
      </c>
      <c r="R129" s="59">
        <f t="shared" si="55"/>
        <v>852.48539187896472</v>
      </c>
      <c r="S129" s="59">
        <f ca="1">AVERAGE(OFFSET($R$3,0,0,'Données projet'!$E$9+1,1))-AVERAGE(OFFSET($H$3,0,0,'Données projet'!$E$9+1,1))</f>
        <v>267.44861001389006</v>
      </c>
      <c r="T129" s="59">
        <f t="shared" si="88"/>
        <v>165.25921510802965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74.951225736085703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74.951225736085703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319</v>
      </c>
      <c r="AJ129" s="13">
        <f>AI129*VLOOKUP('Données projet'!$B$10,Paramètres!$A$1:$I$89,3,0)*VLOOKUP('Données projet'!$B$10,Paramètres!$A$1:$I$89,5,0)</f>
        <v>253.79640000000001</v>
      </c>
      <c r="AK129" s="13">
        <f t="shared" si="89"/>
        <v>61.39816832228076</v>
      </c>
      <c r="AL129" s="20">
        <f t="shared" si="58"/>
        <v>548.96387316130563</v>
      </c>
      <c r="AM129" s="59">
        <f t="shared" si="59"/>
        <v>842.29720649463889</v>
      </c>
      <c r="AN129" s="59">
        <f ca="1">AVERAGE(OFFSET($AM$3,0,0,'Données projet'!$E$10+1,1))-AVERAGE(OFFSET($H$3,0,0,'Données projet'!$E$10+1,1))</f>
        <v>244.70751760575268</v>
      </c>
      <c r="AO129" s="59">
        <f t="shared" si="90"/>
        <v>248.77995374147798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21.380253106369658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21.380253106369658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319</v>
      </c>
      <c r="BE129" s="13">
        <f>BD129*VLOOKUP('Données projet'!$B$11,Paramètres!$A$1:$I$89,3,0)*VLOOKUP('Données projet'!$B$11,Paramètres!$A$1:$I$89,5,0)</f>
        <v>213.98519999999999</v>
      </c>
      <c r="BF129" s="13">
        <f t="shared" si="91"/>
        <v>52.805497044008654</v>
      </c>
      <c r="BG129" s="20">
        <f t="shared" si="61"/>
        <v>464.66046401831505</v>
      </c>
      <c r="BH129" s="59">
        <f t="shared" si="62"/>
        <v>757.99379735164837</v>
      </c>
      <c r="BI129" s="59">
        <f ca="1">AVERAGE(OFFSET($BH$3,0,0,'Données projet'!$E$11+1,1))-AVERAGE(OFFSET($H$3,0,0,'Données projet'!$E$11+1,1))</f>
        <v>195.02599095557656</v>
      </c>
      <c r="BJ129" s="59">
        <f t="shared" si="92"/>
        <v>201.41413798956927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18.026487913213625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18.026487913213625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110.94719999999991</v>
      </c>
      <c r="D130" s="11">
        <f t="shared" si="86"/>
        <v>29.554040795615606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1084.5709815801899</v>
      </c>
      <c r="H130" s="66">
        <f t="shared" si="56"/>
        <v>538.03966105236361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306.99999999999994</v>
      </c>
      <c r="O130" s="13">
        <f>N130*VLOOKUP('Données projet'!$B$9,Paramètres!$A$1:$I$89,3,0)*VLOOKUP('Données projet'!$B$9,Paramètres!$A$1:$I$89,5,0)</f>
        <v>258.61679999999996</v>
      </c>
      <c r="P130" s="13">
        <f t="shared" si="87"/>
        <v>62.427444141032439</v>
      </c>
      <c r="Q130" s="20">
        <f t="shared" si="107"/>
        <v>559.15205854563135</v>
      </c>
      <c r="R130" s="59">
        <f t="shared" si="55"/>
        <v>852.48539187896472</v>
      </c>
      <c r="S130" s="59">
        <f ca="1">AVERAGE(OFFSET($R$3,0,0,'Données projet'!$E$9+1,1))-AVERAGE(OFFSET($H$3,0,0,'Données projet'!$E$9+1,1))</f>
        <v>267.44861001389006</v>
      </c>
      <c r="T130" s="59">
        <f t="shared" si="88"/>
        <v>165.25921510802965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73.481477915134704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73.481477915134704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319</v>
      </c>
      <c r="AJ130" s="13">
        <f>AI130*VLOOKUP('Données projet'!$B$10,Paramètres!$A$1:$I$89,3,0)*VLOOKUP('Données projet'!$B$10,Paramètres!$A$1:$I$89,5,0)</f>
        <v>253.79640000000001</v>
      </c>
      <c r="AK130" s="13">
        <f t="shared" si="89"/>
        <v>61.39816832228076</v>
      </c>
      <c r="AL130" s="20">
        <f t="shared" si="58"/>
        <v>548.96387316130563</v>
      </c>
      <c r="AM130" s="59">
        <f t="shared" si="59"/>
        <v>842.29720649463889</v>
      </c>
      <c r="AN130" s="59">
        <f ca="1">AVERAGE(OFFSET($AM$3,0,0,'Données projet'!$E$10+1,1))-AVERAGE(OFFSET($H$3,0,0,'Données projet'!$E$10+1,1))</f>
        <v>244.70751760575268</v>
      </c>
      <c r="AO130" s="59">
        <f t="shared" si="90"/>
        <v>248.77995374147798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20.960999383620486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20.960999383620486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319</v>
      </c>
      <c r="BE130" s="13">
        <f>BD130*VLOOKUP('Données projet'!$B$11,Paramètres!$A$1:$I$89,3,0)*VLOOKUP('Données projet'!$B$11,Paramètres!$A$1:$I$89,5,0)</f>
        <v>213.98519999999999</v>
      </c>
      <c r="BF130" s="13">
        <f t="shared" si="91"/>
        <v>52.805497044008654</v>
      </c>
      <c r="BG130" s="20">
        <f t="shared" si="61"/>
        <v>464.66046401831505</v>
      </c>
      <c r="BH130" s="59">
        <f t="shared" si="62"/>
        <v>757.99379735164837</v>
      </c>
      <c r="BI130" s="59">
        <f ca="1">AVERAGE(OFFSET($BH$3,0,0,'Données projet'!$E$11+1,1))-AVERAGE(OFFSET($H$3,0,0,'Données projet'!$E$11+1,1))</f>
        <v>195.02599095557656</v>
      </c>
      <c r="BJ130" s="59">
        <f t="shared" si="92"/>
        <v>201.41413798956927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17.67299948030746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17.67299948030746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111.82079999999991</v>
      </c>
      <c r="D131" s="11">
        <f t="shared" si="86"/>
        <v>29.759568497877233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1092.9010901590516</v>
      </c>
      <c r="H131" s="66">
        <f t="shared" si="56"/>
        <v>539.91914180046933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306.99999999999994</v>
      </c>
      <c r="O131" s="13">
        <f>N131*VLOOKUP('Données projet'!$B$9,Paramètres!$A$1:$I$89,3,0)*VLOOKUP('Données projet'!$B$9,Paramètres!$A$1:$I$89,5,0)</f>
        <v>258.61679999999996</v>
      </c>
      <c r="P131" s="13">
        <f t="shared" si="87"/>
        <v>62.427444141032439</v>
      </c>
      <c r="Q131" s="20">
        <f t="shared" ref="Q131:Q153" si="108">(O131+P131)*0.475*44/12</f>
        <v>559.15205854563135</v>
      </c>
      <c r="R131" s="59">
        <f t="shared" ref="R131:R194" si="109">Q131+(I131+J131)*44/12</f>
        <v>852.48539187896472</v>
      </c>
      <c r="S131" s="59">
        <f ca="1">AVERAGE(OFFSET($R$3,0,0,'Données projet'!$E$9+1,1))-AVERAGE(OFFSET($H$3,0,0,'Données projet'!$E$9+1,1))</f>
        <v>267.44861001389006</v>
      </c>
      <c r="T131" s="59">
        <f t="shared" si="88"/>
        <v>165.25921510802965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72.040550952494911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72.040550952494911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319</v>
      </c>
      <c r="AJ131" s="13">
        <f>AI131*VLOOKUP('Données projet'!$B$10,Paramètres!$A$1:$I$89,3,0)*VLOOKUP('Données projet'!$B$10,Paramètres!$A$1:$I$89,5,0)</f>
        <v>253.79640000000001</v>
      </c>
      <c r="AK131" s="13">
        <f t="shared" si="89"/>
        <v>61.39816832228076</v>
      </c>
      <c r="AL131" s="20">
        <f t="shared" si="58"/>
        <v>548.96387316130563</v>
      </c>
      <c r="AM131" s="59">
        <f t="shared" si="59"/>
        <v>842.29720649463889</v>
      </c>
      <c r="AN131" s="59">
        <f ca="1">AVERAGE(OFFSET($AM$3,0,0,'Données projet'!$E$10+1,1))-AVERAGE(OFFSET($H$3,0,0,'Données projet'!$E$10+1,1))</f>
        <v>244.70751760575268</v>
      </c>
      <c r="AO131" s="59">
        <f t="shared" si="90"/>
        <v>248.77995374147798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20.549966970654904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20.549966970654904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319</v>
      </c>
      <c r="BE131" s="13">
        <f>BD131*VLOOKUP('Données projet'!$B$11,Paramètres!$A$1:$I$89,3,0)*VLOOKUP('Données projet'!$B$11,Paramètres!$A$1:$I$89,5,0)</f>
        <v>213.98519999999999</v>
      </c>
      <c r="BF131" s="13">
        <f t="shared" si="91"/>
        <v>52.805497044008654</v>
      </c>
      <c r="BG131" s="20">
        <f t="shared" si="61"/>
        <v>464.66046401831505</v>
      </c>
      <c r="BH131" s="59">
        <f t="shared" si="62"/>
        <v>757.99379735164837</v>
      </c>
      <c r="BI131" s="59">
        <f ca="1">AVERAGE(OFFSET($BH$3,0,0,'Données projet'!$E$11+1,1))-AVERAGE(OFFSET($H$3,0,0,'Données projet'!$E$11+1,1))</f>
        <v>195.02599095557656</v>
      </c>
      <c r="BJ131" s="59">
        <f t="shared" si="92"/>
        <v>201.41413798956927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17.32644273996393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17.32644273996393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112.6943999999999</v>
      </c>
      <c r="D132" s="11">
        <f t="shared" si="86"/>
        <v>29.964909381330607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1101.2297566278146</v>
      </c>
      <c r="H132" s="66">
        <f t="shared" ref="H132:H195" si="110">(B132+E132+F132)*44/12+(C132+D132)*0.475*44/12</f>
        <v>541.7982971724839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306.99999999999994</v>
      </c>
      <c r="O132" s="13">
        <f>N132*VLOOKUP('Données projet'!$B$9,Paramètres!$A$1:$I$89,3,0)*VLOOKUP('Données projet'!$B$9,Paramètres!$A$1:$I$89,5,0)</f>
        <v>258.61679999999996</v>
      </c>
      <c r="P132" s="13">
        <f t="shared" si="87"/>
        <v>62.427444141032439</v>
      </c>
      <c r="Q132" s="20">
        <f t="shared" si="108"/>
        <v>559.15205854563135</v>
      </c>
      <c r="R132" s="59">
        <f t="shared" si="109"/>
        <v>852.48539187896472</v>
      </c>
      <c r="S132" s="59">
        <f ca="1">AVERAGE(OFFSET($R$3,0,0,'Données projet'!$E$9+1,1))-AVERAGE(OFFSET($H$3,0,0,'Données projet'!$E$9+1,1))</f>
        <v>267.44861001389006</v>
      </c>
      <c r="T132" s="59">
        <f t="shared" si="88"/>
        <v>165.25921510802965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70.627879688713818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70.627879688713818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319</v>
      </c>
      <c r="AJ132" s="13">
        <f>AI132*VLOOKUP('Données projet'!$B$10,Paramètres!$A$1:$I$89,3,0)*VLOOKUP('Données projet'!$B$10,Paramètres!$A$1:$I$89,5,0)</f>
        <v>253.79640000000001</v>
      </c>
      <c r="AK132" s="13">
        <f t="shared" si="89"/>
        <v>61.39816832228076</v>
      </c>
      <c r="AL132" s="20">
        <f t="shared" ref="AL132:AL153" si="112">(AJ132+AK132)*0.475*44/12</f>
        <v>548.96387316130563</v>
      </c>
      <c r="AM132" s="59">
        <f t="shared" ref="AM132:AM195" si="113">AL132+(AD132+AE132)*44/12</f>
        <v>842.29720649463889</v>
      </c>
      <c r="AN132" s="59">
        <f ca="1">AVERAGE(OFFSET($AM$3,0,0,'Données projet'!$E$10+1,1))-AVERAGE(OFFSET($H$3,0,0,'Données projet'!$E$10+1,1))</f>
        <v>244.70751760575268</v>
      </c>
      <c r="AO132" s="59">
        <f t="shared" si="90"/>
        <v>248.77995374147798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20.146994652602558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20.146994652602558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319</v>
      </c>
      <c r="BE132" s="13">
        <f>BD132*VLOOKUP('Données projet'!$B$11,Paramètres!$A$1:$I$89,3,0)*VLOOKUP('Données projet'!$B$11,Paramètres!$A$1:$I$89,5,0)</f>
        <v>213.98519999999999</v>
      </c>
      <c r="BF132" s="13">
        <f t="shared" si="91"/>
        <v>52.805497044008654</v>
      </c>
      <c r="BG132" s="20">
        <f t="shared" ref="BG132:BG153" si="115">(BE132+BF132)*0.475*44/12</f>
        <v>464.66046401831505</v>
      </c>
      <c r="BH132" s="59">
        <f t="shared" ref="BH132:BH195" si="116">BG132+(AY132+AZ132)*44/12</f>
        <v>757.99379735164837</v>
      </c>
      <c r="BI132" s="59">
        <f ca="1">AVERAGE(OFFSET($BH$3,0,0,'Données projet'!$E$11+1,1))-AVERAGE(OFFSET($H$3,0,0,'Données projet'!$E$11+1,1))</f>
        <v>195.02599095557656</v>
      </c>
      <c r="BJ132" s="59">
        <f t="shared" si="92"/>
        <v>201.41413798956927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16.986681765919798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16.986681765919798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113.5679999999999</v>
      </c>
      <c r="D133" s="11">
        <f t="shared" ref="D133:D196" si="140">IFERROR(EXP(-1.0587+0.8836*LN(C133)+0.284),0)</f>
        <v>30.170065062058185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1109.556993461501</v>
      </c>
      <c r="H133" s="66">
        <f t="shared" si="110"/>
        <v>543.67712998308446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306.99999999999994</v>
      </c>
      <c r="O133" s="13">
        <f>N133*VLOOKUP('Données projet'!$B$9,Paramètres!$A$1:$I$89,3,0)*VLOOKUP('Données projet'!$B$9,Paramètres!$A$1:$I$89,5,0)</f>
        <v>258.61679999999996</v>
      </c>
      <c r="P133" s="13">
        <f t="shared" ref="P133:P196" si="141">EXP(-1.0587+0.8836*LN(O133)+0.284)</f>
        <v>62.427444141032439</v>
      </c>
      <c r="Q133" s="20">
        <f t="shared" si="108"/>
        <v>559.15205854563135</v>
      </c>
      <c r="R133" s="59">
        <f t="shared" si="109"/>
        <v>852.48539187896472</v>
      </c>
      <c r="S133" s="59">
        <f ca="1">AVERAGE(OFFSET($R$3,0,0,'Données projet'!$E$9+1,1))-AVERAGE(OFFSET($H$3,0,0,'Données projet'!$E$9+1,1))</f>
        <v>267.44861001389006</v>
      </c>
      <c r="T133" s="59">
        <f t="shared" ref="T133:T196" si="142">$T$3</f>
        <v>165.25921510802965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69.242910046771073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69.242910046771073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319</v>
      </c>
      <c r="AJ133" s="13">
        <f>AI133*VLOOKUP('Données projet'!$B$10,Paramètres!$A$1:$I$89,3,0)*VLOOKUP('Données projet'!$B$10,Paramètres!$A$1:$I$89,5,0)</f>
        <v>253.79640000000001</v>
      </c>
      <c r="AK133" s="13">
        <f t="shared" ref="AK133:AK153" si="143">EXP(-1.0587+0.8836*LN(AJ133)+0.284)</f>
        <v>61.39816832228076</v>
      </c>
      <c r="AL133" s="20">
        <f t="shared" si="112"/>
        <v>548.96387316130563</v>
      </c>
      <c r="AM133" s="59">
        <f t="shared" si="113"/>
        <v>842.29720649463889</v>
      </c>
      <c r="AN133" s="59">
        <f ca="1">AVERAGE(OFFSET($AM$3,0,0,'Données projet'!$E$10+1,1))-AVERAGE(OFFSET($H$3,0,0,'Données projet'!$E$10+1,1))</f>
        <v>244.70751760575268</v>
      </c>
      <c r="AO133" s="59">
        <f t="shared" ref="AO133:AO196" si="144">$AO$3</f>
        <v>248.77995374147798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19.751924375918374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19.751924375918374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319</v>
      </c>
      <c r="BE133" s="13">
        <f>BD133*VLOOKUP('Données projet'!$B$11,Paramètres!$A$1:$I$89,3,0)*VLOOKUP('Données projet'!$B$11,Paramètres!$A$1:$I$89,5,0)</f>
        <v>213.98519999999999</v>
      </c>
      <c r="BF133" s="13">
        <f t="shared" ref="BF133:BF153" si="145">EXP(-1.0587+0.8836*LN(BE133)+0.284)</f>
        <v>52.805497044008654</v>
      </c>
      <c r="BG133" s="20">
        <f t="shared" si="115"/>
        <v>464.66046401831505</v>
      </c>
      <c r="BH133" s="59">
        <f t="shared" si="116"/>
        <v>757.99379735164837</v>
      </c>
      <c r="BI133" s="59">
        <f ca="1">AVERAGE(OFFSET($BH$3,0,0,'Données projet'!$E$11+1,1))-AVERAGE(OFFSET($H$3,0,0,'Données projet'!$E$11+1,1))</f>
        <v>195.02599095557656</v>
      </c>
      <c r="BJ133" s="59">
        <f t="shared" ref="BJ133:BJ196" si="146">$BJ$3</f>
        <v>201.41413798956927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16.653583297342937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16.653583297342937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114.44159999999989</v>
      </c>
      <c r="D134" s="11">
        <f t="shared" si="140"/>
        <v>30.37503712984369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1117.8828129321257</v>
      </c>
      <c r="H134" s="66">
        <f t="shared" si="110"/>
        <v>545.55564300114418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306.99999999999994</v>
      </c>
      <c r="O134" s="13">
        <f>N134*VLOOKUP('Données projet'!$B$9,Paramètres!$A$1:$I$89,3,0)*VLOOKUP('Données projet'!$B$9,Paramètres!$A$1:$I$89,5,0)</f>
        <v>258.61679999999996</v>
      </c>
      <c r="P134" s="13">
        <f t="shared" si="141"/>
        <v>62.427444141032439</v>
      </c>
      <c r="Q134" s="20">
        <f t="shared" si="108"/>
        <v>559.15205854563135</v>
      </c>
      <c r="R134" s="59">
        <f t="shared" si="109"/>
        <v>852.48539187896472</v>
      </c>
      <c r="S134" s="59">
        <f ca="1">AVERAGE(OFFSET($R$3,0,0,'Données projet'!$E$9+1,1))-AVERAGE(OFFSET($H$3,0,0,'Données projet'!$E$9+1,1))</f>
        <v>267.44861001389006</v>
      </c>
      <c r="T134" s="59">
        <f t="shared" si="142"/>
        <v>165.25921510802965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67.885098814758763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67.885098814758763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319</v>
      </c>
      <c r="AJ134" s="13">
        <f>AI134*VLOOKUP('Données projet'!$B$10,Paramètres!$A$1:$I$89,3,0)*VLOOKUP('Données projet'!$B$10,Paramètres!$A$1:$I$89,5,0)</f>
        <v>253.79640000000001</v>
      </c>
      <c r="AK134" s="13">
        <f t="shared" si="143"/>
        <v>61.39816832228076</v>
      </c>
      <c r="AL134" s="20">
        <f t="shared" si="112"/>
        <v>548.96387316130563</v>
      </c>
      <c r="AM134" s="59">
        <f t="shared" si="113"/>
        <v>842.29720649463889</v>
      </c>
      <c r="AN134" s="59">
        <f ca="1">AVERAGE(OFFSET($AM$3,0,0,'Données projet'!$E$10+1,1))-AVERAGE(OFFSET($H$3,0,0,'Données projet'!$E$10+1,1))</f>
        <v>244.70751760575268</v>
      </c>
      <c r="AO134" s="59">
        <f t="shared" si="144"/>
        <v>248.77995374147798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19.364601186390892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19.364601186390892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319</v>
      </c>
      <c r="BE134" s="13">
        <f>BD134*VLOOKUP('Données projet'!$B$11,Paramètres!$A$1:$I$89,3,0)*VLOOKUP('Données projet'!$B$11,Paramètres!$A$1:$I$89,5,0)</f>
        <v>213.98519999999999</v>
      </c>
      <c r="BF134" s="13">
        <f t="shared" si="145"/>
        <v>52.805497044008654</v>
      </c>
      <c r="BG134" s="20">
        <f t="shared" si="115"/>
        <v>464.66046401831505</v>
      </c>
      <c r="BH134" s="59">
        <f t="shared" si="116"/>
        <v>757.99379735164837</v>
      </c>
      <c r="BI134" s="59">
        <f ca="1">AVERAGE(OFFSET($BH$3,0,0,'Données projet'!$E$11+1,1))-AVERAGE(OFFSET($H$3,0,0,'Données projet'!$E$11+1,1))</f>
        <v>195.02599095557656</v>
      </c>
      <c r="BJ134" s="59">
        <f t="shared" si="146"/>
        <v>201.41413798956927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16.327016686564864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16.327016686564864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115.31519999999989</v>
      </c>
      <c r="D135" s="11">
        <f t="shared" si="140"/>
        <v>30.579827148797293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1126.2072271135221</v>
      </c>
      <c r="H135" s="66">
        <f t="shared" si="110"/>
        <v>547.43383895082161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306.99999999999994</v>
      </c>
      <c r="O135" s="13">
        <f>N135*VLOOKUP('Données projet'!$B$9,Paramètres!$A$1:$I$89,3,0)*VLOOKUP('Données projet'!$B$9,Paramètres!$A$1:$I$89,5,0)</f>
        <v>258.61679999999996</v>
      </c>
      <c r="P135" s="13">
        <f t="shared" si="141"/>
        <v>62.427444141032439</v>
      </c>
      <c r="Q135" s="20">
        <f t="shared" si="108"/>
        <v>559.15205854563135</v>
      </c>
      <c r="R135" s="59">
        <f t="shared" si="109"/>
        <v>852.48539187896472</v>
      </c>
      <c r="S135" s="59">
        <f ca="1">AVERAGE(OFFSET($R$3,0,0,'Données projet'!$E$9+1,1))-AVERAGE(OFFSET($H$3,0,0,'Données projet'!$E$9+1,1))</f>
        <v>267.44861001389006</v>
      </c>
      <c r="T135" s="59">
        <f t="shared" si="142"/>
        <v>165.25921510802965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66.553913432823137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66.553913432823137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319</v>
      </c>
      <c r="AJ135" s="13">
        <f>AI135*VLOOKUP('Données projet'!$B$10,Paramètres!$A$1:$I$89,3,0)*VLOOKUP('Données projet'!$B$10,Paramètres!$A$1:$I$89,5,0)</f>
        <v>253.79640000000001</v>
      </c>
      <c r="AK135" s="13">
        <f t="shared" si="143"/>
        <v>61.39816832228076</v>
      </c>
      <c r="AL135" s="20">
        <f t="shared" si="112"/>
        <v>548.96387316130563</v>
      </c>
      <c r="AM135" s="59">
        <f t="shared" si="113"/>
        <v>842.29720649463889</v>
      </c>
      <c r="AN135" s="59">
        <f ca="1">AVERAGE(OFFSET($AM$3,0,0,'Données projet'!$E$10+1,1))-AVERAGE(OFFSET($H$3,0,0,'Données projet'!$E$10+1,1))</f>
        <v>244.70751760575268</v>
      </c>
      <c r="AO135" s="59">
        <f t="shared" si="144"/>
        <v>248.77995374147798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18.984873168366228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18.984873168366228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319</v>
      </c>
      <c r="BE135" s="13">
        <f>BD135*VLOOKUP('Données projet'!$B$11,Paramètres!$A$1:$I$89,3,0)*VLOOKUP('Données projet'!$B$11,Paramètres!$A$1:$I$89,5,0)</f>
        <v>213.98519999999999</v>
      </c>
      <c r="BF135" s="13">
        <f t="shared" si="145"/>
        <v>52.805497044008654</v>
      </c>
      <c r="BG135" s="20">
        <f t="shared" si="115"/>
        <v>464.66046401831505</v>
      </c>
      <c r="BH135" s="59">
        <f t="shared" si="116"/>
        <v>757.99379735164837</v>
      </c>
      <c r="BI135" s="59">
        <f ca="1">AVERAGE(OFFSET($BH$3,0,0,'Données projet'!$E$11+1,1))-AVERAGE(OFFSET($H$3,0,0,'Données projet'!$E$11+1,1))</f>
        <v>195.02599095557656</v>
      </c>
      <c r="BJ135" s="59">
        <f t="shared" si="146"/>
        <v>201.41413798956927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16.006853847838187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16.006853847838187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116.18879999999989</v>
      </c>
      <c r="D136" s="11">
        <f t="shared" si="140"/>
        <v>30.784436657961677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1134.5302478860192</v>
      </c>
      <c r="H136" s="66">
        <f t="shared" si="110"/>
        <v>549.31172051261638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306.99999999999994</v>
      </c>
      <c r="O136" s="13">
        <f>N136*VLOOKUP('Données projet'!$B$9,Paramètres!$A$1:$I$89,3,0)*VLOOKUP('Données projet'!$B$9,Paramètres!$A$1:$I$89,5,0)</f>
        <v>258.61679999999996</v>
      </c>
      <c r="P136" s="13">
        <f t="shared" si="141"/>
        <v>62.427444141032439</v>
      </c>
      <c r="Q136" s="20">
        <f t="shared" si="108"/>
        <v>559.15205854563135</v>
      </c>
      <c r="R136" s="59">
        <f t="shared" si="109"/>
        <v>852.48539187896472</v>
      </c>
      <c r="S136" s="59">
        <f ca="1">AVERAGE(OFFSET($R$3,0,0,'Données projet'!$E$9+1,1))-AVERAGE(OFFSET($H$3,0,0,'Données projet'!$E$9+1,1))</f>
        <v>267.44861001389006</v>
      </c>
      <c r="T136" s="59">
        <f t="shared" si="142"/>
        <v>165.25921510802965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65.248831784284363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65.248831784284363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319</v>
      </c>
      <c r="AJ136" s="13">
        <f>AI136*VLOOKUP('Données projet'!$B$10,Paramètres!$A$1:$I$89,3,0)*VLOOKUP('Données projet'!$B$10,Paramètres!$A$1:$I$89,5,0)</f>
        <v>253.79640000000001</v>
      </c>
      <c r="AK136" s="13">
        <f t="shared" si="143"/>
        <v>61.39816832228076</v>
      </c>
      <c r="AL136" s="20">
        <f t="shared" si="112"/>
        <v>548.96387316130563</v>
      </c>
      <c r="AM136" s="59">
        <f t="shared" si="113"/>
        <v>842.29720649463889</v>
      </c>
      <c r="AN136" s="59">
        <f ca="1">AVERAGE(OFFSET($AM$3,0,0,'Données projet'!$E$10+1,1))-AVERAGE(OFFSET($H$3,0,0,'Données projet'!$E$10+1,1))</f>
        <v>244.70751760575268</v>
      </c>
      <c r="AO136" s="59">
        <f t="shared" si="144"/>
        <v>248.77995374147798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18.612591385163807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18.612591385163807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319</v>
      </c>
      <c r="BE136" s="13">
        <f>BD136*VLOOKUP('Données projet'!$B$11,Paramètres!$A$1:$I$89,3,0)*VLOOKUP('Données projet'!$B$11,Paramètres!$A$1:$I$89,5,0)</f>
        <v>213.98519999999999</v>
      </c>
      <c r="BF136" s="13">
        <f t="shared" si="145"/>
        <v>52.805497044008654</v>
      </c>
      <c r="BG136" s="20">
        <f t="shared" si="115"/>
        <v>464.66046401831505</v>
      </c>
      <c r="BH136" s="59">
        <f t="shared" si="116"/>
        <v>757.99379735164837</v>
      </c>
      <c r="BI136" s="59">
        <f ca="1">AVERAGE(OFFSET($BH$3,0,0,'Données projet'!$E$11+1,1))-AVERAGE(OFFSET($H$3,0,0,'Données projet'!$E$11+1,1))</f>
        <v>195.02599095557656</v>
      </c>
      <c r="BJ136" s="59">
        <f t="shared" si="146"/>
        <v>201.41413798956927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15.692969207098889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15.692969207098889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117.06239999999988</v>
      </c>
      <c r="D137" s="11">
        <f t="shared" si="140"/>
        <v>30.988867171899123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1142.851886940975</v>
      </c>
      <c r="H137" s="66">
        <f t="shared" si="110"/>
        <v>551.18929032439075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306.99999999999994</v>
      </c>
      <c r="O137" s="13">
        <f>N137*VLOOKUP('Données projet'!$B$9,Paramètres!$A$1:$I$89,3,0)*VLOOKUP('Données projet'!$B$9,Paramètres!$A$1:$I$89,5,0)</f>
        <v>258.61679999999996</v>
      </c>
      <c r="P137" s="13">
        <f t="shared" si="141"/>
        <v>62.427444141032439</v>
      </c>
      <c r="Q137" s="20">
        <f t="shared" si="108"/>
        <v>559.15205854563135</v>
      </c>
      <c r="R137" s="59">
        <f t="shared" si="109"/>
        <v>852.48539187896472</v>
      </c>
      <c r="S137" s="59">
        <f ca="1">AVERAGE(OFFSET($R$3,0,0,'Données projet'!$E$9+1,1))-AVERAGE(OFFSET($H$3,0,0,'Données projet'!$E$9+1,1))</f>
        <v>267.44861001389006</v>
      </c>
      <c r="T137" s="59">
        <f t="shared" si="142"/>
        <v>165.25921510802965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63.969341990852222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63.969341990852222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319</v>
      </c>
      <c r="AJ137" s="13">
        <f>AI137*VLOOKUP('Données projet'!$B$10,Paramètres!$A$1:$I$89,3,0)*VLOOKUP('Données projet'!$B$10,Paramètres!$A$1:$I$89,5,0)</f>
        <v>253.79640000000001</v>
      </c>
      <c r="AK137" s="13">
        <f t="shared" si="143"/>
        <v>61.39816832228076</v>
      </c>
      <c r="AL137" s="20">
        <f t="shared" si="112"/>
        <v>548.96387316130563</v>
      </c>
      <c r="AM137" s="59">
        <f t="shared" si="113"/>
        <v>842.29720649463889</v>
      </c>
      <c r="AN137" s="59">
        <f ca="1">AVERAGE(OFFSET($AM$3,0,0,'Données projet'!$E$10+1,1))-AVERAGE(OFFSET($H$3,0,0,'Données projet'!$E$10+1,1))</f>
        <v>244.70751760575268</v>
      </c>
      <c r="AO137" s="59">
        <f t="shared" si="144"/>
        <v>248.77995374147798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18.247609820660518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18.247609820660518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319</v>
      </c>
      <c r="BE137" s="13">
        <f>BD137*VLOOKUP('Données projet'!$B$11,Paramètres!$A$1:$I$89,3,0)*VLOOKUP('Données projet'!$B$11,Paramètres!$A$1:$I$89,5,0)</f>
        <v>213.98519999999999</v>
      </c>
      <c r="BF137" s="13">
        <f t="shared" si="145"/>
        <v>52.805497044008654</v>
      </c>
      <c r="BG137" s="20">
        <f t="shared" si="115"/>
        <v>464.66046401831505</v>
      </c>
      <c r="BH137" s="59">
        <f t="shared" si="116"/>
        <v>757.99379735164837</v>
      </c>
      <c r="BI137" s="59">
        <f ca="1">AVERAGE(OFFSET($BH$3,0,0,'Données projet'!$E$11+1,1))-AVERAGE(OFFSET($H$3,0,0,'Données projet'!$E$11+1,1))</f>
        <v>195.02599095557656</v>
      </c>
      <c r="BJ137" s="59">
        <f t="shared" si="146"/>
        <v>201.41413798956927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15.385239652713762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15.385239652713762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117.93599999999988</v>
      </c>
      <c r="D138" s="11">
        <f t="shared" si="140"/>
        <v>31.193120181260472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1151.1721557851677</v>
      </c>
      <c r="H138" s="66">
        <f t="shared" si="110"/>
        <v>553.06655098236172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306.99999999999994</v>
      </c>
      <c r="O138" s="13">
        <f>N138*VLOOKUP('Données projet'!$B$9,Paramètres!$A$1:$I$89,3,0)*VLOOKUP('Données projet'!$B$9,Paramètres!$A$1:$I$89,5,0)</f>
        <v>258.61679999999996</v>
      </c>
      <c r="P138" s="13">
        <f t="shared" si="141"/>
        <v>62.427444141032439</v>
      </c>
      <c r="Q138" s="20">
        <f t="shared" si="108"/>
        <v>559.15205854563135</v>
      </c>
      <c r="R138" s="59">
        <f t="shared" si="109"/>
        <v>852.48539187896472</v>
      </c>
      <c r="S138" s="59">
        <f ca="1">AVERAGE(OFFSET($R$3,0,0,'Données projet'!$E$9+1,1))-AVERAGE(OFFSET($H$3,0,0,'Données projet'!$E$9+1,1))</f>
        <v>267.44861001389006</v>
      </c>
      <c r="T138" s="59">
        <f t="shared" si="142"/>
        <v>165.25921510802965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62.714942211857569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62.714942211857569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319</v>
      </c>
      <c r="AJ138" s="13">
        <f>AI138*VLOOKUP('Données projet'!$B$10,Paramètres!$A$1:$I$89,3,0)*VLOOKUP('Données projet'!$B$10,Paramètres!$A$1:$I$89,5,0)</f>
        <v>253.79640000000001</v>
      </c>
      <c r="AK138" s="13">
        <f t="shared" si="143"/>
        <v>61.39816832228076</v>
      </c>
      <c r="AL138" s="20">
        <f t="shared" si="112"/>
        <v>548.96387316130563</v>
      </c>
      <c r="AM138" s="59">
        <f t="shared" si="113"/>
        <v>842.29720649463889</v>
      </c>
      <c r="AN138" s="59">
        <f ca="1">AVERAGE(OFFSET($AM$3,0,0,'Données projet'!$E$10+1,1))-AVERAGE(OFFSET($H$3,0,0,'Données projet'!$E$10+1,1))</f>
        <v>244.70751760575268</v>
      </c>
      <c r="AO138" s="59">
        <f t="shared" si="144"/>
        <v>248.77995374147798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17.889785322020366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17.889785322020366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319</v>
      </c>
      <c r="BE138" s="13">
        <f>BD138*VLOOKUP('Données projet'!$B$11,Paramètres!$A$1:$I$89,3,0)*VLOOKUP('Données projet'!$B$11,Paramètres!$A$1:$I$89,5,0)</f>
        <v>213.98519999999999</v>
      </c>
      <c r="BF138" s="13">
        <f t="shared" si="145"/>
        <v>52.805497044008654</v>
      </c>
      <c r="BG138" s="20">
        <f t="shared" si="115"/>
        <v>464.66046401831505</v>
      </c>
      <c r="BH138" s="59">
        <f t="shared" si="116"/>
        <v>757.99379735164837</v>
      </c>
      <c r="BI138" s="59">
        <f ca="1">AVERAGE(OFFSET($BH$3,0,0,'Données projet'!$E$11+1,1))-AVERAGE(OFFSET($H$3,0,0,'Données projet'!$E$11+1,1))</f>
        <v>195.02599095557656</v>
      </c>
      <c r="BJ138" s="59">
        <f t="shared" si="146"/>
        <v>201.41413798956927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15.083544487193635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15.083544487193635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118.80959999999988</v>
      </c>
      <c r="D139" s="11">
        <f t="shared" si="140"/>
        <v>31.397197153337192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1159.4910657450582</v>
      </c>
      <c r="H139" s="66">
        <f t="shared" si="110"/>
        <v>554.94350504206204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306.99999999999994</v>
      </c>
      <c r="O139" s="13">
        <f>N139*VLOOKUP('Données projet'!$B$9,Paramètres!$A$1:$I$89,3,0)*VLOOKUP('Données projet'!$B$9,Paramètres!$A$1:$I$89,5,0)</f>
        <v>258.61679999999996</v>
      </c>
      <c r="P139" s="13">
        <f t="shared" si="141"/>
        <v>62.427444141032439</v>
      </c>
      <c r="Q139" s="20">
        <f t="shared" si="108"/>
        <v>559.15205854563135</v>
      </c>
      <c r="R139" s="59">
        <f t="shared" si="109"/>
        <v>852.48539187896472</v>
      </c>
      <c r="S139" s="59">
        <f ca="1">AVERAGE(OFFSET($R$3,0,0,'Données projet'!$E$9+1,1))-AVERAGE(OFFSET($H$3,0,0,'Données projet'!$E$9+1,1))</f>
        <v>267.44861001389006</v>
      </c>
      <c r="T139" s="59">
        <f t="shared" si="142"/>
        <v>165.25921510802965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61.485140447420683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61.485140447420683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319</v>
      </c>
      <c r="AJ139" s="13">
        <f>AI139*VLOOKUP('Données projet'!$B$10,Paramètres!$A$1:$I$89,3,0)*VLOOKUP('Données projet'!$B$10,Paramètres!$A$1:$I$89,5,0)</f>
        <v>253.79640000000001</v>
      </c>
      <c r="AK139" s="13">
        <f t="shared" si="143"/>
        <v>61.39816832228076</v>
      </c>
      <c r="AL139" s="20">
        <f t="shared" si="112"/>
        <v>548.96387316130563</v>
      </c>
      <c r="AM139" s="59">
        <f t="shared" si="113"/>
        <v>842.29720649463889</v>
      </c>
      <c r="AN139" s="59">
        <f ca="1">AVERAGE(OFFSET($AM$3,0,0,'Données projet'!$E$10+1,1))-AVERAGE(OFFSET($H$3,0,0,'Données projet'!$E$10+1,1))</f>
        <v>244.70751760575268</v>
      </c>
      <c r="AO139" s="59">
        <f t="shared" si="144"/>
        <v>248.77995374147798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17.538977543547151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17.538977543547151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319</v>
      </c>
      <c r="BE139" s="13">
        <f>BD139*VLOOKUP('Données projet'!$B$11,Paramètres!$A$1:$I$89,3,0)*VLOOKUP('Données projet'!$B$11,Paramètres!$A$1:$I$89,5,0)</f>
        <v>213.98519999999999</v>
      </c>
      <c r="BF139" s="13">
        <f t="shared" si="145"/>
        <v>52.805497044008654</v>
      </c>
      <c r="BG139" s="20">
        <f t="shared" si="115"/>
        <v>464.66046401831505</v>
      </c>
      <c r="BH139" s="59">
        <f t="shared" si="116"/>
        <v>757.99379735164837</v>
      </c>
      <c r="BI139" s="59">
        <f ca="1">AVERAGE(OFFSET($BH$3,0,0,'Données projet'!$E$11+1,1))-AVERAGE(OFFSET($H$3,0,0,'Données projet'!$E$11+1,1))</f>
        <v>195.02599095557656</v>
      </c>
      <c r="BJ139" s="59">
        <f t="shared" si="146"/>
        <v>201.41413798956927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14.787765379853475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14.787765379853475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119.68319999999987</v>
      </c>
      <c r="D140" s="11">
        <f t="shared" si="140"/>
        <v>31.601099532596137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1167.8086279709166</v>
      </c>
      <c r="H140" s="66">
        <f t="shared" si="110"/>
        <v>556.8201550192714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306.99999999999994</v>
      </c>
      <c r="O140" s="13">
        <f>N140*VLOOKUP('Données projet'!$B$9,Paramètres!$A$1:$I$89,3,0)*VLOOKUP('Données projet'!$B$9,Paramètres!$A$1:$I$89,5,0)</f>
        <v>258.61679999999996</v>
      </c>
      <c r="P140" s="13">
        <f t="shared" si="141"/>
        <v>62.427444141032439</v>
      </c>
      <c r="Q140" s="20">
        <f t="shared" si="108"/>
        <v>559.15205854563135</v>
      </c>
      <c r="R140" s="59">
        <f t="shared" si="109"/>
        <v>852.48539187896472</v>
      </c>
      <c r="S140" s="59">
        <f ca="1">AVERAGE(OFFSET($R$3,0,0,'Données projet'!$E$9+1,1))-AVERAGE(OFFSET($H$3,0,0,'Données projet'!$E$9+1,1))</f>
        <v>267.44861001389006</v>
      </c>
      <c r="T140" s="59">
        <f t="shared" si="142"/>
        <v>165.25921510802965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60.279454345479401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60.279454345479401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319</v>
      </c>
      <c r="AJ140" s="13">
        <f>AI140*VLOOKUP('Données projet'!$B$10,Paramètres!$A$1:$I$89,3,0)*VLOOKUP('Données projet'!$B$10,Paramètres!$A$1:$I$89,5,0)</f>
        <v>253.79640000000001</v>
      </c>
      <c r="AK140" s="13">
        <f t="shared" si="143"/>
        <v>61.39816832228076</v>
      </c>
      <c r="AL140" s="20">
        <f t="shared" si="112"/>
        <v>548.96387316130563</v>
      </c>
      <c r="AM140" s="59">
        <f t="shared" si="113"/>
        <v>842.29720649463889</v>
      </c>
      <c r="AN140" s="59">
        <f ca="1">AVERAGE(OFFSET($AM$3,0,0,'Données projet'!$E$10+1,1))-AVERAGE(OFFSET($H$3,0,0,'Données projet'!$E$10+1,1))</f>
        <v>244.70751760575268</v>
      </c>
      <c r="AO140" s="59">
        <f t="shared" si="144"/>
        <v>248.77995374147798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17.19504889163818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17.19504889163818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319</v>
      </c>
      <c r="BE140" s="13">
        <f>BD140*VLOOKUP('Données projet'!$B$11,Paramètres!$A$1:$I$89,3,0)*VLOOKUP('Données projet'!$B$11,Paramètres!$A$1:$I$89,5,0)</f>
        <v>213.98519999999999</v>
      </c>
      <c r="BF140" s="13">
        <f t="shared" si="145"/>
        <v>52.805497044008654</v>
      </c>
      <c r="BG140" s="20">
        <f t="shared" si="115"/>
        <v>464.66046401831505</v>
      </c>
      <c r="BH140" s="59">
        <f t="shared" si="116"/>
        <v>757.99379735164837</v>
      </c>
      <c r="BI140" s="59">
        <f ca="1">AVERAGE(OFFSET($BH$3,0,0,'Données projet'!$E$11+1,1))-AVERAGE(OFFSET($H$3,0,0,'Données projet'!$E$11+1,1))</f>
        <v>195.02599095557656</v>
      </c>
      <c r="BJ140" s="59">
        <f t="shared" si="146"/>
        <v>201.41413798956927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14.497786320400815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14.497786320400815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120.55679999999987</v>
      </c>
      <c r="D141" s="11">
        <f t="shared" si="140"/>
        <v>31.804828741198751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1176.1248534408314</v>
      </c>
      <c r="H141" s="66">
        <f t="shared" si="110"/>
        <v>558.69650339092095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306.99999999999994</v>
      </c>
      <c r="O141" s="13">
        <f>N141*VLOOKUP('Données projet'!$B$9,Paramètres!$A$1:$I$89,3,0)*VLOOKUP('Données projet'!$B$9,Paramètres!$A$1:$I$89,5,0)</f>
        <v>258.61679999999996</v>
      </c>
      <c r="P141" s="13">
        <f t="shared" si="141"/>
        <v>62.427444141032439</v>
      </c>
      <c r="Q141" s="20">
        <f t="shared" si="108"/>
        <v>559.15205854563135</v>
      </c>
      <c r="R141" s="59">
        <f t="shared" si="109"/>
        <v>852.48539187896472</v>
      </c>
      <c r="S141" s="59">
        <f ca="1">AVERAGE(OFFSET($R$3,0,0,'Données projet'!$E$9+1,1))-AVERAGE(OFFSET($H$3,0,0,'Données projet'!$E$9+1,1))</f>
        <v>267.44861001389006</v>
      </c>
      <c r="T141" s="59">
        <f t="shared" si="142"/>
        <v>165.25921510802965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59.097411012601277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59.097411012601277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319</v>
      </c>
      <c r="AJ141" s="13">
        <f>AI141*VLOOKUP('Données projet'!$B$10,Paramètres!$A$1:$I$89,3,0)*VLOOKUP('Données projet'!$B$10,Paramètres!$A$1:$I$89,5,0)</f>
        <v>253.79640000000001</v>
      </c>
      <c r="AK141" s="13">
        <f t="shared" si="143"/>
        <v>61.39816832228076</v>
      </c>
      <c r="AL141" s="20">
        <f t="shared" si="112"/>
        <v>548.96387316130563</v>
      </c>
      <c r="AM141" s="59">
        <f t="shared" si="113"/>
        <v>842.29720649463889</v>
      </c>
      <c r="AN141" s="59">
        <f ca="1">AVERAGE(OFFSET($AM$3,0,0,'Données projet'!$E$10+1,1))-AVERAGE(OFFSET($H$3,0,0,'Données projet'!$E$10+1,1))</f>
        <v>244.70751760575268</v>
      </c>
      <c r="AO141" s="59">
        <f t="shared" si="144"/>
        <v>248.77995374147798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16.857864470817379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16.857864470817379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319</v>
      </c>
      <c r="BE141" s="13">
        <f>BD141*VLOOKUP('Données projet'!$B$11,Paramètres!$A$1:$I$89,3,0)*VLOOKUP('Données projet'!$B$11,Paramètres!$A$1:$I$89,5,0)</f>
        <v>213.98519999999999</v>
      </c>
      <c r="BF141" s="13">
        <f t="shared" si="145"/>
        <v>52.805497044008654</v>
      </c>
      <c r="BG141" s="20">
        <f t="shared" si="115"/>
        <v>464.66046401831505</v>
      </c>
      <c r="BH141" s="59">
        <f t="shared" si="116"/>
        <v>757.99379735164837</v>
      </c>
      <c r="BI141" s="59">
        <f ca="1">AVERAGE(OFFSET($BH$3,0,0,'Données projet'!$E$11+1,1))-AVERAGE(OFFSET($H$3,0,0,'Données projet'!$E$11+1,1))</f>
        <v>195.02599095557656</v>
      </c>
      <c r="BJ141" s="59">
        <f t="shared" si="146"/>
        <v>201.41413798956927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14.213493573434258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14.213493573434258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121.43039999999986</v>
      </c>
      <c r="D142" s="11">
        <f t="shared" si="140"/>
        <v>32.008386179504427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1184.4397529645946</v>
      </c>
      <c r="H142" s="66">
        <f t="shared" si="110"/>
        <v>560.57255259596991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306.99999999999994</v>
      </c>
      <c r="O142" s="13">
        <f>N142*VLOOKUP('Données projet'!$B$9,Paramètres!$A$1:$I$89,3,0)*VLOOKUP('Données projet'!$B$9,Paramètres!$A$1:$I$89,5,0)</f>
        <v>258.61679999999996</v>
      </c>
      <c r="P142" s="13">
        <f t="shared" si="141"/>
        <v>62.427444141032439</v>
      </c>
      <c r="Q142" s="20">
        <f t="shared" si="108"/>
        <v>559.15205854563135</v>
      </c>
      <c r="R142" s="59">
        <f t="shared" si="109"/>
        <v>852.48539187896472</v>
      </c>
      <c r="S142" s="59">
        <f ca="1">AVERAGE(OFFSET($R$3,0,0,'Données projet'!$E$9+1,1))-AVERAGE(OFFSET($H$3,0,0,'Données projet'!$E$9+1,1))</f>
        <v>267.44861001389006</v>
      </c>
      <c r="T142" s="59">
        <f t="shared" si="142"/>
        <v>165.25921510802965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57.93854682850565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57.93854682850565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319</v>
      </c>
      <c r="AJ142" s="13">
        <f>AI142*VLOOKUP('Données projet'!$B$10,Paramètres!$A$1:$I$89,3,0)*VLOOKUP('Données projet'!$B$10,Paramètres!$A$1:$I$89,5,0)</f>
        <v>253.79640000000001</v>
      </c>
      <c r="AK142" s="13">
        <f t="shared" si="143"/>
        <v>61.39816832228076</v>
      </c>
      <c r="AL142" s="20">
        <f t="shared" si="112"/>
        <v>548.96387316130563</v>
      </c>
      <c r="AM142" s="59">
        <f t="shared" si="113"/>
        <v>842.29720649463889</v>
      </c>
      <c r="AN142" s="59">
        <f ca="1">AVERAGE(OFFSET($AM$3,0,0,'Données projet'!$E$10+1,1))-AVERAGE(OFFSET($H$3,0,0,'Données projet'!$E$10+1,1))</f>
        <v>244.70751760575268</v>
      </c>
      <c r="AO142" s="59">
        <f t="shared" si="144"/>
        <v>248.77995374147798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16.527292030826686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16.527292030826686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319</v>
      </c>
      <c r="BE142" s="13">
        <f>BD142*VLOOKUP('Données projet'!$B$11,Paramètres!$A$1:$I$89,3,0)*VLOOKUP('Données projet'!$B$11,Paramètres!$A$1:$I$89,5,0)</f>
        <v>213.98519999999999</v>
      </c>
      <c r="BF142" s="13">
        <f t="shared" si="145"/>
        <v>52.805497044008654</v>
      </c>
      <c r="BG142" s="20">
        <f t="shared" si="115"/>
        <v>464.66046401831505</v>
      </c>
      <c r="BH142" s="59">
        <f t="shared" si="116"/>
        <v>757.99379735164837</v>
      </c>
      <c r="BI142" s="59">
        <f ca="1">AVERAGE(OFFSET($BH$3,0,0,'Données projet'!$E$11+1,1))-AVERAGE(OFFSET($H$3,0,0,'Données projet'!$E$11+1,1))</f>
        <v>195.02599095557656</v>
      </c>
      <c r="BJ142" s="59">
        <f t="shared" si="146"/>
        <v>201.41413798956927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13.934775633834262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13.934775633834262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122.30399999999986</v>
      </c>
      <c r="D143" s="11">
        <f t="shared" si="140"/>
        <v>32.211773226559345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1192.7533371874745</v>
      </c>
      <c r="H143" s="66">
        <f t="shared" si="110"/>
        <v>562.44830503625724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306.99999999999994</v>
      </c>
      <c r="O143" s="13">
        <f>N143*VLOOKUP('Données projet'!$B$9,Paramètres!$A$1:$I$89,3,0)*VLOOKUP('Données projet'!$B$9,Paramètres!$A$1:$I$89,5,0)</f>
        <v>258.61679999999996</v>
      </c>
      <c r="P143" s="13">
        <f t="shared" si="141"/>
        <v>62.427444141032439</v>
      </c>
      <c r="Q143" s="20">
        <f t="shared" si="108"/>
        <v>559.15205854563135</v>
      </c>
      <c r="R143" s="59">
        <f t="shared" si="109"/>
        <v>852.48539187896472</v>
      </c>
      <c r="S143" s="59">
        <f ca="1">AVERAGE(OFFSET($R$3,0,0,'Données projet'!$E$9+1,1))-AVERAGE(OFFSET($H$3,0,0,'Données projet'!$E$9+1,1))</f>
        <v>267.44861001389006</v>
      </c>
      <c r="T143" s="59">
        <f t="shared" si="142"/>
        <v>165.25921510802965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56.802407264222779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56.802407264222779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319</v>
      </c>
      <c r="AJ143" s="13">
        <f>AI143*VLOOKUP('Données projet'!$B$10,Paramètres!$A$1:$I$89,3,0)*VLOOKUP('Données projet'!$B$10,Paramètres!$A$1:$I$89,5,0)</f>
        <v>253.79640000000001</v>
      </c>
      <c r="AK143" s="13">
        <f t="shared" si="143"/>
        <v>61.39816832228076</v>
      </c>
      <c r="AL143" s="20">
        <f t="shared" si="112"/>
        <v>548.96387316130563</v>
      </c>
      <c r="AM143" s="59">
        <f t="shared" si="113"/>
        <v>842.29720649463889</v>
      </c>
      <c r="AN143" s="59">
        <f ca="1">AVERAGE(OFFSET($AM$3,0,0,'Données projet'!$E$10+1,1))-AVERAGE(OFFSET($H$3,0,0,'Données projet'!$E$10+1,1))</f>
        <v>244.70751760575268</v>
      </c>
      <c r="AO143" s="59">
        <f t="shared" si="144"/>
        <v>248.77995374147798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16.203201914754931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16.203201914754931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319</v>
      </c>
      <c r="BE143" s="13">
        <f>BD143*VLOOKUP('Données projet'!$B$11,Paramètres!$A$1:$I$89,3,0)*VLOOKUP('Données projet'!$B$11,Paramètres!$A$1:$I$89,5,0)</f>
        <v>213.98519999999999</v>
      </c>
      <c r="BF143" s="13">
        <f t="shared" si="145"/>
        <v>52.805497044008654</v>
      </c>
      <c r="BG143" s="20">
        <f t="shared" si="115"/>
        <v>464.66046401831505</v>
      </c>
      <c r="BH143" s="59">
        <f t="shared" si="116"/>
        <v>757.99379735164837</v>
      </c>
      <c r="BI143" s="59">
        <f ca="1">AVERAGE(OFFSET($BH$3,0,0,'Données projet'!$E$11+1,1))-AVERAGE(OFFSET($H$3,0,0,'Données projet'!$E$11+1,1))</f>
        <v>195.02599095557656</v>
      </c>
      <c r="BJ143" s="59">
        <f t="shared" si="146"/>
        <v>201.41413798956927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13.661523183028665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13.661523183028665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123.17759999999986</v>
      </c>
      <c r="D144" s="11">
        <f t="shared" si="140"/>
        <v>32.414991240570387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1201.0656165938756</v>
      </c>
      <c r="H144" s="66">
        <f t="shared" si="110"/>
        <v>564.32376307732648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306.99999999999994</v>
      </c>
      <c r="O144" s="13">
        <f>N144*VLOOKUP('Données projet'!$B$9,Paramètres!$A$1:$I$89,3,0)*VLOOKUP('Données projet'!$B$9,Paramètres!$A$1:$I$89,5,0)</f>
        <v>258.61679999999996</v>
      </c>
      <c r="P144" s="13">
        <f t="shared" si="141"/>
        <v>62.427444141032439</v>
      </c>
      <c r="Q144" s="20">
        <f t="shared" si="108"/>
        <v>559.15205854563135</v>
      </c>
      <c r="R144" s="59">
        <f t="shared" si="109"/>
        <v>852.48539187896472</v>
      </c>
      <c r="S144" s="59">
        <f ca="1">AVERAGE(OFFSET($R$3,0,0,'Données projet'!$E$9+1,1))-AVERAGE(OFFSET($H$3,0,0,'Données projet'!$E$9+1,1))</f>
        <v>267.44861001389006</v>
      </c>
      <c r="T144" s="59">
        <f t="shared" si="142"/>
        <v>165.25921510802965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55.688546703818787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55.688546703818787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319</v>
      </c>
      <c r="AJ144" s="13">
        <f>AI144*VLOOKUP('Données projet'!$B$10,Paramètres!$A$1:$I$89,3,0)*VLOOKUP('Données projet'!$B$10,Paramètres!$A$1:$I$89,5,0)</f>
        <v>253.79640000000001</v>
      </c>
      <c r="AK144" s="13">
        <f t="shared" si="143"/>
        <v>61.39816832228076</v>
      </c>
      <c r="AL144" s="20">
        <f t="shared" si="112"/>
        <v>548.96387316130563</v>
      </c>
      <c r="AM144" s="59">
        <f t="shared" si="113"/>
        <v>842.29720649463889</v>
      </c>
      <c r="AN144" s="59">
        <f ca="1">AVERAGE(OFFSET($AM$3,0,0,'Données projet'!$E$10+1,1))-AVERAGE(OFFSET($H$3,0,0,'Données projet'!$E$10+1,1))</f>
        <v>244.70751760575268</v>
      </c>
      <c r="AO144" s="59">
        <f t="shared" si="144"/>
        <v>248.77995374147798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15.885467008183893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15.885467008183893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319</v>
      </c>
      <c r="BE144" s="13">
        <f>BD144*VLOOKUP('Données projet'!$B$11,Paramètres!$A$1:$I$89,3,0)*VLOOKUP('Données projet'!$B$11,Paramètres!$A$1:$I$89,5,0)</f>
        <v>213.98519999999999</v>
      </c>
      <c r="BF144" s="13">
        <f t="shared" si="145"/>
        <v>52.805497044008654</v>
      </c>
      <c r="BG144" s="20">
        <f t="shared" si="115"/>
        <v>464.66046401831505</v>
      </c>
      <c r="BH144" s="59">
        <f t="shared" si="116"/>
        <v>757.99379735164837</v>
      </c>
      <c r="BI144" s="59">
        <f ca="1">AVERAGE(OFFSET($BH$3,0,0,'Données projet'!$E$11+1,1))-AVERAGE(OFFSET($H$3,0,0,'Données projet'!$E$11+1,1))</f>
        <v>195.02599095557656</v>
      </c>
      <c r="BJ144" s="59">
        <f t="shared" si="146"/>
        <v>201.41413798956927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13.393629046115828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13.393629046115828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124.05119999999985</v>
      </c>
      <c r="D145" s="11">
        <f t="shared" si="140"/>
        <v>32.618041559365949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1209.3766015108938</v>
      </c>
      <c r="H145" s="66">
        <f t="shared" si="110"/>
        <v>566.1989290492287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306.99999999999994</v>
      </c>
      <c r="O145" s="13">
        <f>N145*VLOOKUP('Données projet'!$B$9,Paramètres!$A$1:$I$89,3,0)*VLOOKUP('Données projet'!$B$9,Paramètres!$A$1:$I$89,5,0)</f>
        <v>258.61679999999996</v>
      </c>
      <c r="P145" s="13">
        <f t="shared" si="141"/>
        <v>62.427444141032439</v>
      </c>
      <c r="Q145" s="20">
        <f t="shared" si="108"/>
        <v>559.15205854563135</v>
      </c>
      <c r="R145" s="59">
        <f t="shared" si="109"/>
        <v>852.48539187896472</v>
      </c>
      <c r="S145" s="59">
        <f ca="1">AVERAGE(OFFSET($R$3,0,0,'Données projet'!$E$9+1,1))-AVERAGE(OFFSET($H$3,0,0,'Données projet'!$E$9+1,1))</f>
        <v>267.44861001389006</v>
      </c>
      <c r="T145" s="59">
        <f t="shared" si="142"/>
        <v>165.25921510802965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54.596528269616464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54.596528269616464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319</v>
      </c>
      <c r="AJ145" s="13">
        <f>AI145*VLOOKUP('Données projet'!$B$10,Paramètres!$A$1:$I$89,3,0)*VLOOKUP('Données projet'!$B$10,Paramètres!$A$1:$I$89,5,0)</f>
        <v>253.79640000000001</v>
      </c>
      <c r="AK145" s="13">
        <f t="shared" si="143"/>
        <v>61.39816832228076</v>
      </c>
      <c r="AL145" s="20">
        <f t="shared" si="112"/>
        <v>548.96387316130563</v>
      </c>
      <c r="AM145" s="59">
        <f t="shared" si="113"/>
        <v>842.29720649463889</v>
      </c>
      <c r="AN145" s="59">
        <f ca="1">AVERAGE(OFFSET($AM$3,0,0,'Données projet'!$E$10+1,1))-AVERAGE(OFFSET($H$3,0,0,'Données projet'!$E$10+1,1))</f>
        <v>244.70751760575268</v>
      </c>
      <c r="AO145" s="59">
        <f t="shared" si="144"/>
        <v>248.77995374147798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15.573962689331555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15.573962689331555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319</v>
      </c>
      <c r="BE145" s="13">
        <f>BD145*VLOOKUP('Données projet'!$B$11,Paramètres!$A$1:$I$89,3,0)*VLOOKUP('Données projet'!$B$11,Paramètres!$A$1:$I$89,5,0)</f>
        <v>213.98519999999999</v>
      </c>
      <c r="BF145" s="13">
        <f t="shared" si="145"/>
        <v>52.805497044008654</v>
      </c>
      <c r="BG145" s="20">
        <f t="shared" si="115"/>
        <v>464.66046401831505</v>
      </c>
      <c r="BH145" s="59">
        <f t="shared" si="116"/>
        <v>757.99379735164837</v>
      </c>
      <c r="BI145" s="59">
        <f ca="1">AVERAGE(OFFSET($BH$3,0,0,'Données projet'!$E$11+1,1))-AVERAGE(OFFSET($H$3,0,0,'Données projet'!$E$11+1,1))</f>
        <v>195.02599095557656</v>
      </c>
      <c r="BJ145" s="59">
        <f t="shared" si="146"/>
        <v>201.41413798956927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13.130988149828562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13.130988149828562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124.92479999999985</v>
      </c>
      <c r="D146" s="11">
        <f t="shared" si="140"/>
        <v>32.820925500842684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1217.686302111767</v>
      </c>
      <c r="H146" s="66">
        <f t="shared" si="110"/>
        <v>568.0738052473007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306.99999999999994</v>
      </c>
      <c r="O146" s="13">
        <f>N146*VLOOKUP('Données projet'!$B$9,Paramètres!$A$1:$I$89,3,0)*VLOOKUP('Données projet'!$B$9,Paramètres!$A$1:$I$89,5,0)</f>
        <v>258.61679999999996</v>
      </c>
      <c r="P146" s="13">
        <f t="shared" si="141"/>
        <v>62.427444141032439</v>
      </c>
      <c r="Q146" s="20">
        <f t="shared" si="108"/>
        <v>559.15205854563135</v>
      </c>
      <c r="R146" s="59">
        <f t="shared" si="109"/>
        <v>852.48539187896472</v>
      </c>
      <c r="S146" s="59">
        <f ca="1">AVERAGE(OFFSET($R$3,0,0,'Données projet'!$E$9+1,1))-AVERAGE(OFFSET($H$3,0,0,'Données projet'!$E$9+1,1))</f>
        <v>267.44861001389006</v>
      </c>
      <c r="T146" s="59">
        <f t="shared" si="142"/>
        <v>165.25921510802965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53.525923650843367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53.525923650843367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319</v>
      </c>
      <c r="AJ146" s="13">
        <f>AI146*VLOOKUP('Données projet'!$B$10,Paramètres!$A$1:$I$89,3,0)*VLOOKUP('Données projet'!$B$10,Paramètres!$A$1:$I$89,5,0)</f>
        <v>253.79640000000001</v>
      </c>
      <c r="AK146" s="13">
        <f t="shared" si="143"/>
        <v>61.39816832228076</v>
      </c>
      <c r="AL146" s="20">
        <f t="shared" si="112"/>
        <v>548.96387316130563</v>
      </c>
      <c r="AM146" s="59">
        <f t="shared" si="113"/>
        <v>842.29720649463889</v>
      </c>
      <c r="AN146" s="59">
        <f ca="1">AVERAGE(OFFSET($AM$3,0,0,'Données projet'!$E$10+1,1))-AVERAGE(OFFSET($H$3,0,0,'Données projet'!$E$10+1,1))</f>
        <v>244.70751760575268</v>
      </c>
      <c r="AO146" s="59">
        <f t="shared" si="144"/>
        <v>248.77995374147798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15.268566780173037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15.268566780173037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319</v>
      </c>
      <c r="BE146" s="13">
        <f>BD146*VLOOKUP('Données projet'!$B$11,Paramètres!$A$1:$I$89,3,0)*VLOOKUP('Données projet'!$B$11,Paramètres!$A$1:$I$89,5,0)</f>
        <v>213.98519999999999</v>
      </c>
      <c r="BF146" s="13">
        <f t="shared" si="145"/>
        <v>52.805497044008654</v>
      </c>
      <c r="BG146" s="20">
        <f t="shared" si="115"/>
        <v>464.66046401831505</v>
      </c>
      <c r="BH146" s="59">
        <f t="shared" si="116"/>
        <v>757.99379735164837</v>
      </c>
      <c r="BI146" s="59">
        <f ca="1">AVERAGE(OFFSET($BH$3,0,0,'Données projet'!$E$11+1,1))-AVERAGE(OFFSET($H$3,0,0,'Données projet'!$E$11+1,1))</f>
        <v>195.02599095557656</v>
      </c>
      <c r="BJ146" s="59">
        <f t="shared" si="146"/>
        <v>201.41413798956927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12.873497481322362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12.873497481322362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125.79839999999984</v>
      </c>
      <c r="D147" s="11">
        <f t="shared" si="140"/>
        <v>33.023644363399924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1225.9947284192262</v>
      </c>
      <c r="H147" s="66">
        <f t="shared" si="110"/>
        <v>569.94839393292125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306.99999999999994</v>
      </c>
      <c r="O147" s="13">
        <f>N147*VLOOKUP('Données projet'!$B$9,Paramètres!$A$1:$I$89,3,0)*VLOOKUP('Données projet'!$B$9,Paramètres!$A$1:$I$89,5,0)</f>
        <v>258.61679999999996</v>
      </c>
      <c r="P147" s="13">
        <f t="shared" si="141"/>
        <v>62.427444141032439</v>
      </c>
      <c r="Q147" s="20">
        <f t="shared" si="108"/>
        <v>559.15205854563135</v>
      </c>
      <c r="R147" s="59">
        <f t="shared" si="109"/>
        <v>852.48539187896472</v>
      </c>
      <c r="S147" s="59">
        <f ca="1">AVERAGE(OFFSET($R$3,0,0,'Données projet'!$E$9+1,1))-AVERAGE(OFFSET($H$3,0,0,'Données projet'!$E$9+1,1))</f>
        <v>267.44861001389006</v>
      </c>
      <c r="T147" s="59">
        <f t="shared" si="142"/>
        <v>165.25921510802965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52.476312935640074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52.476312935640074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319</v>
      </c>
      <c r="AJ147" s="13">
        <f>AI147*VLOOKUP('Données projet'!$B$10,Paramètres!$A$1:$I$89,3,0)*VLOOKUP('Données projet'!$B$10,Paramètres!$A$1:$I$89,5,0)</f>
        <v>253.79640000000001</v>
      </c>
      <c r="AK147" s="13">
        <f t="shared" si="143"/>
        <v>61.39816832228076</v>
      </c>
      <c r="AL147" s="20">
        <f t="shared" si="112"/>
        <v>548.96387316130563</v>
      </c>
      <c r="AM147" s="59">
        <f t="shared" si="113"/>
        <v>842.29720649463889</v>
      </c>
      <c r="AN147" s="59">
        <f ca="1">AVERAGE(OFFSET($AM$3,0,0,'Données projet'!$E$10+1,1))-AVERAGE(OFFSET($H$3,0,0,'Données projet'!$E$10+1,1))</f>
        <v>244.70751760575268</v>
      </c>
      <c r="AO147" s="59">
        <f t="shared" si="144"/>
        <v>248.77995374147798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14.969159498520007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14.969159498520007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319</v>
      </c>
      <c r="BE147" s="13">
        <f>BD147*VLOOKUP('Données projet'!$B$11,Paramètres!$A$1:$I$89,3,0)*VLOOKUP('Données projet'!$B$11,Paramètres!$A$1:$I$89,5,0)</f>
        <v>213.98519999999999</v>
      </c>
      <c r="BF147" s="13">
        <f t="shared" si="145"/>
        <v>52.805497044008654</v>
      </c>
      <c r="BG147" s="20">
        <f t="shared" si="115"/>
        <v>464.66046401831505</v>
      </c>
      <c r="BH147" s="59">
        <f t="shared" si="116"/>
        <v>757.99379735164837</v>
      </c>
      <c r="BI147" s="59">
        <f ca="1">AVERAGE(OFFSET($BH$3,0,0,'Données projet'!$E$11+1,1))-AVERAGE(OFFSET($H$3,0,0,'Données projet'!$E$11+1,1))</f>
        <v>195.02599095557656</v>
      </c>
      <c r="BJ147" s="59">
        <f t="shared" si="146"/>
        <v>201.41413798956927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12.621056047771768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12.621056047771768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126.67199999999984</v>
      </c>
      <c r="D148" s="11">
        <f t="shared" si="140"/>
        <v>33.226199426361291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1234.3018903087527</v>
      </c>
      <c r="H148" s="66">
        <f t="shared" si="110"/>
        <v>571.82269733424562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306.99999999999994</v>
      </c>
      <c r="O148" s="13">
        <f>N148*VLOOKUP('Données projet'!$B$9,Paramètres!$A$1:$I$89,3,0)*VLOOKUP('Données projet'!$B$9,Paramètres!$A$1:$I$89,5,0)</f>
        <v>258.61679999999996</v>
      </c>
      <c r="P148" s="13">
        <f t="shared" si="141"/>
        <v>62.427444141032439</v>
      </c>
      <c r="Q148" s="20">
        <f t="shared" si="108"/>
        <v>559.15205854563135</v>
      </c>
      <c r="R148" s="59">
        <f t="shared" si="109"/>
        <v>852.48539187896472</v>
      </c>
      <c r="S148" s="59">
        <f ca="1">AVERAGE(OFFSET($R$3,0,0,'Données projet'!$E$9+1,1))-AVERAGE(OFFSET($H$3,0,0,'Données projet'!$E$9+1,1))</f>
        <v>267.44861001389006</v>
      </c>
      <c r="T148" s="59">
        <f t="shared" si="142"/>
        <v>165.25921510802965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51.447284446362595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51.447284446362595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319</v>
      </c>
      <c r="AJ148" s="13">
        <f>AI148*VLOOKUP('Données projet'!$B$10,Paramètres!$A$1:$I$89,3,0)*VLOOKUP('Données projet'!$B$10,Paramètres!$A$1:$I$89,5,0)</f>
        <v>253.79640000000001</v>
      </c>
      <c r="AK148" s="13">
        <f t="shared" si="143"/>
        <v>61.39816832228076</v>
      </c>
      <c r="AL148" s="20">
        <f t="shared" si="112"/>
        <v>548.96387316130563</v>
      </c>
      <c r="AM148" s="59">
        <f t="shared" si="113"/>
        <v>842.29720649463889</v>
      </c>
      <c r="AN148" s="59">
        <f ca="1">AVERAGE(OFFSET($AM$3,0,0,'Données projet'!$E$10+1,1))-AVERAGE(OFFSET($H$3,0,0,'Données projet'!$E$10+1,1))</f>
        <v>244.70751760575268</v>
      </c>
      <c r="AO148" s="59">
        <f t="shared" si="144"/>
        <v>248.77995374147798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14.675623411039783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14.675623411039783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319</v>
      </c>
      <c r="BE148" s="13">
        <f>BD148*VLOOKUP('Données projet'!$B$11,Paramètres!$A$1:$I$89,3,0)*VLOOKUP('Données projet'!$B$11,Paramètres!$A$1:$I$89,5,0)</f>
        <v>213.98519999999999</v>
      </c>
      <c r="BF148" s="13">
        <f t="shared" si="145"/>
        <v>52.805497044008654</v>
      </c>
      <c r="BG148" s="20">
        <f t="shared" si="115"/>
        <v>464.66046401831505</v>
      </c>
      <c r="BH148" s="59">
        <f t="shared" si="116"/>
        <v>757.99379735164837</v>
      </c>
      <c r="BI148" s="59">
        <f ca="1">AVERAGE(OFFSET($BH$3,0,0,'Données projet'!$E$11+1,1))-AVERAGE(OFFSET($H$3,0,0,'Données projet'!$E$11+1,1))</f>
        <v>195.02599095557656</v>
      </c>
      <c r="BJ148" s="59">
        <f t="shared" si="146"/>
        <v>201.41413798956927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12.37356483675903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12.37356483675903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127.54559999999984</v>
      </c>
      <c r="D149" s="11">
        <f t="shared" si="140"/>
        <v>33.428591950384771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1242.607797511741</v>
      </c>
      <c r="H149" s="66">
        <f t="shared" si="110"/>
        <v>573.69671764691986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306.99999999999994</v>
      </c>
      <c r="O149" s="13">
        <f>N149*VLOOKUP('Données projet'!$B$9,Paramètres!$A$1:$I$89,3,0)*VLOOKUP('Données projet'!$B$9,Paramètres!$A$1:$I$89,5,0)</f>
        <v>258.61679999999996</v>
      </c>
      <c r="P149" s="13">
        <f t="shared" si="141"/>
        <v>62.427444141032439</v>
      </c>
      <c r="Q149" s="20">
        <f t="shared" si="108"/>
        <v>559.15205854563135</v>
      </c>
      <c r="R149" s="59">
        <f t="shared" si="109"/>
        <v>852.48539187896472</v>
      </c>
      <c r="S149" s="59">
        <f ca="1">AVERAGE(OFFSET($R$3,0,0,'Données projet'!$E$9+1,1))-AVERAGE(OFFSET($H$3,0,0,'Données projet'!$E$9+1,1))</f>
        <v>267.44861001389006</v>
      </c>
      <c r="T149" s="59">
        <f t="shared" si="142"/>
        <v>165.25921510802965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50.438434578114446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50.438434578114446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319</v>
      </c>
      <c r="AJ149" s="13">
        <f>AI149*VLOOKUP('Données projet'!$B$10,Paramètres!$A$1:$I$89,3,0)*VLOOKUP('Données projet'!$B$10,Paramètres!$A$1:$I$89,5,0)</f>
        <v>253.79640000000001</v>
      </c>
      <c r="AK149" s="13">
        <f t="shared" si="143"/>
        <v>61.39816832228076</v>
      </c>
      <c r="AL149" s="20">
        <f t="shared" si="112"/>
        <v>548.96387316130563</v>
      </c>
      <c r="AM149" s="59">
        <f t="shared" si="113"/>
        <v>842.29720649463889</v>
      </c>
      <c r="AN149" s="59">
        <f ca="1">AVERAGE(OFFSET($AM$3,0,0,'Données projet'!$E$10+1,1))-AVERAGE(OFFSET($H$3,0,0,'Données projet'!$E$10+1,1))</f>
        <v>244.70751760575268</v>
      </c>
      <c r="AO149" s="59">
        <f t="shared" si="144"/>
        <v>248.77995374147798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14.387843387195712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14.387843387195712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319</v>
      </c>
      <c r="BE149" s="13">
        <f>BD149*VLOOKUP('Données projet'!$B$11,Paramètres!$A$1:$I$89,3,0)*VLOOKUP('Données projet'!$B$11,Paramètres!$A$1:$I$89,5,0)</f>
        <v>213.98519999999999</v>
      </c>
      <c r="BF149" s="13">
        <f t="shared" si="145"/>
        <v>52.805497044008654</v>
      </c>
      <c r="BG149" s="20">
        <f t="shared" si="115"/>
        <v>464.66046401831505</v>
      </c>
      <c r="BH149" s="59">
        <f t="shared" si="116"/>
        <v>757.99379735164837</v>
      </c>
      <c r="BI149" s="59">
        <f ca="1">AVERAGE(OFFSET($BH$3,0,0,'Données projet'!$E$11+1,1))-AVERAGE(OFFSET($H$3,0,0,'Données projet'!$E$11+1,1))</f>
        <v>195.02599095557656</v>
      </c>
      <c r="BJ149" s="59">
        <f t="shared" si="146"/>
        <v>201.41413798956927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12.13092677743952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12.13092677743952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128.41919999999985</v>
      </c>
      <c r="D150" s="11">
        <f t="shared" si="140"/>
        <v>33.630823177860727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1250.9124596185727</v>
      </c>
      <c r="H150" s="66">
        <f t="shared" si="110"/>
        <v>575.57045703477377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306.99999999999994</v>
      </c>
      <c r="O150" s="13">
        <f>N150*VLOOKUP('Données projet'!$B$9,Paramètres!$A$1:$I$89,3,0)*VLOOKUP('Données projet'!$B$9,Paramètres!$A$1:$I$89,5,0)</f>
        <v>258.61679999999996</v>
      </c>
      <c r="P150" s="13">
        <f t="shared" si="141"/>
        <v>62.427444141032439</v>
      </c>
      <c r="Q150" s="20">
        <f t="shared" si="108"/>
        <v>559.15205854563135</v>
      </c>
      <c r="R150" s="59">
        <f t="shared" si="109"/>
        <v>852.48539187896472</v>
      </c>
      <c r="S150" s="59">
        <f ca="1">AVERAGE(OFFSET($R$3,0,0,'Données projet'!$E$9+1,1))-AVERAGE(OFFSET($H$3,0,0,'Données projet'!$E$9+1,1))</f>
        <v>267.44861001389006</v>
      </c>
      <c r="T150" s="59">
        <f t="shared" si="142"/>
        <v>165.25921510802965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49.449367640444983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49.449367640444983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319</v>
      </c>
      <c r="AJ150" s="13">
        <f>AI150*VLOOKUP('Données projet'!$B$10,Paramètres!$A$1:$I$89,3,0)*VLOOKUP('Données projet'!$B$10,Paramètres!$A$1:$I$89,5,0)</f>
        <v>253.79640000000001</v>
      </c>
      <c r="AK150" s="13">
        <f t="shared" si="143"/>
        <v>61.39816832228076</v>
      </c>
      <c r="AL150" s="20">
        <f t="shared" si="112"/>
        <v>548.96387316130563</v>
      </c>
      <c r="AM150" s="59">
        <f t="shared" si="113"/>
        <v>842.29720649463889</v>
      </c>
      <c r="AN150" s="59">
        <f ca="1">AVERAGE(OFFSET($AM$3,0,0,'Données projet'!$E$10+1,1))-AVERAGE(OFFSET($H$3,0,0,'Données projet'!$E$10+1,1))</f>
        <v>244.70751760575268</v>
      </c>
      <c r="AO150" s="59">
        <f t="shared" si="144"/>
        <v>248.77995374147798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14.105706554090741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14.105706554090741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319</v>
      </c>
      <c r="BE150" s="13">
        <f>BD150*VLOOKUP('Données projet'!$B$11,Paramètres!$A$1:$I$89,3,0)*VLOOKUP('Données projet'!$B$11,Paramètres!$A$1:$I$89,5,0)</f>
        <v>213.98519999999999</v>
      </c>
      <c r="BF150" s="13">
        <f t="shared" si="145"/>
        <v>52.805497044008654</v>
      </c>
      <c r="BG150" s="20">
        <f t="shared" si="115"/>
        <v>464.66046401831505</v>
      </c>
      <c r="BH150" s="59">
        <f t="shared" si="116"/>
        <v>757.99379735164837</v>
      </c>
      <c r="BI150" s="59">
        <f ca="1">AVERAGE(OFFSET($BH$3,0,0,'Données projet'!$E$11+1,1))-AVERAGE(OFFSET($H$3,0,0,'Données projet'!$E$11+1,1))</f>
        <v>195.02599095557656</v>
      </c>
      <c r="BJ150" s="59">
        <f t="shared" si="146"/>
        <v>201.41413798956927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11.893046702468661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11.893046702468661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129.29279999999986</v>
      </c>
      <c r="D151" s="11">
        <f t="shared" si="140"/>
        <v>33.832894333299215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1259.2158860816069</v>
      </c>
      <c r="H151" s="66">
        <f t="shared" si="110"/>
        <v>577.44391763049589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306.99999999999994</v>
      </c>
      <c r="O151" s="13">
        <f>N151*VLOOKUP('Données projet'!$B$9,Paramètres!$A$1:$I$89,3,0)*VLOOKUP('Données projet'!$B$9,Paramètres!$A$1:$I$89,5,0)</f>
        <v>258.61679999999996</v>
      </c>
      <c r="P151" s="13">
        <f t="shared" si="141"/>
        <v>62.427444141032439</v>
      </c>
      <c r="Q151" s="20">
        <f t="shared" si="108"/>
        <v>559.15205854563135</v>
      </c>
      <c r="R151" s="59">
        <f t="shared" si="109"/>
        <v>852.48539187896472</v>
      </c>
      <c r="S151" s="59">
        <f ca="1">AVERAGE(OFFSET($R$3,0,0,'Données projet'!$E$9+1,1))-AVERAGE(OFFSET($H$3,0,0,'Données projet'!$E$9+1,1))</f>
        <v>267.44861001389006</v>
      </c>
      <c r="T151" s="59">
        <f t="shared" si="142"/>
        <v>165.25921510802965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48.47969570215195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48.47969570215195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319</v>
      </c>
      <c r="AJ151" s="13">
        <f>AI151*VLOOKUP('Données projet'!$B$10,Paramètres!$A$1:$I$89,3,0)*VLOOKUP('Données projet'!$B$10,Paramètres!$A$1:$I$89,5,0)</f>
        <v>253.79640000000001</v>
      </c>
      <c r="AK151" s="13">
        <f t="shared" si="143"/>
        <v>61.39816832228076</v>
      </c>
      <c r="AL151" s="20">
        <f t="shared" si="112"/>
        <v>548.96387316130563</v>
      </c>
      <c r="AM151" s="59">
        <f t="shared" si="113"/>
        <v>842.29720649463889</v>
      </c>
      <c r="AN151" s="59">
        <f ca="1">AVERAGE(OFFSET($AM$3,0,0,'Données projet'!$E$10+1,1))-AVERAGE(OFFSET($H$3,0,0,'Données projet'!$E$10+1,1))</f>
        <v>244.70751760575268</v>
      </c>
      <c r="AO151" s="59">
        <f t="shared" si="144"/>
        <v>248.77995374147798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13.829102252196481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13.829102252196481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319</v>
      </c>
      <c r="BE151" s="13">
        <f>BD151*VLOOKUP('Données projet'!$B$11,Paramètres!$A$1:$I$89,3,0)*VLOOKUP('Données projet'!$B$11,Paramètres!$A$1:$I$89,5,0)</f>
        <v>213.98519999999999</v>
      </c>
      <c r="BF151" s="13">
        <f t="shared" si="145"/>
        <v>52.805497044008654</v>
      </c>
      <c r="BG151" s="20">
        <f t="shared" si="115"/>
        <v>464.66046401831505</v>
      </c>
      <c r="BH151" s="59">
        <f t="shared" si="116"/>
        <v>757.99379735164837</v>
      </c>
      <c r="BI151" s="59">
        <f ca="1">AVERAGE(OFFSET($BH$3,0,0,'Données projet'!$E$11+1,1))-AVERAGE(OFFSET($H$3,0,0,'Données projet'!$E$11+1,1))</f>
        <v>195.02599095557656</v>
      </c>
      <c r="BJ151" s="59">
        <f t="shared" si="146"/>
        <v>201.41413798956927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11.659831310675463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11.659831310675463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130.16639999999987</v>
      </c>
      <c r="D152" s="11">
        <f t="shared" si="140"/>
        <v>34.034806623706274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1267.5180862180825</v>
      </c>
      <c r="H152" s="66">
        <f t="shared" si="110"/>
        <v>579.31710153628819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306.99999999999994</v>
      </c>
      <c r="O152" s="13">
        <f>N152*VLOOKUP('Données projet'!$B$9,Paramètres!$A$1:$I$89,3,0)*VLOOKUP('Données projet'!$B$9,Paramètres!$A$1:$I$89,5,0)</f>
        <v>258.61679999999996</v>
      </c>
      <c r="P152" s="13">
        <f t="shared" si="141"/>
        <v>62.427444141032439</v>
      </c>
      <c r="Q152" s="20">
        <f t="shared" si="108"/>
        <v>559.15205854563135</v>
      </c>
      <c r="R152" s="59">
        <f t="shared" si="109"/>
        <v>852.48539187896472</v>
      </c>
      <c r="S152" s="59">
        <f ca="1">AVERAGE(OFFSET($R$3,0,0,'Données projet'!$E$9+1,1))-AVERAGE(OFFSET($H$3,0,0,'Données projet'!$E$9+1,1))</f>
        <v>267.44861001389006</v>
      </c>
      <c r="T152" s="59">
        <f t="shared" si="142"/>
        <v>165.25921510802965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47.529038439127362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47.529038439127362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319</v>
      </c>
      <c r="AJ152" s="13">
        <f>AI152*VLOOKUP('Données projet'!$B$10,Paramètres!$A$1:$I$89,3,0)*VLOOKUP('Données projet'!$B$10,Paramètres!$A$1:$I$89,5,0)</f>
        <v>253.79640000000001</v>
      </c>
      <c r="AK152" s="13">
        <f t="shared" si="143"/>
        <v>61.39816832228076</v>
      </c>
      <c r="AL152" s="20">
        <f t="shared" si="112"/>
        <v>548.96387316130563</v>
      </c>
      <c r="AM152" s="59">
        <f t="shared" si="113"/>
        <v>842.29720649463889</v>
      </c>
      <c r="AN152" s="59">
        <f ca="1">AVERAGE(OFFSET($AM$3,0,0,'Données projet'!$E$10+1,1))-AVERAGE(OFFSET($H$3,0,0,'Données projet'!$E$10+1,1))</f>
        <v>244.70751760575268</v>
      </c>
      <c r="AO152" s="59">
        <f t="shared" si="144"/>
        <v>248.77995374147798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13.557921991950403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13.557921991950403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319</v>
      </c>
      <c r="BE152" s="13">
        <f>BD152*VLOOKUP('Données projet'!$B$11,Paramètres!$A$1:$I$89,3,0)*VLOOKUP('Données projet'!$B$11,Paramètres!$A$1:$I$89,5,0)</f>
        <v>213.98519999999999</v>
      </c>
      <c r="BF152" s="13">
        <f t="shared" si="145"/>
        <v>52.805497044008654</v>
      </c>
      <c r="BG152" s="20">
        <f t="shared" si="115"/>
        <v>464.66046401831505</v>
      </c>
      <c r="BH152" s="59">
        <f t="shared" si="116"/>
        <v>757.99379735164837</v>
      </c>
      <c r="BI152" s="59">
        <f ca="1">AVERAGE(OFFSET($BH$3,0,0,'Données projet'!$E$11+1,1))-AVERAGE(OFFSET($H$3,0,0,'Données projet'!$E$11+1,1))</f>
        <v>195.02599095557656</v>
      </c>
      <c r="BJ152" s="59">
        <f t="shared" si="146"/>
        <v>201.41413798956927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11.431189130467985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11.431189130467985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131.03999999999988</v>
      </c>
      <c r="D153" s="11">
        <f t="shared" si="140"/>
        <v>34.236561238949889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1275.8190692129458</v>
      </c>
      <c r="H153" s="66">
        <f t="shared" si="110"/>
        <v>581.19001082450416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306.99999999999994</v>
      </c>
      <c r="O153" s="13">
        <f>N153*VLOOKUP('Données projet'!$B$9,Paramètres!$A$1:$I$89,3,0)*VLOOKUP('Données projet'!$B$9,Paramètres!$A$1:$I$89,5,0)</f>
        <v>258.61679999999996</v>
      </c>
      <c r="P153" s="13">
        <f t="shared" si="141"/>
        <v>62.427444141032439</v>
      </c>
      <c r="Q153" s="20">
        <f t="shared" si="108"/>
        <v>559.15205854563135</v>
      </c>
      <c r="R153" s="59">
        <f t="shared" si="109"/>
        <v>852.48539187896472</v>
      </c>
      <c r="S153" s="59">
        <f ca="1">AVERAGE(OFFSET($R$3,0,0,'Données projet'!$E$9+1,1))-AVERAGE(OFFSET($H$3,0,0,'Données projet'!$E$9+1,1))</f>
        <v>267.44861001389006</v>
      </c>
      <c r="T153" s="59">
        <f t="shared" si="142"/>
        <v>165.25921510802965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46.59702298518701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46.59702298518701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319</v>
      </c>
      <c r="AJ153" s="13">
        <f>AI153*VLOOKUP('Données projet'!$B$10,Paramètres!$A$1:$I$89,3,0)*VLOOKUP('Données projet'!$B$10,Paramètres!$A$1:$I$89,5,0)</f>
        <v>253.79640000000001</v>
      </c>
      <c r="AK153" s="13">
        <f t="shared" si="143"/>
        <v>61.39816832228076</v>
      </c>
      <c r="AL153" s="20">
        <f t="shared" si="112"/>
        <v>548.96387316130563</v>
      </c>
      <c r="AM153" s="59">
        <f t="shared" si="113"/>
        <v>842.29720649463889</v>
      </c>
      <c r="AN153" s="59">
        <f ca="1">AVERAGE(OFFSET($AM$3,0,0,'Données projet'!$E$10+1,1))-AVERAGE(OFFSET($H$3,0,0,'Données projet'!$E$10+1,1))</f>
        <v>244.70751760575268</v>
      </c>
      <c r="AO153" s="59">
        <f t="shared" si="144"/>
        <v>248.77995374147798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13.292059411204123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13.292059411204123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319</v>
      </c>
      <c r="BE153" s="13">
        <f>BD153*VLOOKUP('Données projet'!$B$11,Paramètres!$A$1:$I$89,3,0)*VLOOKUP('Données projet'!$B$11,Paramètres!$A$1:$I$89,5,0)</f>
        <v>213.98519999999999</v>
      </c>
      <c r="BF153" s="13">
        <f t="shared" si="145"/>
        <v>52.805497044008654</v>
      </c>
      <c r="BG153" s="20">
        <f t="shared" si="115"/>
        <v>464.66046401831505</v>
      </c>
      <c r="BH153" s="59">
        <f t="shared" si="116"/>
        <v>757.99379735164837</v>
      </c>
      <c r="BI153" s="59">
        <f ca="1">AVERAGE(OFFSET($BH$3,0,0,'Données projet'!$E$11+1,1))-AVERAGE(OFFSET($H$3,0,0,'Données projet'!$E$11+1,1))</f>
        <v>195.02599095557656</v>
      </c>
      <c r="BJ153" s="59">
        <f t="shared" si="146"/>
        <v>201.41413798956927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11.207030483956416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11.207030483956416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131.91359999999989</v>
      </c>
      <c r="D154" s="11">
        <f t="shared" si="140"/>
        <v>34.438159352115974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1284.1188441215961</v>
      </c>
      <c r="H154" s="66">
        <f t="shared" si="110"/>
        <v>583.06264753826849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306.99999999999994</v>
      </c>
      <c r="O154" s="13">
        <f>N154*VLOOKUP('Données projet'!$B$9,Paramètres!$A$1:$I$89,3,0)*VLOOKUP('Données projet'!$B$9,Paramètres!$A$1:$I$89,5,0)</f>
        <v>258.61679999999996</v>
      </c>
      <c r="P154" s="13">
        <f t="shared" si="141"/>
        <v>62.427444141032439</v>
      </c>
      <c r="Q154" s="20">
        <f t="shared" ref="Q154:Q203" si="162">(O154+P154)*0.475*44/12</f>
        <v>559.15205854563135</v>
      </c>
      <c r="R154" s="59">
        <f t="shared" si="109"/>
        <v>852.48539187896472</v>
      </c>
      <c r="S154" s="59">
        <f ca="1">AVERAGE(OFFSET($R$3,0,0,'Données projet'!$E$9+1,1))-AVERAGE(OFFSET($H$3,0,0,'Données projet'!$E$9+1,1))</f>
        <v>267.44861001389006</v>
      </c>
      <c r="T154" s="59">
        <f t="shared" si="142"/>
        <v>165.25921510802965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45.683283785825132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45.683283785825132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319</v>
      </c>
      <c r="AJ154" s="13">
        <f>AI154*VLOOKUP('Données projet'!$B$10,Paramètres!$A$1:$I$89,3,0)*VLOOKUP('Données projet'!$B$10,Paramètres!$A$1:$I$89,5,0)</f>
        <v>253.79640000000001</v>
      </c>
      <c r="AK154" s="13">
        <f t="shared" ref="AK154:AK203" si="164">EXP(-1.0587+0.8836*LN(AJ154)+0.284)</f>
        <v>61.39816832228076</v>
      </c>
      <c r="AL154" s="20">
        <f t="shared" ref="AL154:AL203" si="165">(AJ154+AK154)*0.475*44/12</f>
        <v>548.96387316130563</v>
      </c>
      <c r="AM154" s="59">
        <f t="shared" si="113"/>
        <v>842.29720649463889</v>
      </c>
      <c r="AN154" s="59">
        <f ca="1">AVERAGE(OFFSET($AM$3,0,0,'Données projet'!$E$10+1,1))-AVERAGE(OFFSET($H$3,0,0,'Données projet'!$E$10+1,1))</f>
        <v>244.70751760575268</v>
      </c>
      <c r="AO154" s="59">
        <f t="shared" si="144"/>
        <v>248.77995374147798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13.031410233506117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13.031410233506117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319</v>
      </c>
      <c r="BE154" s="13">
        <f>BD154*VLOOKUP('Données projet'!$B$11,Paramètres!$A$1:$I$89,3,0)*VLOOKUP('Données projet'!$B$11,Paramètres!$A$1:$I$89,5,0)</f>
        <v>213.98519999999999</v>
      </c>
      <c r="BF154" s="13">
        <f t="shared" ref="BF154:BF203" si="167">EXP(-1.0587+0.8836*LN(BE154)+0.284)</f>
        <v>52.805497044008654</v>
      </c>
      <c r="BG154" s="20">
        <f t="shared" ref="BG154:BG203" si="168">(BE154+BF154)*0.475*44/12</f>
        <v>464.66046401831505</v>
      </c>
      <c r="BH154" s="59">
        <f t="shared" si="116"/>
        <v>757.99379735164837</v>
      </c>
      <c r="BI154" s="59">
        <f ca="1">AVERAGE(OFFSET($BH$3,0,0,'Données projet'!$E$11+1,1))-AVERAGE(OFFSET($H$3,0,0,'Données projet'!$E$11+1,1))</f>
        <v>195.02599095557656</v>
      </c>
      <c r="BJ154" s="59">
        <f t="shared" si="146"/>
        <v>201.41413798956927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10.987267451779665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10.987267451779665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132.7871999999999</v>
      </c>
      <c r="D155" s="11">
        <f t="shared" si="140"/>
        <v>34.63960211985458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1292.4174198725609</v>
      </c>
      <c r="H155" s="66">
        <f t="shared" si="110"/>
        <v>584.93501369207979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306.99999999999994</v>
      </c>
      <c r="O155" s="13">
        <f>N155*VLOOKUP('Données projet'!$B$9,Paramètres!$A$1:$I$89,3,0)*VLOOKUP('Données projet'!$B$9,Paramètres!$A$1:$I$89,5,0)</f>
        <v>258.61679999999996</v>
      </c>
      <c r="P155" s="13">
        <f t="shared" si="141"/>
        <v>62.427444141032439</v>
      </c>
      <c r="Q155" s="20">
        <f t="shared" si="162"/>
        <v>559.15205854563135</v>
      </c>
      <c r="R155" s="59">
        <f t="shared" si="109"/>
        <v>852.48539187896472</v>
      </c>
      <c r="S155" s="59">
        <f ca="1">AVERAGE(OFFSET($R$3,0,0,'Données projet'!$E$9+1,1))-AVERAGE(OFFSET($H$3,0,0,'Données projet'!$E$9+1,1))</f>
        <v>267.44861001389006</v>
      </c>
      <c r="T155" s="59">
        <f t="shared" si="142"/>
        <v>165.25921510802965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44.787462454836863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44.787462454836863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319</v>
      </c>
      <c r="AJ155" s="13">
        <f>AI155*VLOOKUP('Données projet'!$B$10,Paramètres!$A$1:$I$89,3,0)*VLOOKUP('Données projet'!$B$10,Paramètres!$A$1:$I$89,5,0)</f>
        <v>253.79640000000001</v>
      </c>
      <c r="AK155" s="13">
        <f t="shared" si="164"/>
        <v>61.39816832228076</v>
      </c>
      <c r="AL155" s="20">
        <f t="shared" si="165"/>
        <v>548.96387316130563</v>
      </c>
      <c r="AM155" s="59">
        <f t="shared" si="113"/>
        <v>842.29720649463889</v>
      </c>
      <c r="AN155" s="59">
        <f ca="1">AVERAGE(OFFSET($AM$3,0,0,'Données projet'!$E$10+1,1))-AVERAGE(OFFSET($H$3,0,0,'Données projet'!$E$10+1,1))</f>
        <v>244.70751760575268</v>
      </c>
      <c r="AO155" s="59">
        <f t="shared" si="144"/>
        <v>248.77995374147798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12.775872227202468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12.775872227202468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319</v>
      </c>
      <c r="BE155" s="13">
        <f>BD155*VLOOKUP('Données projet'!$B$11,Paramètres!$A$1:$I$89,3,0)*VLOOKUP('Données projet'!$B$11,Paramètres!$A$1:$I$89,5,0)</f>
        <v>213.98519999999999</v>
      </c>
      <c r="BF155" s="13">
        <f t="shared" si="167"/>
        <v>52.805497044008654</v>
      </c>
      <c r="BG155" s="20">
        <f t="shared" si="168"/>
        <v>464.66046401831505</v>
      </c>
      <c r="BH155" s="59">
        <f t="shared" si="116"/>
        <v>757.99379735164837</v>
      </c>
      <c r="BI155" s="59">
        <f ca="1">AVERAGE(OFFSET($BH$3,0,0,'Données projet'!$E$11+1,1))-AVERAGE(OFFSET($H$3,0,0,'Données projet'!$E$11+1,1))</f>
        <v>195.02599095557656</v>
      </c>
      <c r="BJ155" s="59">
        <f t="shared" si="146"/>
        <v>201.41413798956927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10.771813838621686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10.771813838621686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133.66079999999991</v>
      </c>
      <c r="D156" s="11">
        <f t="shared" si="140"/>
        <v>34.840890682716719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1300.7148052700934</v>
      </c>
      <c r="H156" s="66">
        <f t="shared" si="110"/>
        <v>586.80711127239806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306.99999999999994</v>
      </c>
      <c r="O156" s="13">
        <f>N156*VLOOKUP('Données projet'!$B$9,Paramètres!$A$1:$I$89,3,0)*VLOOKUP('Données projet'!$B$9,Paramètres!$A$1:$I$89,5,0)</f>
        <v>258.61679999999996</v>
      </c>
      <c r="P156" s="13">
        <f t="shared" si="141"/>
        <v>62.427444141032439</v>
      </c>
      <c r="Q156" s="20">
        <f t="shared" si="162"/>
        <v>559.15205854563135</v>
      </c>
      <c r="R156" s="59">
        <f t="shared" si="109"/>
        <v>852.48539187896472</v>
      </c>
      <c r="S156" s="59">
        <f ca="1">AVERAGE(OFFSET($R$3,0,0,'Données projet'!$E$9+1,1))-AVERAGE(OFFSET($H$3,0,0,'Données projet'!$E$9+1,1))</f>
        <v>267.44861001389006</v>
      </c>
      <c r="T156" s="59">
        <f t="shared" si="142"/>
        <v>165.25921510802965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43.909207633752217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43.909207633752217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319</v>
      </c>
      <c r="AJ156" s="13">
        <f>AI156*VLOOKUP('Données projet'!$B$10,Paramètres!$A$1:$I$89,3,0)*VLOOKUP('Données projet'!$B$10,Paramètres!$A$1:$I$89,5,0)</f>
        <v>253.79640000000001</v>
      </c>
      <c r="AK156" s="13">
        <f t="shared" si="164"/>
        <v>61.39816832228076</v>
      </c>
      <c r="AL156" s="20">
        <f t="shared" si="165"/>
        <v>548.96387316130563</v>
      </c>
      <c r="AM156" s="59">
        <f t="shared" si="113"/>
        <v>842.29720649463889</v>
      </c>
      <c r="AN156" s="59">
        <f ca="1">AVERAGE(OFFSET($AM$3,0,0,'Données projet'!$E$10+1,1))-AVERAGE(OFFSET($H$3,0,0,'Données projet'!$E$10+1,1))</f>
        <v>244.70751760575268</v>
      </c>
      <c r="AO156" s="59">
        <f t="shared" si="144"/>
        <v>248.77995374147798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12.52534516533964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12.52534516533964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319</v>
      </c>
      <c r="BE156" s="13">
        <f>BD156*VLOOKUP('Données projet'!$B$11,Paramètres!$A$1:$I$89,3,0)*VLOOKUP('Données projet'!$B$11,Paramètres!$A$1:$I$89,5,0)</f>
        <v>213.98519999999999</v>
      </c>
      <c r="BF156" s="13">
        <f t="shared" si="167"/>
        <v>52.805497044008654</v>
      </c>
      <c r="BG156" s="20">
        <f t="shared" si="168"/>
        <v>464.66046401831505</v>
      </c>
      <c r="BH156" s="59">
        <f t="shared" si="116"/>
        <v>757.99379735164837</v>
      </c>
      <c r="BI156" s="59">
        <f ca="1">AVERAGE(OFFSET($BH$3,0,0,'Données projet'!$E$11+1,1))-AVERAGE(OFFSET($H$3,0,0,'Données projet'!$E$11+1,1))</f>
        <v>195.02599095557656</v>
      </c>
      <c r="BJ156" s="59">
        <f t="shared" si="146"/>
        <v>201.41413798956927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10.560585139404006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10.560585139404006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134.53439999999992</v>
      </c>
      <c r="D157" s="11">
        <f t="shared" si="140"/>
        <v>35.042026165482199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1309.0110089967043</v>
      </c>
      <c r="H157" s="66">
        <f t="shared" si="110"/>
        <v>588.67894223821463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306.99999999999994</v>
      </c>
      <c r="O157" s="13">
        <f>N157*VLOOKUP('Données projet'!$B$9,Paramètres!$A$1:$I$89,3,0)*VLOOKUP('Données projet'!$B$9,Paramètres!$A$1:$I$89,5,0)</f>
        <v>258.61679999999996</v>
      </c>
      <c r="P157" s="13">
        <f t="shared" si="141"/>
        <v>62.427444141032439</v>
      </c>
      <c r="Q157" s="20">
        <f t="shared" si="162"/>
        <v>559.15205854563135</v>
      </c>
      <c r="R157" s="59">
        <f t="shared" si="109"/>
        <v>852.48539187896472</v>
      </c>
      <c r="S157" s="59">
        <f ca="1">AVERAGE(OFFSET($R$3,0,0,'Données projet'!$E$9+1,1))-AVERAGE(OFFSET($H$3,0,0,'Données projet'!$E$9+1,1))</f>
        <v>267.44861001389006</v>
      </c>
      <c r="T157" s="59">
        <f t="shared" si="142"/>
        <v>165.25921510802965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43.048174854026492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43.048174854026492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319</v>
      </c>
      <c r="AJ157" s="13">
        <f>AI157*VLOOKUP('Données projet'!$B$10,Paramètres!$A$1:$I$89,3,0)*VLOOKUP('Données projet'!$B$10,Paramètres!$A$1:$I$89,5,0)</f>
        <v>253.79640000000001</v>
      </c>
      <c r="AK157" s="13">
        <f t="shared" si="164"/>
        <v>61.39816832228076</v>
      </c>
      <c r="AL157" s="20">
        <f t="shared" si="165"/>
        <v>548.96387316130563</v>
      </c>
      <c r="AM157" s="59">
        <f t="shared" si="113"/>
        <v>842.29720649463889</v>
      </c>
      <c r="AN157" s="59">
        <f ca="1">AVERAGE(OFFSET($AM$3,0,0,'Données projet'!$E$10+1,1))-AVERAGE(OFFSET($H$3,0,0,'Données projet'!$E$10+1,1))</f>
        <v>244.70751760575268</v>
      </c>
      <c r="AO157" s="59">
        <f t="shared" si="144"/>
        <v>248.77995374147798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12.279730786353522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12.279730786353522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319</v>
      </c>
      <c r="BE157" s="13">
        <f>BD157*VLOOKUP('Données projet'!$B$11,Paramètres!$A$1:$I$89,3,0)*VLOOKUP('Données projet'!$B$11,Paramètres!$A$1:$I$89,5,0)</f>
        <v>213.98519999999999</v>
      </c>
      <c r="BF157" s="13">
        <f t="shared" si="167"/>
        <v>52.805497044008654</v>
      </c>
      <c r="BG157" s="20">
        <f t="shared" si="168"/>
        <v>464.66046401831505</v>
      </c>
      <c r="BH157" s="59">
        <f t="shared" si="116"/>
        <v>757.99379735164837</v>
      </c>
      <c r="BI157" s="59">
        <f ca="1">AVERAGE(OFFSET($BH$3,0,0,'Données projet'!$E$11+1,1))-AVERAGE(OFFSET($H$3,0,0,'Données projet'!$E$11+1,1))</f>
        <v>195.02599095557656</v>
      </c>
      <c r="BJ157" s="59">
        <f t="shared" si="146"/>
        <v>201.41413798956927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10.353498506141202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10.353498506141202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135.40799999999993</v>
      </c>
      <c r="D158" s="11">
        <f t="shared" si="140"/>
        <v>35.243009677478732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1317.306039615625</v>
      </c>
      <c r="H158" s="66">
        <f t="shared" si="110"/>
        <v>590.55050852160866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306.99999999999994</v>
      </c>
      <c r="O158" s="13">
        <f>N158*VLOOKUP('Données projet'!$B$9,Paramètres!$A$1:$I$89,3,0)*VLOOKUP('Données projet'!$B$9,Paramètres!$A$1:$I$89,5,0)</f>
        <v>258.61679999999996</v>
      </c>
      <c r="P158" s="13">
        <f t="shared" si="141"/>
        <v>62.427444141032439</v>
      </c>
      <c r="Q158" s="20">
        <f t="shared" si="162"/>
        <v>559.15205854563135</v>
      </c>
      <c r="R158" s="59">
        <f t="shared" si="109"/>
        <v>852.48539187896472</v>
      </c>
      <c r="S158" s="59">
        <f ca="1">AVERAGE(OFFSET($R$3,0,0,'Données projet'!$E$9+1,1))-AVERAGE(OFFSET($H$3,0,0,'Données projet'!$E$9+1,1))</f>
        <v>267.44861001389006</v>
      </c>
      <c r="T158" s="59">
        <f t="shared" si="142"/>
        <v>165.25921510802965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42.204026401933049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42.204026401933049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319</v>
      </c>
      <c r="AJ158" s="13">
        <f>AI158*VLOOKUP('Données projet'!$B$10,Paramètres!$A$1:$I$89,3,0)*VLOOKUP('Données projet'!$B$10,Paramètres!$A$1:$I$89,5,0)</f>
        <v>253.79640000000001</v>
      </c>
      <c r="AK158" s="13">
        <f t="shared" si="164"/>
        <v>61.39816832228076</v>
      </c>
      <c r="AL158" s="20">
        <f t="shared" si="165"/>
        <v>548.96387316130563</v>
      </c>
      <c r="AM158" s="59">
        <f t="shared" si="113"/>
        <v>842.29720649463889</v>
      </c>
      <c r="AN158" s="59">
        <f ca="1">AVERAGE(OFFSET($AM$3,0,0,'Données projet'!$E$10+1,1))-AVERAGE(OFFSET($H$3,0,0,'Données projet'!$E$10+1,1))</f>
        <v>244.70751760575268</v>
      </c>
      <c r="AO158" s="59">
        <f t="shared" si="144"/>
        <v>248.77995374147798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12.038932755529343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12.038932755529343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319</v>
      </c>
      <c r="BE158" s="13">
        <f>BD158*VLOOKUP('Données projet'!$B$11,Paramètres!$A$1:$I$89,3,0)*VLOOKUP('Données projet'!$B$11,Paramètres!$A$1:$I$89,5,0)</f>
        <v>213.98519999999999</v>
      </c>
      <c r="BF158" s="13">
        <f t="shared" si="167"/>
        <v>52.805497044008654</v>
      </c>
      <c r="BG158" s="20">
        <f t="shared" si="168"/>
        <v>464.66046401831505</v>
      </c>
      <c r="BH158" s="59">
        <f t="shared" si="116"/>
        <v>757.99379735164837</v>
      </c>
      <c r="BI158" s="59">
        <f ca="1">AVERAGE(OFFSET($BH$3,0,0,'Données projet'!$E$11+1,1))-AVERAGE(OFFSET($H$3,0,0,'Données projet'!$E$11+1,1))</f>
        <v>195.02599095557656</v>
      </c>
      <c r="BJ158" s="59">
        <f t="shared" si="146"/>
        <v>201.41413798956927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10.150472715446305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10.150472715446305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136.28159999999994</v>
      </c>
      <c r="D159" s="11">
        <f t="shared" si="140"/>
        <v>35.443842312892279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1325.5999055732034</v>
      </c>
      <c r="H159" s="66">
        <f t="shared" si="110"/>
        <v>592.42181202828726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306.99999999999994</v>
      </c>
      <c r="O159" s="13">
        <f>N159*VLOOKUP('Données projet'!$B$9,Paramètres!$A$1:$I$89,3,0)*VLOOKUP('Données projet'!$B$9,Paramètres!$A$1:$I$89,5,0)</f>
        <v>258.61679999999996</v>
      </c>
      <c r="P159" s="13">
        <f t="shared" si="141"/>
        <v>62.427444141032439</v>
      </c>
      <c r="Q159" s="20">
        <f t="shared" si="162"/>
        <v>559.15205854563135</v>
      </c>
      <c r="R159" s="59">
        <f t="shared" si="109"/>
        <v>852.48539187896472</v>
      </c>
      <c r="S159" s="59">
        <f ca="1">AVERAGE(OFFSET($R$3,0,0,'Données projet'!$E$9+1,1))-AVERAGE(OFFSET($H$3,0,0,'Données projet'!$E$9+1,1))</f>
        <v>267.44861001389006</v>
      </c>
      <c r="T159" s="59">
        <f t="shared" si="142"/>
        <v>165.25921510802965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41.376431186105442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41.376431186105442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319</v>
      </c>
      <c r="AJ159" s="13">
        <f>AI159*VLOOKUP('Données projet'!$B$10,Paramètres!$A$1:$I$89,3,0)*VLOOKUP('Données projet'!$B$10,Paramètres!$A$1:$I$89,5,0)</f>
        <v>253.79640000000001</v>
      </c>
      <c r="AK159" s="13">
        <f t="shared" si="164"/>
        <v>61.39816832228076</v>
      </c>
      <c r="AL159" s="20">
        <f t="shared" si="165"/>
        <v>548.96387316130563</v>
      </c>
      <c r="AM159" s="59">
        <f t="shared" si="113"/>
        <v>842.29720649463889</v>
      </c>
      <c r="AN159" s="59">
        <f ca="1">AVERAGE(OFFSET($AM$3,0,0,'Données projet'!$E$10+1,1))-AVERAGE(OFFSET($H$3,0,0,'Données projet'!$E$10+1,1))</f>
        <v>244.70751760575268</v>
      </c>
      <c r="AO159" s="59">
        <f t="shared" si="144"/>
        <v>248.77995374147798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11.802856627217331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11.802856627217331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319</v>
      </c>
      <c r="BE159" s="13">
        <f>BD159*VLOOKUP('Données projet'!$B$11,Paramètres!$A$1:$I$89,3,0)*VLOOKUP('Données projet'!$B$11,Paramètres!$A$1:$I$89,5,0)</f>
        <v>213.98519999999999</v>
      </c>
      <c r="BF159" s="13">
        <f t="shared" si="167"/>
        <v>52.805497044008654</v>
      </c>
      <c r="BG159" s="20">
        <f t="shared" si="168"/>
        <v>464.66046401831505</v>
      </c>
      <c r="BH159" s="59">
        <f t="shared" si="116"/>
        <v>757.99379735164837</v>
      </c>
      <c r="BI159" s="59">
        <f ca="1">AVERAGE(OFFSET($BH$3,0,0,'Données projet'!$E$11+1,1))-AVERAGE(OFFSET($H$3,0,0,'Données projet'!$E$11+1,1))</f>
        <v>195.02599095557656</v>
      </c>
      <c r="BJ159" s="59">
        <f t="shared" si="146"/>
        <v>201.41413798956927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9.9514281366734316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9.9514281366734316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137.15519999999995</v>
      </c>
      <c r="D160" s="11">
        <f t="shared" si="140"/>
        <v>35.644525151069693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1333.8926152012393</v>
      </c>
      <c r="H160" s="66">
        <f t="shared" si="110"/>
        <v>594.29285463811289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306.99999999999994</v>
      </c>
      <c r="O160" s="13">
        <f>N160*VLOOKUP('Données projet'!$B$9,Paramètres!$A$1:$I$89,3,0)*VLOOKUP('Données projet'!$B$9,Paramètres!$A$1:$I$89,5,0)</f>
        <v>258.61679999999996</v>
      </c>
      <c r="P160" s="13">
        <f t="shared" si="141"/>
        <v>62.427444141032439</v>
      </c>
      <c r="Q160" s="20">
        <f t="shared" si="162"/>
        <v>559.15205854563135</v>
      </c>
      <c r="R160" s="59">
        <f t="shared" si="109"/>
        <v>852.48539187896472</v>
      </c>
      <c r="S160" s="59">
        <f ca="1">AVERAGE(OFFSET($R$3,0,0,'Données projet'!$E$9+1,1))-AVERAGE(OFFSET($H$3,0,0,'Données projet'!$E$9+1,1))</f>
        <v>267.44861001389006</v>
      </c>
      <c r="T160" s="59">
        <f t="shared" si="142"/>
        <v>165.25921510802965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40.56506460767698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40.56506460767698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319</v>
      </c>
      <c r="AJ160" s="13">
        <f>AI160*VLOOKUP('Données projet'!$B$10,Paramètres!$A$1:$I$89,3,0)*VLOOKUP('Données projet'!$B$10,Paramètres!$A$1:$I$89,5,0)</f>
        <v>253.79640000000001</v>
      </c>
      <c r="AK160" s="13">
        <f t="shared" si="164"/>
        <v>61.39816832228076</v>
      </c>
      <c r="AL160" s="20">
        <f t="shared" si="165"/>
        <v>548.96387316130563</v>
      </c>
      <c r="AM160" s="59">
        <f t="shared" si="113"/>
        <v>842.29720649463889</v>
      </c>
      <c r="AN160" s="59">
        <f ca="1">AVERAGE(OFFSET($AM$3,0,0,'Données projet'!$E$10+1,1))-AVERAGE(OFFSET($H$3,0,0,'Données projet'!$E$10+1,1))</f>
        <v>244.70751760575268</v>
      </c>
      <c r="AO160" s="59">
        <f t="shared" si="144"/>
        <v>248.77995374147798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11.571409807789296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11.571409807789296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319</v>
      </c>
      <c r="BE160" s="13">
        <f>BD160*VLOOKUP('Données projet'!$B$11,Paramètres!$A$1:$I$89,3,0)*VLOOKUP('Données projet'!$B$11,Paramètres!$A$1:$I$89,5,0)</f>
        <v>213.98519999999999</v>
      </c>
      <c r="BF160" s="13">
        <f t="shared" si="167"/>
        <v>52.805497044008654</v>
      </c>
      <c r="BG160" s="20">
        <f t="shared" si="168"/>
        <v>464.66046401831505</v>
      </c>
      <c r="BH160" s="59">
        <f t="shared" si="116"/>
        <v>757.99379735164837</v>
      </c>
      <c r="BI160" s="59">
        <f ca="1">AVERAGE(OFFSET($BH$3,0,0,'Données projet'!$E$11+1,1))-AVERAGE(OFFSET($H$3,0,0,'Données projet'!$E$11+1,1))</f>
        <v>195.02599095557656</v>
      </c>
      <c r="BJ160" s="59">
        <f t="shared" si="146"/>
        <v>201.41413798956927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9.756286700685088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9.756286700685088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138.02879999999996</v>
      </c>
      <c r="D161" s="11">
        <f t="shared" si="140"/>
        <v>35.845059256813073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1342.1841767192584</v>
      </c>
      <c r="H161" s="66">
        <f t="shared" si="110"/>
        <v>596.16363820561605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306.99999999999994</v>
      </c>
      <c r="O161" s="13">
        <f>N161*VLOOKUP('Données projet'!$B$9,Paramètres!$A$1:$I$89,3,0)*VLOOKUP('Données projet'!$B$9,Paramètres!$A$1:$I$89,5,0)</f>
        <v>258.61679999999996</v>
      </c>
      <c r="P161" s="13">
        <f t="shared" si="141"/>
        <v>62.427444141032439</v>
      </c>
      <c r="Q161" s="20">
        <f t="shared" si="162"/>
        <v>559.15205854563135</v>
      </c>
      <c r="R161" s="59">
        <f t="shared" si="109"/>
        <v>852.48539187896472</v>
      </c>
      <c r="S161" s="59">
        <f ca="1">AVERAGE(OFFSET($R$3,0,0,'Données projet'!$E$9+1,1))-AVERAGE(OFFSET($H$3,0,0,'Données projet'!$E$9+1,1))</f>
        <v>267.44861001389006</v>
      </c>
      <c r="T161" s="59">
        <f t="shared" si="142"/>
        <v>165.25921510802965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39.769608432966749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39.769608432966749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319</v>
      </c>
      <c r="AJ161" s="13">
        <f>AI161*VLOOKUP('Données projet'!$B$10,Paramètres!$A$1:$I$89,3,0)*VLOOKUP('Données projet'!$B$10,Paramètres!$A$1:$I$89,5,0)</f>
        <v>253.79640000000001</v>
      </c>
      <c r="AK161" s="13">
        <f t="shared" si="164"/>
        <v>61.39816832228076</v>
      </c>
      <c r="AL161" s="20">
        <f t="shared" si="165"/>
        <v>548.96387316130563</v>
      </c>
      <c r="AM161" s="59">
        <f t="shared" si="113"/>
        <v>842.29720649463889</v>
      </c>
      <c r="AN161" s="59">
        <f ca="1">AVERAGE(OFFSET($AM$3,0,0,'Données projet'!$E$10+1,1))-AVERAGE(OFFSET($H$3,0,0,'Données projet'!$E$10+1,1))</f>
        <v>244.70751760575268</v>
      </c>
      <c r="AO161" s="59">
        <f t="shared" si="144"/>
        <v>248.77995374147798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11.344501519321625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11.344501519321625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319</v>
      </c>
      <c r="BE161" s="13">
        <f>BD161*VLOOKUP('Données projet'!$B$11,Paramètres!$A$1:$I$89,3,0)*VLOOKUP('Données projet'!$B$11,Paramètres!$A$1:$I$89,5,0)</f>
        <v>213.98519999999999</v>
      </c>
      <c r="BF161" s="13">
        <f t="shared" si="167"/>
        <v>52.805497044008654</v>
      </c>
      <c r="BG161" s="20">
        <f t="shared" si="168"/>
        <v>464.66046401831505</v>
      </c>
      <c r="BH161" s="59">
        <f t="shared" si="116"/>
        <v>757.99379735164837</v>
      </c>
      <c r="BI161" s="59">
        <f ca="1">AVERAGE(OFFSET($BH$3,0,0,'Données projet'!$E$11+1,1))-AVERAGE(OFFSET($H$3,0,0,'Données projet'!$E$11+1,1))</f>
        <v>195.02599095557656</v>
      </c>
      <c r="BJ161" s="59">
        <f t="shared" si="146"/>
        <v>201.41413798956927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9.5649718692319539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9.5649718692319539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138.90239999999997</v>
      </c>
      <c r="D162" s="11">
        <f t="shared" si="140"/>
        <v>36.045445680666425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1350.4745982367231</v>
      </c>
      <c r="H162" s="66">
        <f t="shared" si="110"/>
        <v>598.03416456049399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306.99999999999994</v>
      </c>
      <c r="O162" s="13">
        <f>N162*VLOOKUP('Données projet'!$B$9,Paramètres!$A$1:$I$89,3,0)*VLOOKUP('Données projet'!$B$9,Paramètres!$A$1:$I$89,5,0)</f>
        <v>258.61679999999996</v>
      </c>
      <c r="P162" s="13">
        <f t="shared" si="141"/>
        <v>62.427444141032439</v>
      </c>
      <c r="Q162" s="20">
        <f t="shared" si="162"/>
        <v>559.15205854563135</v>
      </c>
      <c r="R162" s="59">
        <f t="shared" si="109"/>
        <v>852.48539187896472</v>
      </c>
      <c r="S162" s="59">
        <f ca="1">AVERAGE(OFFSET($R$3,0,0,'Données projet'!$E$9+1,1))-AVERAGE(OFFSET($H$3,0,0,'Données projet'!$E$9+1,1))</f>
        <v>267.44861001389006</v>
      </c>
      <c r="T162" s="59">
        <f t="shared" si="142"/>
        <v>165.25921510802965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38.989750668662225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38.989750668662225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319</v>
      </c>
      <c r="AJ162" s="13">
        <f>AI162*VLOOKUP('Données projet'!$B$10,Paramètres!$A$1:$I$89,3,0)*VLOOKUP('Données projet'!$B$10,Paramètres!$A$1:$I$89,5,0)</f>
        <v>253.79640000000001</v>
      </c>
      <c r="AK162" s="13">
        <f t="shared" si="164"/>
        <v>61.39816832228076</v>
      </c>
      <c r="AL162" s="20">
        <f t="shared" si="165"/>
        <v>548.96387316130563</v>
      </c>
      <c r="AM162" s="59">
        <f t="shared" si="113"/>
        <v>842.29720649463889</v>
      </c>
      <c r="AN162" s="59">
        <f ca="1">AVERAGE(OFFSET($AM$3,0,0,'Données projet'!$E$10+1,1))-AVERAGE(OFFSET($H$3,0,0,'Données projet'!$E$10+1,1))</f>
        <v>244.70751760575268</v>
      </c>
      <c r="AO162" s="59">
        <f t="shared" si="144"/>
        <v>248.77995374147798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11.122042763990414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11.122042763990414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319</v>
      </c>
      <c r="BE162" s="13">
        <f>BD162*VLOOKUP('Données projet'!$B$11,Paramètres!$A$1:$I$89,3,0)*VLOOKUP('Données projet'!$B$11,Paramètres!$A$1:$I$89,5,0)</f>
        <v>213.98519999999999</v>
      </c>
      <c r="BF162" s="13">
        <f t="shared" si="167"/>
        <v>52.805497044008654</v>
      </c>
      <c r="BG162" s="20">
        <f t="shared" si="168"/>
        <v>464.66046401831505</v>
      </c>
      <c r="BH162" s="59">
        <f t="shared" si="116"/>
        <v>757.99379735164837</v>
      </c>
      <c r="BI162" s="59">
        <f ca="1">AVERAGE(OFFSET($BH$3,0,0,'Données projet'!$E$11+1,1))-AVERAGE(OFFSET($H$3,0,0,'Données projet'!$E$11+1,1))</f>
        <v>195.02599095557656</v>
      </c>
      <c r="BJ162" s="59">
        <f t="shared" si="146"/>
        <v>201.41413798956927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9.3774086049330894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9.3774086049330894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139.77599999999998</v>
      </c>
      <c r="D163" s="11">
        <f t="shared" si="140"/>
        <v>36.245685459195286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1358.7638877551917</v>
      </c>
      <c r="H163" s="66">
        <f t="shared" si="110"/>
        <v>599.90443550809846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306.99999999999994</v>
      </c>
      <c r="O163" s="13">
        <f>N163*VLOOKUP('Données projet'!$B$9,Paramètres!$A$1:$I$89,3,0)*VLOOKUP('Données projet'!$B$9,Paramètres!$A$1:$I$89,5,0)</f>
        <v>258.61679999999996</v>
      </c>
      <c r="P163" s="13">
        <f t="shared" si="141"/>
        <v>62.427444141032439</v>
      </c>
      <c r="Q163" s="20">
        <f t="shared" si="162"/>
        <v>559.15205854563135</v>
      </c>
      <c r="R163" s="59">
        <f t="shared" si="109"/>
        <v>852.48539187896472</v>
      </c>
      <c r="S163" s="59">
        <f ca="1">AVERAGE(OFFSET($R$3,0,0,'Données projet'!$E$9+1,1))-AVERAGE(OFFSET($H$3,0,0,'Données projet'!$E$9+1,1))</f>
        <v>267.44861001389006</v>
      </c>
      <c r="T163" s="59">
        <f t="shared" si="142"/>
        <v>165.25921510802965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38.225185439449447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38.225185439449447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319</v>
      </c>
      <c r="AJ163" s="13">
        <f>AI163*VLOOKUP('Données projet'!$B$10,Paramètres!$A$1:$I$89,3,0)*VLOOKUP('Données projet'!$B$10,Paramètres!$A$1:$I$89,5,0)</f>
        <v>253.79640000000001</v>
      </c>
      <c r="AK163" s="13">
        <f t="shared" si="164"/>
        <v>61.39816832228076</v>
      </c>
      <c r="AL163" s="20">
        <f t="shared" si="165"/>
        <v>548.96387316130563</v>
      </c>
      <c r="AM163" s="59">
        <f t="shared" si="113"/>
        <v>842.29720649463889</v>
      </c>
      <c r="AN163" s="59">
        <f ca="1">AVERAGE(OFFSET($AM$3,0,0,'Données projet'!$E$10+1,1))-AVERAGE(OFFSET($H$3,0,0,'Données projet'!$E$10+1,1))</f>
        <v>244.70751760575268</v>
      </c>
      <c r="AO163" s="59">
        <f t="shared" si="144"/>
        <v>248.77995374147798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10.903946289164805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10.903946289164805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319</v>
      </c>
      <c r="BE163" s="13">
        <f>BD163*VLOOKUP('Données projet'!$B$11,Paramètres!$A$1:$I$89,3,0)*VLOOKUP('Données projet'!$B$11,Paramètres!$A$1:$I$89,5,0)</f>
        <v>213.98519999999999</v>
      </c>
      <c r="BF163" s="13">
        <f t="shared" si="167"/>
        <v>52.805497044008654</v>
      </c>
      <c r="BG163" s="20">
        <f t="shared" si="168"/>
        <v>464.66046401831505</v>
      </c>
      <c r="BH163" s="59">
        <f t="shared" si="116"/>
        <v>757.99379735164837</v>
      </c>
      <c r="BI163" s="59">
        <f ca="1">AVERAGE(OFFSET($BH$3,0,0,'Données projet'!$E$11+1,1))-AVERAGE(OFFSET($H$3,0,0,'Données projet'!$E$11+1,1))</f>
        <v>195.02599095557656</v>
      </c>
      <c r="BJ163" s="59">
        <f t="shared" si="146"/>
        <v>201.41413798956927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9.1935233418448323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9.1935233418448323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140.64959999999999</v>
      </c>
      <c r="D164" s="11">
        <f t="shared" si="140"/>
        <v>36.445779615258601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1367.0520531704171</v>
      </c>
      <c r="H164" s="66">
        <f t="shared" si="110"/>
        <v>601.77445282990868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306.99999999999994</v>
      </c>
      <c r="O164" s="13">
        <f>N164*VLOOKUP('Données projet'!$B$9,Paramètres!$A$1:$I$89,3,0)*VLOOKUP('Données projet'!$B$9,Paramètres!$A$1:$I$89,5,0)</f>
        <v>258.61679999999996</v>
      </c>
      <c r="P164" s="13">
        <f t="shared" si="141"/>
        <v>62.427444141032439</v>
      </c>
      <c r="Q164" s="20">
        <f t="shared" si="162"/>
        <v>559.15205854563135</v>
      </c>
      <c r="R164" s="59">
        <f t="shared" si="109"/>
        <v>852.48539187896472</v>
      </c>
      <c r="S164" s="59">
        <f ca="1">AVERAGE(OFFSET($R$3,0,0,'Données projet'!$E$9+1,1))-AVERAGE(OFFSET($H$3,0,0,'Données projet'!$E$9+1,1))</f>
        <v>267.44861001389006</v>
      </c>
      <c r="T164" s="59">
        <f t="shared" si="142"/>
        <v>165.25921510802965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37.475612868042788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37.475612868042788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319</v>
      </c>
      <c r="AJ164" s="13">
        <f>AI164*VLOOKUP('Données projet'!$B$10,Paramètres!$A$1:$I$89,3,0)*VLOOKUP('Données projet'!$B$10,Paramètres!$A$1:$I$89,5,0)</f>
        <v>253.79640000000001</v>
      </c>
      <c r="AK164" s="13">
        <f t="shared" si="164"/>
        <v>61.39816832228076</v>
      </c>
      <c r="AL164" s="20">
        <f t="shared" si="165"/>
        <v>548.96387316130563</v>
      </c>
      <c r="AM164" s="59">
        <f t="shared" si="113"/>
        <v>842.29720649463889</v>
      </c>
      <c r="AN164" s="59">
        <f ca="1">AVERAGE(OFFSET($AM$3,0,0,'Données projet'!$E$10+1,1))-AVERAGE(OFFSET($H$3,0,0,'Données projet'!$E$10+1,1))</f>
        <v>244.70751760575268</v>
      </c>
      <c r="AO164" s="59">
        <f t="shared" si="144"/>
        <v>248.77995374147798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10.690126553184813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10.690126553184813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319</v>
      </c>
      <c r="BE164" s="13">
        <f>BD164*VLOOKUP('Données projet'!$B$11,Paramètres!$A$1:$I$89,3,0)*VLOOKUP('Données projet'!$B$11,Paramètres!$A$1:$I$89,5,0)</f>
        <v>213.98519999999999</v>
      </c>
      <c r="BF164" s="13">
        <f t="shared" si="167"/>
        <v>52.805497044008654</v>
      </c>
      <c r="BG164" s="20">
        <f t="shared" si="168"/>
        <v>464.66046401831505</v>
      </c>
      <c r="BH164" s="59">
        <f t="shared" si="116"/>
        <v>757.99379735164837</v>
      </c>
      <c r="BI164" s="59">
        <f ca="1">AVERAGE(OFFSET($BH$3,0,0,'Données projet'!$E$11+1,1))-AVERAGE(OFFSET($H$3,0,0,'Données projet'!$E$11+1,1))</f>
        <v>195.02599095557656</v>
      </c>
      <c r="BJ164" s="59">
        <f t="shared" si="146"/>
        <v>201.41413798956927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9.0132439566068001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9.0132439566068001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141.5232</v>
      </c>
      <c r="D165" s="11">
        <f t="shared" si="140"/>
        <v>36.645729158274158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1375.339102274397</v>
      </c>
      <c r="H165" s="66">
        <f t="shared" si="110"/>
        <v>603.64421828399406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306.99999999999994</v>
      </c>
      <c r="O165" s="13">
        <f>N165*VLOOKUP('Données projet'!$B$9,Paramètres!$A$1:$I$89,3,0)*VLOOKUP('Données projet'!$B$9,Paramètres!$A$1:$I$89,5,0)</f>
        <v>258.61679999999996</v>
      </c>
      <c r="P165" s="13">
        <f t="shared" si="141"/>
        <v>62.427444141032439</v>
      </c>
      <c r="Q165" s="20">
        <f t="shared" si="162"/>
        <v>559.15205854563135</v>
      </c>
      <c r="R165" s="59">
        <f t="shared" si="109"/>
        <v>852.48539187896472</v>
      </c>
      <c r="S165" s="59">
        <f ca="1">AVERAGE(OFFSET($R$3,0,0,'Données projet'!$E$9+1,1))-AVERAGE(OFFSET($H$3,0,0,'Données projet'!$E$9+1,1))</f>
        <v>267.44861001389006</v>
      </c>
      <c r="T165" s="59">
        <f t="shared" si="142"/>
        <v>165.25921510802965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36.740738957567288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36.740738957567288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319</v>
      </c>
      <c r="AJ165" s="13">
        <f>AI165*VLOOKUP('Données projet'!$B$10,Paramètres!$A$1:$I$89,3,0)*VLOOKUP('Données projet'!$B$10,Paramètres!$A$1:$I$89,5,0)</f>
        <v>253.79640000000001</v>
      </c>
      <c r="AK165" s="13">
        <f t="shared" si="164"/>
        <v>61.39816832228076</v>
      </c>
      <c r="AL165" s="20">
        <f t="shared" si="165"/>
        <v>548.96387316130563</v>
      </c>
      <c r="AM165" s="59">
        <f t="shared" si="113"/>
        <v>842.29720649463889</v>
      </c>
      <c r="AN165" s="59">
        <f ca="1">AVERAGE(OFFSET($AM$3,0,0,'Données projet'!$E$10+1,1))-AVERAGE(OFFSET($H$3,0,0,'Données projet'!$E$10+1,1))</f>
        <v>244.70751760575268</v>
      </c>
      <c r="AO165" s="59">
        <f t="shared" si="144"/>
        <v>248.77995374147798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10.480499691810227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10.480499691810227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319</v>
      </c>
      <c r="BE165" s="13">
        <f>BD165*VLOOKUP('Données projet'!$B$11,Paramètres!$A$1:$I$89,3,0)*VLOOKUP('Données projet'!$B$11,Paramètres!$A$1:$I$89,5,0)</f>
        <v>213.98519999999999</v>
      </c>
      <c r="BF165" s="13">
        <f t="shared" si="167"/>
        <v>52.805497044008654</v>
      </c>
      <c r="BG165" s="20">
        <f t="shared" si="168"/>
        <v>464.66046401831505</v>
      </c>
      <c r="BH165" s="59">
        <f t="shared" si="116"/>
        <v>757.99379735164837</v>
      </c>
      <c r="BI165" s="59">
        <f ca="1">AVERAGE(OFFSET($BH$3,0,0,'Données projet'!$E$11+1,1))-AVERAGE(OFFSET($H$3,0,0,'Données projet'!$E$11+1,1))</f>
        <v>195.02599095557656</v>
      </c>
      <c r="BJ165" s="59">
        <f t="shared" si="146"/>
        <v>201.41413798956927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8.8364997401537178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8.8364997401537178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142.39680000000001</v>
      </c>
      <c r="D166" s="11">
        <f t="shared" si="140"/>
        <v>36.845535084476985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1383.6250427573666</v>
      </c>
      <c r="H166" s="66">
        <f t="shared" si="110"/>
        <v>605.51373360546404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306.99999999999994</v>
      </c>
      <c r="O166" s="13">
        <f>N166*VLOOKUP('Données projet'!$B$9,Paramètres!$A$1:$I$89,3,0)*VLOOKUP('Données projet'!$B$9,Paramètres!$A$1:$I$89,5,0)</f>
        <v>258.61679999999996</v>
      </c>
      <c r="P166" s="13">
        <f t="shared" si="141"/>
        <v>62.427444141032439</v>
      </c>
      <c r="Q166" s="20">
        <f t="shared" si="162"/>
        <v>559.15205854563135</v>
      </c>
      <c r="R166" s="59">
        <f t="shared" si="109"/>
        <v>852.48539187896472</v>
      </c>
      <c r="S166" s="59">
        <f ca="1">AVERAGE(OFFSET($R$3,0,0,'Données projet'!$E$9+1,1))-AVERAGE(OFFSET($H$3,0,0,'Données projet'!$E$9+1,1))</f>
        <v>267.44861001389006</v>
      </c>
      <c r="T166" s="59">
        <f t="shared" si="142"/>
        <v>165.25921510802965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36.020275476247392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36.020275476247392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319</v>
      </c>
      <c r="AJ166" s="13">
        <f>AI166*VLOOKUP('Données projet'!$B$10,Paramètres!$A$1:$I$89,3,0)*VLOOKUP('Données projet'!$B$10,Paramètres!$A$1:$I$89,5,0)</f>
        <v>253.79640000000001</v>
      </c>
      <c r="AK166" s="13">
        <f t="shared" si="164"/>
        <v>61.39816832228076</v>
      </c>
      <c r="AL166" s="20">
        <f t="shared" si="165"/>
        <v>548.96387316130563</v>
      </c>
      <c r="AM166" s="59">
        <f t="shared" si="113"/>
        <v>842.29720649463889</v>
      </c>
      <c r="AN166" s="59">
        <f ca="1">AVERAGE(OFFSET($AM$3,0,0,'Données projet'!$E$10+1,1))-AVERAGE(OFFSET($H$3,0,0,'Données projet'!$E$10+1,1))</f>
        <v>244.70751760575268</v>
      </c>
      <c r="AO166" s="59">
        <f t="shared" si="144"/>
        <v>248.77995374147798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10.274983485327436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10.274983485327436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319</v>
      </c>
      <c r="BE166" s="13">
        <f>BD166*VLOOKUP('Données projet'!$B$11,Paramètres!$A$1:$I$89,3,0)*VLOOKUP('Données projet'!$B$11,Paramètres!$A$1:$I$89,5,0)</f>
        <v>213.98519999999999</v>
      </c>
      <c r="BF166" s="13">
        <f t="shared" si="167"/>
        <v>52.805497044008654</v>
      </c>
      <c r="BG166" s="20">
        <f t="shared" si="168"/>
        <v>464.66046401831505</v>
      </c>
      <c r="BH166" s="59">
        <f t="shared" si="116"/>
        <v>757.99379735164837</v>
      </c>
      <c r="BI166" s="59">
        <f ca="1">AVERAGE(OFFSET($BH$3,0,0,'Données projet'!$E$11+1,1))-AVERAGE(OFFSET($H$3,0,0,'Données projet'!$E$11+1,1))</f>
        <v>195.02599095557656</v>
      </c>
      <c r="BJ166" s="59">
        <f t="shared" si="146"/>
        <v>201.41413798956927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8.6632213699819527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8.6632213699819527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143.27040000000002</v>
      </c>
      <c r="D167" s="11">
        <f t="shared" si="140"/>
        <v>37.045198377171303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1391.9098822097437</v>
      </c>
      <c r="H167" s="66">
        <f t="shared" si="110"/>
        <v>607.38300050690668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306.99999999999994</v>
      </c>
      <c r="O167" s="13">
        <f>N167*VLOOKUP('Données projet'!$B$9,Paramètres!$A$1:$I$89,3,0)*VLOOKUP('Données projet'!$B$9,Paramètres!$A$1:$I$89,5,0)</f>
        <v>258.61679999999996</v>
      </c>
      <c r="P167" s="13">
        <f t="shared" si="141"/>
        <v>62.427444141032439</v>
      </c>
      <c r="Q167" s="20">
        <f t="shared" si="162"/>
        <v>559.15205854563135</v>
      </c>
      <c r="R167" s="59">
        <f t="shared" si="109"/>
        <v>852.48539187896472</v>
      </c>
      <c r="S167" s="59">
        <f ca="1">AVERAGE(OFFSET($R$3,0,0,'Données projet'!$E$9+1,1))-AVERAGE(OFFSET($H$3,0,0,'Données projet'!$E$9+1,1))</f>
        <v>267.44861001389006</v>
      </c>
      <c r="T167" s="59">
        <f t="shared" si="142"/>
        <v>165.25921510802965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35.313939844356845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35.313939844356845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319</v>
      </c>
      <c r="AJ167" s="13">
        <f>AI167*VLOOKUP('Données projet'!$B$10,Paramètres!$A$1:$I$89,3,0)*VLOOKUP('Données projet'!$B$10,Paramètres!$A$1:$I$89,5,0)</f>
        <v>253.79640000000001</v>
      </c>
      <c r="AK167" s="13">
        <f t="shared" si="164"/>
        <v>61.39816832228076</v>
      </c>
      <c r="AL167" s="20">
        <f t="shared" si="165"/>
        <v>548.96387316130563</v>
      </c>
      <c r="AM167" s="59">
        <f t="shared" si="113"/>
        <v>842.29720649463889</v>
      </c>
      <c r="AN167" s="59">
        <f ca="1">AVERAGE(OFFSET($AM$3,0,0,'Données projet'!$E$10+1,1))-AVERAGE(OFFSET($H$3,0,0,'Données projet'!$E$10+1,1))</f>
        <v>244.70751760575268</v>
      </c>
      <c r="AO167" s="59">
        <f t="shared" si="144"/>
        <v>248.77995374147798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10.073497326301265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10.073497326301265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319</v>
      </c>
      <c r="BE167" s="13">
        <f>BD167*VLOOKUP('Données projet'!$B$11,Paramètres!$A$1:$I$89,3,0)*VLOOKUP('Données projet'!$B$11,Paramètres!$A$1:$I$89,5,0)</f>
        <v>213.98519999999999</v>
      </c>
      <c r="BF167" s="13">
        <f t="shared" si="167"/>
        <v>52.805497044008654</v>
      </c>
      <c r="BG167" s="20">
        <f t="shared" si="168"/>
        <v>464.66046401831505</v>
      </c>
      <c r="BH167" s="59">
        <f t="shared" si="116"/>
        <v>757.99379735164837</v>
      </c>
      <c r="BI167" s="59">
        <f ca="1">AVERAGE(OFFSET($BH$3,0,0,'Données projet'!$E$11+1,1))-AVERAGE(OFFSET($H$3,0,0,'Données projet'!$E$11+1,1))</f>
        <v>195.02599095557656</v>
      </c>
      <c r="BJ167" s="59">
        <f t="shared" si="146"/>
        <v>201.41413798956927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8.4933408829598864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8.4933408829598864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144.14400000000003</v>
      </c>
      <c r="D168" s="11">
        <f t="shared" si="140"/>
        <v>37.244720006976252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1400.1936281240276</v>
      </c>
      <c r="H168" s="66">
        <f t="shared" si="110"/>
        <v>609.25202067881696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306.99999999999994</v>
      </c>
      <c r="O168" s="13">
        <f>N168*VLOOKUP('Données projet'!$B$9,Paramètres!$A$1:$I$89,3,0)*VLOOKUP('Données projet'!$B$9,Paramètres!$A$1:$I$89,5,0)</f>
        <v>258.61679999999996</v>
      </c>
      <c r="P168" s="13">
        <f t="shared" si="141"/>
        <v>62.427444141032439</v>
      </c>
      <c r="Q168" s="20">
        <f t="shared" si="162"/>
        <v>559.15205854563135</v>
      </c>
      <c r="R168" s="59">
        <f t="shared" si="109"/>
        <v>852.48539187896472</v>
      </c>
      <c r="S168" s="59">
        <f ca="1">AVERAGE(OFFSET($R$3,0,0,'Données projet'!$E$9+1,1))-AVERAGE(OFFSET($H$3,0,0,'Données projet'!$E$9+1,1))</f>
        <v>267.44861001389006</v>
      </c>
      <c r="T168" s="59">
        <f t="shared" si="142"/>
        <v>165.25921510802965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34.621455023385472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34.621455023385472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319</v>
      </c>
      <c r="AJ168" s="13">
        <f>AI168*VLOOKUP('Données projet'!$B$10,Paramètres!$A$1:$I$89,3,0)*VLOOKUP('Données projet'!$B$10,Paramètres!$A$1:$I$89,5,0)</f>
        <v>253.79640000000001</v>
      </c>
      <c r="AK168" s="13">
        <f t="shared" si="164"/>
        <v>61.39816832228076</v>
      </c>
      <c r="AL168" s="20">
        <f t="shared" si="165"/>
        <v>548.96387316130563</v>
      </c>
      <c r="AM168" s="59">
        <f t="shared" si="113"/>
        <v>842.29720649463889</v>
      </c>
      <c r="AN168" s="59">
        <f ca="1">AVERAGE(OFFSET($AM$3,0,0,'Données projet'!$E$10+1,1))-AVERAGE(OFFSET($H$3,0,0,'Données projet'!$E$10+1,1))</f>
        <v>244.70751760575268</v>
      </c>
      <c r="AO168" s="59">
        <f t="shared" si="144"/>
        <v>248.77995374147798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9.8759621879591748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9.8759621879591748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319</v>
      </c>
      <c r="BE168" s="13">
        <f>BD168*VLOOKUP('Données projet'!$B$11,Paramètres!$A$1:$I$89,3,0)*VLOOKUP('Données projet'!$B$11,Paramètres!$A$1:$I$89,5,0)</f>
        <v>213.98519999999999</v>
      </c>
      <c r="BF168" s="13">
        <f t="shared" si="167"/>
        <v>52.805497044008654</v>
      </c>
      <c r="BG168" s="20">
        <f t="shared" si="168"/>
        <v>464.66046401831505</v>
      </c>
      <c r="BH168" s="59">
        <f t="shared" si="116"/>
        <v>757.99379735164837</v>
      </c>
      <c r="BI168" s="59">
        <f ca="1">AVERAGE(OFFSET($BH$3,0,0,'Données projet'!$E$11+1,1))-AVERAGE(OFFSET($H$3,0,0,'Données projet'!$E$11+1,1))</f>
        <v>195.02599095557656</v>
      </c>
      <c r="BJ168" s="59">
        <f t="shared" si="146"/>
        <v>201.41413798956927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8.3267916486714562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8.3267916486714562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145.01760000000004</v>
      </c>
      <c r="D169" s="11">
        <f t="shared" si="140"/>
        <v>37.444100932065233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1408.4762878966442</v>
      </c>
      <c r="H169" s="66">
        <f t="shared" si="110"/>
        <v>611.12079579001363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306.99999999999994</v>
      </c>
      <c r="O169" s="13">
        <f>N169*VLOOKUP('Données projet'!$B$9,Paramètres!$A$1:$I$89,3,0)*VLOOKUP('Données projet'!$B$9,Paramètres!$A$1:$I$89,5,0)</f>
        <v>258.61679999999996</v>
      </c>
      <c r="P169" s="13">
        <f t="shared" si="141"/>
        <v>62.427444141032439</v>
      </c>
      <c r="Q169" s="20">
        <f t="shared" si="162"/>
        <v>559.15205854563135</v>
      </c>
      <c r="R169" s="59">
        <f t="shared" si="109"/>
        <v>852.48539187896472</v>
      </c>
      <c r="S169" s="59">
        <f ca="1">AVERAGE(OFFSET($R$3,0,0,'Données projet'!$E$9+1,1))-AVERAGE(OFFSET($H$3,0,0,'Données projet'!$E$9+1,1))</f>
        <v>267.44861001389006</v>
      </c>
      <c r="T169" s="59">
        <f t="shared" si="142"/>
        <v>165.25921510802965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33.942549407379317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33.942549407379317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319</v>
      </c>
      <c r="AJ169" s="13">
        <f>AI169*VLOOKUP('Données projet'!$B$10,Paramètres!$A$1:$I$89,3,0)*VLOOKUP('Données projet'!$B$10,Paramètres!$A$1:$I$89,5,0)</f>
        <v>253.79640000000001</v>
      </c>
      <c r="AK169" s="13">
        <f t="shared" si="164"/>
        <v>61.39816832228076</v>
      </c>
      <c r="AL169" s="20">
        <f t="shared" si="165"/>
        <v>548.96387316130563</v>
      </c>
      <c r="AM169" s="59">
        <f t="shared" si="113"/>
        <v>842.29720649463889</v>
      </c>
      <c r="AN169" s="59">
        <f ca="1">AVERAGE(OFFSET($AM$3,0,0,'Données projet'!$E$10+1,1))-AVERAGE(OFFSET($H$3,0,0,'Données projet'!$E$10+1,1))</f>
        <v>244.70751760575268</v>
      </c>
      <c r="AO169" s="59">
        <f t="shared" si="144"/>
        <v>248.77995374147798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9.6823005931954356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9.6823005931954356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319</v>
      </c>
      <c r="BE169" s="13">
        <f>BD169*VLOOKUP('Données projet'!$B$11,Paramètres!$A$1:$I$89,3,0)*VLOOKUP('Données projet'!$B$11,Paramètres!$A$1:$I$89,5,0)</f>
        <v>213.98519999999999</v>
      </c>
      <c r="BF169" s="13">
        <f t="shared" si="167"/>
        <v>52.805497044008654</v>
      </c>
      <c r="BG169" s="20">
        <f t="shared" si="168"/>
        <v>464.66046401831505</v>
      </c>
      <c r="BH169" s="59">
        <f t="shared" si="116"/>
        <v>757.99379735164837</v>
      </c>
      <c r="BI169" s="59">
        <f ca="1">AVERAGE(OFFSET($BH$3,0,0,'Données projet'!$E$11+1,1))-AVERAGE(OFFSET($H$3,0,0,'Données projet'!$E$11+1,1))</f>
        <v>195.02599095557656</v>
      </c>
      <c r="BJ169" s="59">
        <f t="shared" si="146"/>
        <v>201.41413798956927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8.1635083432824214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8.1635083432824214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145.89120000000005</v>
      </c>
      <c r="D170" s="11">
        <f t="shared" si="140"/>
        <v>37.643342098399685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1416.7578688297526</v>
      </c>
      <c r="H170" s="66">
        <f t="shared" si="110"/>
        <v>612.98932748804623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306.99999999999994</v>
      </c>
      <c r="O170" s="13">
        <f>N170*VLOOKUP('Données projet'!$B$9,Paramètres!$A$1:$I$89,3,0)*VLOOKUP('Données projet'!$B$9,Paramètres!$A$1:$I$89,5,0)</f>
        <v>258.61679999999996</v>
      </c>
      <c r="P170" s="13">
        <f t="shared" si="141"/>
        <v>62.427444141032439</v>
      </c>
      <c r="Q170" s="20">
        <f t="shared" si="162"/>
        <v>559.15205854563135</v>
      </c>
      <c r="R170" s="59">
        <f t="shared" si="109"/>
        <v>852.48539187896472</v>
      </c>
      <c r="S170" s="59">
        <f ca="1">AVERAGE(OFFSET($R$3,0,0,'Données projet'!$E$9+1,1))-AVERAGE(OFFSET($H$3,0,0,'Données projet'!$E$9+1,1))</f>
        <v>267.44861001389006</v>
      </c>
      <c r="T170" s="59">
        <f t="shared" si="142"/>
        <v>165.25921510802965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33.276956716411505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33.276956716411505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319</v>
      </c>
      <c r="AJ170" s="13">
        <f>AI170*VLOOKUP('Données projet'!$B$10,Paramètres!$A$1:$I$89,3,0)*VLOOKUP('Données projet'!$B$10,Paramètres!$A$1:$I$89,5,0)</f>
        <v>253.79640000000001</v>
      </c>
      <c r="AK170" s="13">
        <f t="shared" si="164"/>
        <v>61.39816832228076</v>
      </c>
      <c r="AL170" s="20">
        <f t="shared" si="165"/>
        <v>548.96387316130563</v>
      </c>
      <c r="AM170" s="59">
        <f t="shared" si="113"/>
        <v>842.29720649463889</v>
      </c>
      <c r="AN170" s="59">
        <f ca="1">AVERAGE(OFFSET($AM$3,0,0,'Données projet'!$E$10+1,1))-AVERAGE(OFFSET($H$3,0,0,'Données projet'!$E$10+1,1))</f>
        <v>244.70751760575268</v>
      </c>
      <c r="AO170" s="59">
        <f t="shared" si="144"/>
        <v>248.77995374147798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9.4924365841831033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9.4924365841831033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319</v>
      </c>
      <c r="BE170" s="13">
        <f>BD170*VLOOKUP('Données projet'!$B$11,Paramètres!$A$1:$I$89,3,0)*VLOOKUP('Données projet'!$B$11,Paramètres!$A$1:$I$89,5,0)</f>
        <v>213.98519999999999</v>
      </c>
      <c r="BF170" s="13">
        <f t="shared" si="167"/>
        <v>52.805497044008654</v>
      </c>
      <c r="BG170" s="20">
        <f t="shared" si="168"/>
        <v>464.66046401831505</v>
      </c>
      <c r="BH170" s="59">
        <f t="shared" si="116"/>
        <v>757.99379735164837</v>
      </c>
      <c r="BI170" s="59">
        <f ca="1">AVERAGE(OFFSET($BH$3,0,0,'Données projet'!$E$11+1,1))-AVERAGE(OFFSET($H$3,0,0,'Données projet'!$E$11+1,1))</f>
        <v>195.02599095557656</v>
      </c>
      <c r="BJ170" s="59">
        <f t="shared" si="146"/>
        <v>201.41413798956927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8.0034269239190827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8.0034269239190827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146.76480000000006</v>
      </c>
      <c r="D171" s="11">
        <f t="shared" si="140"/>
        <v>37.842444439956665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1425.0383781329995</v>
      </c>
      <c r="H171" s="66">
        <f t="shared" si="110"/>
        <v>614.85761739959128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306.99999999999994</v>
      </c>
      <c r="O171" s="13">
        <f>N171*VLOOKUP('Données projet'!$B$9,Paramètres!$A$1:$I$89,3,0)*VLOOKUP('Données projet'!$B$9,Paramètres!$A$1:$I$89,5,0)</f>
        <v>258.61679999999996</v>
      </c>
      <c r="P171" s="13">
        <f t="shared" si="141"/>
        <v>62.427444141032439</v>
      </c>
      <c r="Q171" s="20">
        <f t="shared" si="162"/>
        <v>559.15205854563135</v>
      </c>
      <c r="R171" s="59">
        <f t="shared" si="109"/>
        <v>852.48539187896472</v>
      </c>
      <c r="S171" s="59">
        <f ca="1">AVERAGE(OFFSET($R$3,0,0,'Données projet'!$E$9+1,1))-AVERAGE(OFFSET($H$3,0,0,'Données projet'!$E$9+1,1))</f>
        <v>267.44861001389006</v>
      </c>
      <c r="T171" s="59">
        <f t="shared" si="142"/>
        <v>165.25921510802965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32.624415892142117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32.624415892142117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319</v>
      </c>
      <c r="AJ171" s="13">
        <f>AI171*VLOOKUP('Données projet'!$B$10,Paramètres!$A$1:$I$89,3,0)*VLOOKUP('Données projet'!$B$10,Paramètres!$A$1:$I$89,5,0)</f>
        <v>253.79640000000001</v>
      </c>
      <c r="AK171" s="13">
        <f t="shared" si="164"/>
        <v>61.39816832228076</v>
      </c>
      <c r="AL171" s="20">
        <f t="shared" si="165"/>
        <v>548.96387316130563</v>
      </c>
      <c r="AM171" s="59">
        <f t="shared" si="113"/>
        <v>842.29720649463889</v>
      </c>
      <c r="AN171" s="59">
        <f ca="1">AVERAGE(OFFSET($AM$3,0,0,'Données projet'!$E$10+1,1))-AVERAGE(OFFSET($H$3,0,0,'Données projet'!$E$10+1,1))</f>
        <v>244.70751760575268</v>
      </c>
      <c r="AO171" s="59">
        <f t="shared" si="144"/>
        <v>248.77995374147798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9.3062956925818927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9.3062956925818927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319</v>
      </c>
      <c r="BE171" s="13">
        <f>BD171*VLOOKUP('Données projet'!$B$11,Paramètres!$A$1:$I$89,3,0)*VLOOKUP('Données projet'!$B$11,Paramètres!$A$1:$I$89,5,0)</f>
        <v>213.98519999999999</v>
      </c>
      <c r="BF171" s="13">
        <f t="shared" si="167"/>
        <v>52.805497044008654</v>
      </c>
      <c r="BG171" s="20">
        <f t="shared" si="168"/>
        <v>464.66046401831505</v>
      </c>
      <c r="BH171" s="59">
        <f t="shared" si="116"/>
        <v>757.99379735164837</v>
      </c>
      <c r="BI171" s="59">
        <f ca="1">AVERAGE(OFFSET($BH$3,0,0,'Données projet'!$E$11+1,1))-AVERAGE(OFFSET($H$3,0,0,'Données projet'!$E$11+1,1))</f>
        <v>195.02599095557656</v>
      </c>
      <c r="BJ171" s="59">
        <f t="shared" si="146"/>
        <v>201.41413798956927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7.8464846035494347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7.8464846035494347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147.63840000000008</v>
      </c>
      <c r="D172" s="11">
        <f t="shared" si="140"/>
        <v>38.04140887895133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1433.3178229252389</v>
      </c>
      <c r="H172" s="66">
        <f t="shared" si="110"/>
        <v>616.72566713084029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306.99999999999994</v>
      </c>
      <c r="O172" s="13">
        <f>N172*VLOOKUP('Données projet'!$B$9,Paramètres!$A$1:$I$89,3,0)*VLOOKUP('Données projet'!$B$9,Paramètres!$A$1:$I$89,5,0)</f>
        <v>258.61679999999996</v>
      </c>
      <c r="P172" s="13">
        <f t="shared" si="141"/>
        <v>62.427444141032439</v>
      </c>
      <c r="Q172" s="20">
        <f t="shared" si="162"/>
        <v>559.15205854563135</v>
      </c>
      <c r="R172" s="59">
        <f t="shared" si="109"/>
        <v>852.48539187896472</v>
      </c>
      <c r="S172" s="59">
        <f ca="1">AVERAGE(OFFSET($R$3,0,0,'Données projet'!$E$9+1,1))-AVERAGE(OFFSET($H$3,0,0,'Données projet'!$E$9+1,1))</f>
        <v>267.44861001389006</v>
      </c>
      <c r="T172" s="59">
        <f t="shared" si="142"/>
        <v>165.25921510802965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31.98467099542605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31.98467099542605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319</v>
      </c>
      <c r="AJ172" s="13">
        <f>AI172*VLOOKUP('Données projet'!$B$10,Paramètres!$A$1:$I$89,3,0)*VLOOKUP('Données projet'!$B$10,Paramètres!$A$1:$I$89,5,0)</f>
        <v>253.79640000000001</v>
      </c>
      <c r="AK172" s="13">
        <f t="shared" si="164"/>
        <v>61.39816832228076</v>
      </c>
      <c r="AL172" s="20">
        <f t="shared" si="165"/>
        <v>548.96387316130563</v>
      </c>
      <c r="AM172" s="59">
        <f t="shared" si="113"/>
        <v>842.29720649463889</v>
      </c>
      <c r="AN172" s="59">
        <f ca="1">AVERAGE(OFFSET($AM$3,0,0,'Données projet'!$E$10+1,1))-AVERAGE(OFFSET($H$3,0,0,'Données projet'!$E$10+1,1))</f>
        <v>244.70751760575268</v>
      </c>
      <c r="AO172" s="59">
        <f t="shared" si="144"/>
        <v>248.77995374147798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9.1238049103302483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9.1238049103302483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319</v>
      </c>
      <c r="BE172" s="13">
        <f>BD172*VLOOKUP('Données projet'!$B$11,Paramètres!$A$1:$I$89,3,0)*VLOOKUP('Données projet'!$B$11,Paramètres!$A$1:$I$89,5,0)</f>
        <v>213.98519999999999</v>
      </c>
      <c r="BF172" s="13">
        <f t="shared" si="167"/>
        <v>52.805497044008654</v>
      </c>
      <c r="BG172" s="20">
        <f t="shared" si="168"/>
        <v>464.66046401831505</v>
      </c>
      <c r="BH172" s="59">
        <f t="shared" si="116"/>
        <v>757.99379735164837</v>
      </c>
      <c r="BI172" s="59">
        <f ca="1">AVERAGE(OFFSET($BH$3,0,0,'Données projet'!$E$11+1,1))-AVERAGE(OFFSET($H$3,0,0,'Données projet'!$E$11+1,1))</f>
        <v>195.02599095557656</v>
      </c>
      <c r="BJ172" s="59">
        <f t="shared" si="146"/>
        <v>201.41413798956927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7.6926198263568715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7.6926198263568715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148.51200000000009</v>
      </c>
      <c r="D173" s="11">
        <f t="shared" si="140"/>
        <v>38.240236326053541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1441.5962102362037</v>
      </c>
      <c r="H173" s="66">
        <f t="shared" si="110"/>
        <v>618.59347826787666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306.99999999999994</v>
      </c>
      <c r="O173" s="13">
        <f>N173*VLOOKUP('Données projet'!$B$9,Paramètres!$A$1:$I$89,3,0)*VLOOKUP('Données projet'!$B$9,Paramètres!$A$1:$I$89,5,0)</f>
        <v>258.61679999999996</v>
      </c>
      <c r="P173" s="13">
        <f t="shared" si="141"/>
        <v>62.427444141032439</v>
      </c>
      <c r="Q173" s="20">
        <f t="shared" si="162"/>
        <v>559.15205854563135</v>
      </c>
      <c r="R173" s="59">
        <f t="shared" si="109"/>
        <v>852.48539187896472</v>
      </c>
      <c r="S173" s="59">
        <f ca="1">AVERAGE(OFFSET($R$3,0,0,'Données projet'!$E$9+1,1))-AVERAGE(OFFSET($H$3,0,0,'Données projet'!$E$9+1,1))</f>
        <v>267.44861001389006</v>
      </c>
      <c r="T173" s="59">
        <f t="shared" si="142"/>
        <v>165.25921510802965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31.357471105928727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31.357471105928727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319</v>
      </c>
      <c r="AJ173" s="13">
        <f>AI173*VLOOKUP('Données projet'!$B$10,Paramètres!$A$1:$I$89,3,0)*VLOOKUP('Données projet'!$B$10,Paramètres!$A$1:$I$89,5,0)</f>
        <v>253.79640000000001</v>
      </c>
      <c r="AK173" s="13">
        <f t="shared" si="164"/>
        <v>61.39816832228076</v>
      </c>
      <c r="AL173" s="20">
        <f t="shared" si="165"/>
        <v>548.96387316130563</v>
      </c>
      <c r="AM173" s="59">
        <f t="shared" si="113"/>
        <v>842.29720649463889</v>
      </c>
      <c r="AN173" s="59">
        <f ca="1">AVERAGE(OFFSET($AM$3,0,0,'Données projet'!$E$10+1,1))-AVERAGE(OFFSET($H$3,0,0,'Données projet'!$E$10+1,1))</f>
        <v>244.70751760575268</v>
      </c>
      <c r="AO173" s="59">
        <f t="shared" si="144"/>
        <v>248.77995374147798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8.9448926610101722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8.9448926610101722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319</v>
      </c>
      <c r="BE173" s="13">
        <f>BD173*VLOOKUP('Données projet'!$B$11,Paramètres!$A$1:$I$89,3,0)*VLOOKUP('Données projet'!$B$11,Paramètres!$A$1:$I$89,5,0)</f>
        <v>213.98519999999999</v>
      </c>
      <c r="BF173" s="13">
        <f t="shared" si="167"/>
        <v>52.805497044008654</v>
      </c>
      <c r="BG173" s="20">
        <f t="shared" si="168"/>
        <v>464.66046401831505</v>
      </c>
      <c r="BH173" s="59">
        <f t="shared" si="116"/>
        <v>757.99379735164837</v>
      </c>
      <c r="BI173" s="59">
        <f ca="1">AVERAGE(OFFSET($BH$3,0,0,'Données projet'!$E$11+1,1))-AVERAGE(OFFSET($H$3,0,0,'Données projet'!$E$11+1,1))</f>
        <v>195.02599095557656</v>
      </c>
      <c r="BJ173" s="59">
        <f t="shared" si="146"/>
        <v>201.41413798956927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7.5417722435968075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7.5417722435968075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149.3856000000001</v>
      </c>
      <c r="D174" s="11">
        <f t="shared" si="140"/>
        <v>38.438927680599626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1449.8735470081381</v>
      </c>
      <c r="H174" s="66">
        <f t="shared" si="110"/>
        <v>620.46105237704444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306.99999999999994</v>
      </c>
      <c r="O174" s="13">
        <f>N174*VLOOKUP('Données projet'!$B$9,Paramètres!$A$1:$I$89,3,0)*VLOOKUP('Données projet'!$B$9,Paramètres!$A$1:$I$89,5,0)</f>
        <v>258.61679999999996</v>
      </c>
      <c r="P174" s="13">
        <f t="shared" si="141"/>
        <v>62.427444141032439</v>
      </c>
      <c r="Q174" s="20">
        <f t="shared" si="162"/>
        <v>559.15205854563135</v>
      </c>
      <c r="R174" s="59">
        <f t="shared" si="109"/>
        <v>852.48539187896472</v>
      </c>
      <c r="S174" s="59">
        <f ca="1">AVERAGE(OFFSET($R$3,0,0,'Données projet'!$E$9+1,1))-AVERAGE(OFFSET($H$3,0,0,'Données projet'!$E$9+1,1))</f>
        <v>267.44861001389006</v>
      </c>
      <c r="T174" s="59">
        <f t="shared" si="142"/>
        <v>165.25921510802965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30.742570223710288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30.742570223710288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319</v>
      </c>
      <c r="AJ174" s="13">
        <f>AI174*VLOOKUP('Données projet'!$B$10,Paramètres!$A$1:$I$89,3,0)*VLOOKUP('Données projet'!$B$10,Paramètres!$A$1:$I$89,5,0)</f>
        <v>253.79640000000001</v>
      </c>
      <c r="AK174" s="13">
        <f t="shared" si="164"/>
        <v>61.39816832228076</v>
      </c>
      <c r="AL174" s="20">
        <f t="shared" si="165"/>
        <v>548.96387316130563</v>
      </c>
      <c r="AM174" s="59">
        <f t="shared" si="113"/>
        <v>842.29720649463889</v>
      </c>
      <c r="AN174" s="59">
        <f ca="1">AVERAGE(OFFSET($AM$3,0,0,'Données projet'!$E$10+1,1))-AVERAGE(OFFSET($H$3,0,0,'Données projet'!$E$10+1,1))</f>
        <v>244.70751760575268</v>
      </c>
      <c r="AO174" s="59">
        <f t="shared" si="144"/>
        <v>248.77995374147798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8.7694887717735668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8.7694887717735668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319</v>
      </c>
      <c r="BE174" s="13">
        <f>BD174*VLOOKUP('Données projet'!$B$11,Paramètres!$A$1:$I$89,3,0)*VLOOKUP('Données projet'!$B$11,Paramètres!$A$1:$I$89,5,0)</f>
        <v>213.98519999999999</v>
      </c>
      <c r="BF174" s="13">
        <f t="shared" si="167"/>
        <v>52.805497044008654</v>
      </c>
      <c r="BG174" s="20">
        <f t="shared" si="168"/>
        <v>464.66046401831505</v>
      </c>
      <c r="BH174" s="59">
        <f t="shared" si="116"/>
        <v>757.99379735164837</v>
      </c>
      <c r="BI174" s="59">
        <f ca="1">AVERAGE(OFFSET($BH$3,0,0,'Données projet'!$E$11+1,1))-AVERAGE(OFFSET($H$3,0,0,'Données projet'!$E$11+1,1))</f>
        <v>195.02599095557656</v>
      </c>
      <c r="BJ174" s="59">
        <f t="shared" si="146"/>
        <v>201.41413798956927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7.3938826899267278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7.3938826899267278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150.25920000000011</v>
      </c>
      <c r="D175" s="11">
        <f t="shared" si="140"/>
        <v>38.637483830798757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1458.1498400973944</v>
      </c>
      <c r="H175" s="66">
        <f t="shared" si="110"/>
        <v>622.32839100530805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306.99999999999994</v>
      </c>
      <c r="O175" s="13">
        <f>N175*VLOOKUP('Données projet'!$B$9,Paramètres!$A$1:$I$89,3,0)*VLOOKUP('Données projet'!$B$9,Paramètres!$A$1:$I$89,5,0)</f>
        <v>258.61679999999996</v>
      </c>
      <c r="P175" s="13">
        <f t="shared" si="141"/>
        <v>62.427444141032439</v>
      </c>
      <c r="Q175" s="20">
        <f t="shared" si="162"/>
        <v>559.15205854563135</v>
      </c>
      <c r="R175" s="59">
        <f t="shared" si="109"/>
        <v>852.48539187896472</v>
      </c>
      <c r="S175" s="59">
        <f ca="1">AVERAGE(OFFSET($R$3,0,0,'Données projet'!$E$9+1,1))-AVERAGE(OFFSET($H$3,0,0,'Données projet'!$E$9+1,1))</f>
        <v>267.44861001389006</v>
      </c>
      <c r="T175" s="59">
        <f t="shared" si="142"/>
        <v>165.25921510802965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30.139727172739647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30.139727172739647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319</v>
      </c>
      <c r="AJ175" s="13">
        <f>AI175*VLOOKUP('Données projet'!$B$10,Paramètres!$A$1:$I$89,3,0)*VLOOKUP('Données projet'!$B$10,Paramètres!$A$1:$I$89,5,0)</f>
        <v>253.79640000000001</v>
      </c>
      <c r="AK175" s="13">
        <f t="shared" si="164"/>
        <v>61.39816832228076</v>
      </c>
      <c r="AL175" s="20">
        <f t="shared" si="165"/>
        <v>548.96387316130563</v>
      </c>
      <c r="AM175" s="59">
        <f t="shared" si="113"/>
        <v>842.29720649463889</v>
      </c>
      <c r="AN175" s="59">
        <f ca="1">AVERAGE(OFFSET($AM$3,0,0,'Données projet'!$E$10+1,1))-AVERAGE(OFFSET($H$3,0,0,'Données projet'!$E$10+1,1))</f>
        <v>244.70751760575268</v>
      </c>
      <c r="AO175" s="59">
        <f t="shared" si="144"/>
        <v>248.77995374147798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8.5975244458190812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8.5975244458190812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319</v>
      </c>
      <c r="BE175" s="13">
        <f>BD175*VLOOKUP('Données projet'!$B$11,Paramètres!$A$1:$I$89,3,0)*VLOOKUP('Données projet'!$B$11,Paramètres!$A$1:$I$89,5,0)</f>
        <v>213.98519999999999</v>
      </c>
      <c r="BF175" s="13">
        <f t="shared" si="167"/>
        <v>52.805497044008654</v>
      </c>
      <c r="BG175" s="20">
        <f t="shared" si="168"/>
        <v>464.66046401831505</v>
      </c>
      <c r="BH175" s="59">
        <f t="shared" si="116"/>
        <v>757.99379735164837</v>
      </c>
      <c r="BI175" s="59">
        <f ca="1">AVERAGE(OFFSET($BH$3,0,0,'Données projet'!$E$11+1,1))-AVERAGE(OFFSET($H$3,0,0,'Données projet'!$E$11+1,1))</f>
        <v>195.02599095557656</v>
      </c>
      <c r="BJ175" s="59">
        <f t="shared" si="146"/>
        <v>201.41413798956927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7.2488931602003976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7.2488931602003976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151.13280000000012</v>
      </c>
      <c r="D176" s="11">
        <f t="shared" si="140"/>
        <v>38.835905653934461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1466.4250962759863</v>
      </c>
      <c r="H176" s="66">
        <f t="shared" si="110"/>
        <v>624.19549568060279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306.99999999999994</v>
      </c>
      <c r="O176" s="13">
        <f>N176*VLOOKUP('Données projet'!$B$9,Paramètres!$A$1:$I$89,3,0)*VLOOKUP('Données projet'!$B$9,Paramètres!$A$1:$I$89,5,0)</f>
        <v>258.61679999999996</v>
      </c>
      <c r="P176" s="13">
        <f t="shared" si="141"/>
        <v>62.427444141032439</v>
      </c>
      <c r="Q176" s="20">
        <f t="shared" si="162"/>
        <v>559.15205854563135</v>
      </c>
      <c r="R176" s="59">
        <f t="shared" si="109"/>
        <v>852.48539187896472</v>
      </c>
      <c r="S176" s="59">
        <f ca="1">AVERAGE(OFFSET($R$3,0,0,'Données projet'!$E$9+1,1))-AVERAGE(OFFSET($H$3,0,0,'Données projet'!$E$9+1,1))</f>
        <v>267.44861001389006</v>
      </c>
      <c r="T176" s="59">
        <f t="shared" si="142"/>
        <v>165.25921510802965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29.548705506300585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29.548705506300585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319</v>
      </c>
      <c r="AJ176" s="13">
        <f>AI176*VLOOKUP('Données projet'!$B$10,Paramètres!$A$1:$I$89,3,0)*VLOOKUP('Données projet'!$B$10,Paramètres!$A$1:$I$89,5,0)</f>
        <v>253.79640000000001</v>
      </c>
      <c r="AK176" s="13">
        <f t="shared" si="164"/>
        <v>61.39816832228076</v>
      </c>
      <c r="AL176" s="20">
        <f t="shared" si="165"/>
        <v>548.96387316130563</v>
      </c>
      <c r="AM176" s="59">
        <f t="shared" si="113"/>
        <v>842.29720649463889</v>
      </c>
      <c r="AN176" s="59">
        <f ca="1">AVERAGE(OFFSET($AM$3,0,0,'Données projet'!$E$10+1,1))-AVERAGE(OFFSET($H$3,0,0,'Données projet'!$E$10+1,1))</f>
        <v>244.70751760575268</v>
      </c>
      <c r="AO176" s="59">
        <f t="shared" si="144"/>
        <v>248.77995374147798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8.4289322354086824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8.4289322354086824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319</v>
      </c>
      <c r="BE176" s="13">
        <f>BD176*VLOOKUP('Données projet'!$B$11,Paramètres!$A$1:$I$89,3,0)*VLOOKUP('Données projet'!$B$11,Paramètres!$A$1:$I$89,5,0)</f>
        <v>213.98519999999999</v>
      </c>
      <c r="BF176" s="13">
        <f t="shared" si="167"/>
        <v>52.805497044008654</v>
      </c>
      <c r="BG176" s="20">
        <f t="shared" si="168"/>
        <v>464.66046401831505</v>
      </c>
      <c r="BH176" s="59">
        <f t="shared" si="116"/>
        <v>757.99379735164837</v>
      </c>
      <c r="BI176" s="59">
        <f ca="1">AVERAGE(OFFSET($BH$3,0,0,'Données projet'!$E$11+1,1))-AVERAGE(OFFSET($H$3,0,0,'Données projet'!$E$11+1,1))</f>
        <v>195.02599095557656</v>
      </c>
      <c r="BJ176" s="59">
        <f t="shared" si="146"/>
        <v>201.41413798956927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7.1067467867171201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7.1067467867171201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152.00640000000013</v>
      </c>
      <c r="D177" s="11">
        <f t="shared" si="140"/>
        <v>39.034194016561486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1474.6993222331073</v>
      </c>
      <c r="H177" s="66">
        <f t="shared" si="110"/>
        <v>626.06236791217816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306.99999999999994</v>
      </c>
      <c r="O177" s="13">
        <f>N177*VLOOKUP('Données projet'!$B$9,Paramètres!$A$1:$I$89,3,0)*VLOOKUP('Données projet'!$B$9,Paramètres!$A$1:$I$89,5,0)</f>
        <v>258.61679999999996</v>
      </c>
      <c r="P177" s="13">
        <f t="shared" si="141"/>
        <v>62.427444141032439</v>
      </c>
      <c r="Q177" s="20">
        <f t="shared" si="162"/>
        <v>559.15205854563135</v>
      </c>
      <c r="R177" s="59">
        <f t="shared" si="109"/>
        <v>852.48539187896472</v>
      </c>
      <c r="S177" s="59">
        <f ca="1">AVERAGE(OFFSET($R$3,0,0,'Données projet'!$E$9+1,1))-AVERAGE(OFFSET($H$3,0,0,'Données projet'!$E$9+1,1))</f>
        <v>267.44861001389006</v>
      </c>
      <c r="T177" s="59">
        <f t="shared" si="142"/>
        <v>165.25921510802965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28.969273414252772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28.969273414252772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319</v>
      </c>
      <c r="AJ177" s="13">
        <f>AI177*VLOOKUP('Données projet'!$B$10,Paramètres!$A$1:$I$89,3,0)*VLOOKUP('Données projet'!$B$10,Paramètres!$A$1:$I$89,5,0)</f>
        <v>253.79640000000001</v>
      </c>
      <c r="AK177" s="13">
        <f t="shared" si="164"/>
        <v>61.39816832228076</v>
      </c>
      <c r="AL177" s="20">
        <f t="shared" si="165"/>
        <v>548.96387316130563</v>
      </c>
      <c r="AM177" s="59">
        <f t="shared" si="113"/>
        <v>842.29720649463889</v>
      </c>
      <c r="AN177" s="59">
        <f ca="1">AVERAGE(OFFSET($AM$3,0,0,'Données projet'!$E$10+1,1))-AVERAGE(OFFSET($H$3,0,0,'Données projet'!$E$10+1,1))</f>
        <v>244.70751760575268</v>
      </c>
      <c r="AO177" s="59">
        <f t="shared" si="144"/>
        <v>248.77995374147798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8.263646015413336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8.263646015413336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319</v>
      </c>
      <c r="BE177" s="13">
        <f>BD177*VLOOKUP('Données projet'!$B$11,Paramètres!$A$1:$I$89,3,0)*VLOOKUP('Données projet'!$B$11,Paramètres!$A$1:$I$89,5,0)</f>
        <v>213.98519999999999</v>
      </c>
      <c r="BF177" s="13">
        <f t="shared" si="167"/>
        <v>52.805497044008654</v>
      </c>
      <c r="BG177" s="20">
        <f t="shared" si="168"/>
        <v>464.66046401831505</v>
      </c>
      <c r="BH177" s="59">
        <f t="shared" si="116"/>
        <v>757.99379735164837</v>
      </c>
      <c r="BI177" s="59">
        <f ca="1">AVERAGE(OFFSET($BH$3,0,0,'Données projet'!$E$11+1,1))-AVERAGE(OFFSET($H$3,0,0,'Données projet'!$E$11+1,1))</f>
        <v>195.02599095557656</v>
      </c>
      <c r="BJ177" s="59">
        <f t="shared" si="146"/>
        <v>201.41413798956927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6.9673878169171228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6.9673878169171228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152.88000000000014</v>
      </c>
      <c r="D178" s="11">
        <f t="shared" si="140"/>
        <v>39.232349774697887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1482.9725245766165</v>
      </c>
      <c r="H178" s="66">
        <f t="shared" si="110"/>
        <v>627.92900919093245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306.99999999999994</v>
      </c>
      <c r="O178" s="13">
        <f>N178*VLOOKUP('Données projet'!$B$9,Paramètres!$A$1:$I$89,3,0)*VLOOKUP('Données projet'!$B$9,Paramètres!$A$1:$I$89,5,0)</f>
        <v>258.61679999999996</v>
      </c>
      <c r="P178" s="13">
        <f t="shared" si="141"/>
        <v>62.427444141032439</v>
      </c>
      <c r="Q178" s="20">
        <f t="shared" si="162"/>
        <v>559.15205854563135</v>
      </c>
      <c r="R178" s="59">
        <f t="shared" si="109"/>
        <v>852.48539187896472</v>
      </c>
      <c r="S178" s="59">
        <f ca="1">AVERAGE(OFFSET($R$3,0,0,'Données projet'!$E$9+1,1))-AVERAGE(OFFSET($H$3,0,0,'Données projet'!$E$9+1,1))</f>
        <v>267.44861001389006</v>
      </c>
      <c r="T178" s="59">
        <f t="shared" si="142"/>
        <v>165.25921510802965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28.40120363211134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28.40120363211134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319</v>
      </c>
      <c r="AJ178" s="13">
        <f>AI178*VLOOKUP('Données projet'!$B$10,Paramètres!$A$1:$I$89,3,0)*VLOOKUP('Données projet'!$B$10,Paramètres!$A$1:$I$89,5,0)</f>
        <v>253.79640000000001</v>
      </c>
      <c r="AK178" s="13">
        <f t="shared" si="164"/>
        <v>61.39816832228076</v>
      </c>
      <c r="AL178" s="20">
        <f t="shared" si="165"/>
        <v>548.96387316130563</v>
      </c>
      <c r="AM178" s="59">
        <f t="shared" si="113"/>
        <v>842.29720649463889</v>
      </c>
      <c r="AN178" s="59">
        <f ca="1">AVERAGE(OFFSET($AM$3,0,0,'Données projet'!$E$10+1,1))-AVERAGE(OFFSET($H$3,0,0,'Données projet'!$E$10+1,1))</f>
        <v>244.70751760575268</v>
      </c>
      <c r="AO178" s="59">
        <f t="shared" si="144"/>
        <v>248.77995374147798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8.1016009573774586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8.1016009573774586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319</v>
      </c>
      <c r="BE178" s="13">
        <f>BD178*VLOOKUP('Données projet'!$B$11,Paramètres!$A$1:$I$89,3,0)*VLOOKUP('Données projet'!$B$11,Paramètres!$A$1:$I$89,5,0)</f>
        <v>213.98519999999999</v>
      </c>
      <c r="BF178" s="13">
        <f t="shared" si="167"/>
        <v>52.805497044008654</v>
      </c>
      <c r="BG178" s="20">
        <f t="shared" si="168"/>
        <v>464.66046401831505</v>
      </c>
      <c r="BH178" s="59">
        <f t="shared" si="116"/>
        <v>757.99379735164837</v>
      </c>
      <c r="BI178" s="59">
        <f ca="1">AVERAGE(OFFSET($BH$3,0,0,'Données projet'!$E$11+1,1))-AVERAGE(OFFSET($H$3,0,0,'Données projet'!$E$11+1,1))</f>
        <v>195.02599095557656</v>
      </c>
      <c r="BJ178" s="59">
        <f t="shared" si="146"/>
        <v>201.41413798956927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6.8307615915143245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6.8307615915143245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153.75360000000015</v>
      </c>
      <c r="D179" s="11">
        <f t="shared" si="140"/>
        <v>39.430373774012395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1491.2447098344828</v>
      </c>
      <c r="H179" s="66">
        <f t="shared" si="110"/>
        <v>629.79542098973843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306.99999999999994</v>
      </c>
      <c r="O179" s="13">
        <f>N179*VLOOKUP('Données projet'!$B$9,Paramètres!$A$1:$I$89,3,0)*VLOOKUP('Données projet'!$B$9,Paramètres!$A$1:$I$89,5,0)</f>
        <v>258.61679999999996</v>
      </c>
      <c r="P179" s="13">
        <f t="shared" si="141"/>
        <v>62.427444141032439</v>
      </c>
      <c r="Q179" s="20">
        <f t="shared" si="162"/>
        <v>559.15205854563135</v>
      </c>
      <c r="R179" s="59">
        <f t="shared" si="109"/>
        <v>852.48539187896472</v>
      </c>
      <c r="S179" s="59">
        <f ca="1">AVERAGE(OFFSET($R$3,0,0,'Données projet'!$E$9+1,1))-AVERAGE(OFFSET($H$3,0,0,'Données projet'!$E$9+1,1))</f>
        <v>267.44861001389006</v>
      </c>
      <c r="T179" s="59">
        <f t="shared" si="142"/>
        <v>165.25921510802965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27.844273351909347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27.844273351909347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319</v>
      </c>
      <c r="AJ179" s="13">
        <f>AI179*VLOOKUP('Données projet'!$B$10,Paramètres!$A$1:$I$89,3,0)*VLOOKUP('Données projet'!$B$10,Paramètres!$A$1:$I$89,5,0)</f>
        <v>253.79640000000001</v>
      </c>
      <c r="AK179" s="13">
        <f t="shared" si="164"/>
        <v>61.39816832228076</v>
      </c>
      <c r="AL179" s="20">
        <f t="shared" si="165"/>
        <v>548.96387316130563</v>
      </c>
      <c r="AM179" s="59">
        <f t="shared" si="113"/>
        <v>842.29720649463889</v>
      </c>
      <c r="AN179" s="59">
        <f ca="1">AVERAGE(OFFSET($AM$3,0,0,'Données projet'!$E$10+1,1))-AVERAGE(OFFSET($H$3,0,0,'Données projet'!$E$10+1,1))</f>
        <v>244.70751760575268</v>
      </c>
      <c r="AO179" s="59">
        <f t="shared" si="144"/>
        <v>248.77995374147798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7.9427335040919393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7.9427335040919393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319</v>
      </c>
      <c r="BE179" s="13">
        <f>BD179*VLOOKUP('Données projet'!$B$11,Paramètres!$A$1:$I$89,3,0)*VLOOKUP('Données projet'!$B$11,Paramètres!$A$1:$I$89,5,0)</f>
        <v>213.98519999999999</v>
      </c>
      <c r="BF179" s="13">
        <f t="shared" si="167"/>
        <v>52.805497044008654</v>
      </c>
      <c r="BG179" s="20">
        <f t="shared" si="168"/>
        <v>464.66046401831505</v>
      </c>
      <c r="BH179" s="59">
        <f t="shared" si="116"/>
        <v>757.99379735164837</v>
      </c>
      <c r="BI179" s="59">
        <f ca="1">AVERAGE(OFFSET($BH$3,0,0,'Données projet'!$E$11+1,1))-AVERAGE(OFFSET($H$3,0,0,'Données projet'!$E$11+1,1))</f>
        <v>195.02599095557656</v>
      </c>
      <c r="BJ179" s="59">
        <f t="shared" si="146"/>
        <v>201.41413798956927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6.6968145230579061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6.6968145230579061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154.62720000000016</v>
      </c>
      <c r="D180" s="11">
        <f t="shared" si="140"/>
        <v>39.628266850007975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1499.5158844562031</v>
      </c>
      <c r="H180" s="66">
        <f t="shared" si="110"/>
        <v>631.6616047637641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306.99999999999994</v>
      </c>
      <c r="O180" s="13">
        <f>N180*VLOOKUP('Données projet'!$B$9,Paramètres!$A$1:$I$89,3,0)*VLOOKUP('Données projet'!$B$9,Paramètres!$A$1:$I$89,5,0)</f>
        <v>258.61679999999996</v>
      </c>
      <c r="P180" s="13">
        <f t="shared" si="141"/>
        <v>62.427444141032439</v>
      </c>
      <c r="Q180" s="20">
        <f t="shared" si="162"/>
        <v>559.15205854563135</v>
      </c>
      <c r="R180" s="59">
        <f t="shared" si="109"/>
        <v>852.48539187896472</v>
      </c>
      <c r="S180" s="59">
        <f ca="1">AVERAGE(OFFSET($R$3,0,0,'Données projet'!$E$9+1,1))-AVERAGE(OFFSET($H$3,0,0,'Données projet'!$E$9+1,1))</f>
        <v>267.44861001389006</v>
      </c>
      <c r="T180" s="59">
        <f t="shared" si="142"/>
        <v>165.25921510802965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27.298264134808186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27.298264134808186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319</v>
      </c>
      <c r="AJ180" s="13">
        <f>AI180*VLOOKUP('Données projet'!$B$10,Paramètres!$A$1:$I$89,3,0)*VLOOKUP('Données projet'!$B$10,Paramètres!$A$1:$I$89,5,0)</f>
        <v>253.79640000000001</v>
      </c>
      <c r="AK180" s="13">
        <f t="shared" si="164"/>
        <v>61.39816832228076</v>
      </c>
      <c r="AL180" s="20">
        <f t="shared" si="165"/>
        <v>548.96387316130563</v>
      </c>
      <c r="AM180" s="59">
        <f t="shared" si="113"/>
        <v>842.29720649463889</v>
      </c>
      <c r="AN180" s="59">
        <f ca="1">AVERAGE(OFFSET($AM$3,0,0,'Données projet'!$E$10+1,1))-AVERAGE(OFFSET($H$3,0,0,'Données projet'!$E$10+1,1))</f>
        <v>244.70751760575268</v>
      </c>
      <c r="AO180" s="59">
        <f t="shared" si="144"/>
        <v>248.77995374147798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7.7869813446657705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7.7869813446657705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319</v>
      </c>
      <c r="BE180" s="13">
        <f>BD180*VLOOKUP('Données projet'!$B$11,Paramètres!$A$1:$I$89,3,0)*VLOOKUP('Données projet'!$B$11,Paramètres!$A$1:$I$89,5,0)</f>
        <v>213.98519999999999</v>
      </c>
      <c r="BF180" s="13">
        <f t="shared" si="167"/>
        <v>52.805497044008654</v>
      </c>
      <c r="BG180" s="20">
        <f t="shared" si="168"/>
        <v>464.66046401831505</v>
      </c>
      <c r="BH180" s="59">
        <f t="shared" si="116"/>
        <v>757.99379735164837</v>
      </c>
      <c r="BI180" s="59">
        <f ca="1">AVERAGE(OFFSET($BH$3,0,0,'Données projet'!$E$11+1,1))-AVERAGE(OFFSET($H$3,0,0,'Données projet'!$E$11+1,1))</f>
        <v>195.02599095557656</v>
      </c>
      <c r="BJ180" s="59">
        <f t="shared" si="146"/>
        <v>201.41413798956927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6.5654940749142741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6.5654940749142741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155.50080000000017</v>
      </c>
      <c r="D181" s="11">
        <f t="shared" si="140"/>
        <v>39.826029828200369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1507.7860548141798</v>
      </c>
      <c r="H181" s="66">
        <f t="shared" si="110"/>
        <v>633.52756195078257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306.99999999999994</v>
      </c>
      <c r="O181" s="13">
        <f>N181*VLOOKUP('Données projet'!$B$9,Paramètres!$A$1:$I$89,3,0)*VLOOKUP('Données projet'!$B$9,Paramètres!$A$1:$I$89,5,0)</f>
        <v>258.61679999999996</v>
      </c>
      <c r="P181" s="13">
        <f t="shared" si="141"/>
        <v>62.427444141032439</v>
      </c>
      <c r="Q181" s="20">
        <f t="shared" si="162"/>
        <v>559.15205854563135</v>
      </c>
      <c r="R181" s="59">
        <f t="shared" si="109"/>
        <v>852.48539187896472</v>
      </c>
      <c r="S181" s="59">
        <f ca="1">AVERAGE(OFFSET($R$3,0,0,'Données projet'!$E$9+1,1))-AVERAGE(OFFSET($H$3,0,0,'Données projet'!$E$9+1,1))</f>
        <v>267.44861001389006</v>
      </c>
      <c r="T181" s="59">
        <f t="shared" si="142"/>
        <v>165.25921510802965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26.762961825421637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26.762961825421637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319</v>
      </c>
      <c r="AJ181" s="13">
        <f>AI181*VLOOKUP('Données projet'!$B$10,Paramètres!$A$1:$I$89,3,0)*VLOOKUP('Données projet'!$B$10,Paramètres!$A$1:$I$89,5,0)</f>
        <v>253.79640000000001</v>
      </c>
      <c r="AK181" s="13">
        <f t="shared" si="164"/>
        <v>61.39816832228076</v>
      </c>
      <c r="AL181" s="20">
        <f t="shared" si="165"/>
        <v>548.96387316130563</v>
      </c>
      <c r="AM181" s="59">
        <f t="shared" si="113"/>
        <v>842.29720649463889</v>
      </c>
      <c r="AN181" s="59">
        <f ca="1">AVERAGE(OFFSET($AM$3,0,0,'Données projet'!$E$10+1,1))-AVERAGE(OFFSET($H$3,0,0,'Données projet'!$E$10+1,1))</f>
        <v>244.70751760575268</v>
      </c>
      <c r="AO181" s="59">
        <f t="shared" si="144"/>
        <v>248.77995374147798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7.6342833900865124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7.6342833900865124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319</v>
      </c>
      <c r="BE181" s="13">
        <f>BD181*VLOOKUP('Données projet'!$B$11,Paramètres!$A$1:$I$89,3,0)*VLOOKUP('Données projet'!$B$11,Paramètres!$A$1:$I$89,5,0)</f>
        <v>213.98519999999999</v>
      </c>
      <c r="BF181" s="13">
        <f t="shared" si="167"/>
        <v>52.805497044008654</v>
      </c>
      <c r="BG181" s="20">
        <f t="shared" si="168"/>
        <v>464.66046401831505</v>
      </c>
      <c r="BH181" s="59">
        <f t="shared" si="116"/>
        <v>757.99379735164837</v>
      </c>
      <c r="BI181" s="59">
        <f ca="1">AVERAGE(OFFSET($BH$3,0,0,'Données projet'!$E$11+1,1))-AVERAGE(OFFSET($H$3,0,0,'Données projet'!$E$11+1,1))</f>
        <v>195.02599095557656</v>
      </c>
      <c r="BJ181" s="59">
        <f t="shared" si="146"/>
        <v>201.41413798956927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6.4367487406611739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6.4367487406611739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156.37440000000018</v>
      </c>
      <c r="D182" s="11">
        <f t="shared" si="140"/>
        <v>40.023663524293241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1516.055227205072</v>
      </c>
      <c r="H182" s="66">
        <f t="shared" si="110"/>
        <v>635.39329397147765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306.99999999999994</v>
      </c>
      <c r="O182" s="13">
        <f>N182*VLOOKUP('Données projet'!$B$9,Paramètres!$A$1:$I$89,3,0)*VLOOKUP('Données projet'!$B$9,Paramètres!$A$1:$I$89,5,0)</f>
        <v>258.61679999999996</v>
      </c>
      <c r="P182" s="13">
        <f t="shared" si="141"/>
        <v>62.427444141032439</v>
      </c>
      <c r="Q182" s="20">
        <f t="shared" si="162"/>
        <v>559.15205854563135</v>
      </c>
      <c r="R182" s="59">
        <f t="shared" si="109"/>
        <v>852.48539187896472</v>
      </c>
      <c r="S182" s="59">
        <f ca="1">AVERAGE(OFFSET($R$3,0,0,'Données projet'!$E$9+1,1))-AVERAGE(OFFSET($H$3,0,0,'Données projet'!$E$9+1,1))</f>
        <v>267.44861001389006</v>
      </c>
      <c r="T182" s="59">
        <f t="shared" si="142"/>
        <v>165.25921510802965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26.238156467819991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26.238156467819991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319</v>
      </c>
      <c r="AJ182" s="13">
        <f>AI182*VLOOKUP('Données projet'!$B$10,Paramètres!$A$1:$I$89,3,0)*VLOOKUP('Données projet'!$B$10,Paramètres!$A$1:$I$89,5,0)</f>
        <v>253.79640000000001</v>
      </c>
      <c r="AK182" s="13">
        <f t="shared" si="164"/>
        <v>61.39816832228076</v>
      </c>
      <c r="AL182" s="20">
        <f t="shared" si="165"/>
        <v>548.96387316130563</v>
      </c>
      <c r="AM182" s="59">
        <f t="shared" si="113"/>
        <v>842.29720649463889</v>
      </c>
      <c r="AN182" s="59">
        <f ca="1">AVERAGE(OFFSET($AM$3,0,0,'Données projet'!$E$10+1,1))-AVERAGE(OFFSET($H$3,0,0,'Données projet'!$E$10+1,1))</f>
        <v>244.70751760575268</v>
      </c>
      <c r="AO182" s="59">
        <f t="shared" si="144"/>
        <v>248.77995374147798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7.4845797492599973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7.4845797492599973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319</v>
      </c>
      <c r="BE182" s="13">
        <f>BD182*VLOOKUP('Données projet'!$B$11,Paramètres!$A$1:$I$89,3,0)*VLOOKUP('Données projet'!$B$11,Paramètres!$A$1:$I$89,5,0)</f>
        <v>213.98519999999999</v>
      </c>
      <c r="BF182" s="13">
        <f t="shared" si="167"/>
        <v>52.805497044008654</v>
      </c>
      <c r="BG182" s="20">
        <f t="shared" si="168"/>
        <v>464.66046401831505</v>
      </c>
      <c r="BH182" s="59">
        <f t="shared" si="116"/>
        <v>757.99379735164837</v>
      </c>
      <c r="BI182" s="59">
        <f ca="1">AVERAGE(OFFSET($BH$3,0,0,'Données projet'!$E$11+1,1))-AVERAGE(OFFSET($H$3,0,0,'Données projet'!$E$11+1,1))</f>
        <v>195.02599095557656</v>
      </c>
      <c r="BJ182" s="59">
        <f t="shared" si="146"/>
        <v>201.41413798956927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6.310528023885877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6.310528023885877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157.24800000000019</v>
      </c>
      <c r="D183" s="11">
        <f t="shared" si="140"/>
        <v>40.221168744348681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1524.3234078511143</v>
      </c>
      <c r="H183" s="66">
        <f t="shared" si="110"/>
        <v>637.25880222974092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306.99999999999994</v>
      </c>
      <c r="O183" s="13">
        <f>N183*VLOOKUP('Données projet'!$B$9,Paramètres!$A$1:$I$89,3,0)*VLOOKUP('Données projet'!$B$9,Paramètres!$A$1:$I$89,5,0)</f>
        <v>258.61679999999996</v>
      </c>
      <c r="P183" s="13">
        <f t="shared" si="141"/>
        <v>62.427444141032439</v>
      </c>
      <c r="Q183" s="20">
        <f t="shared" si="162"/>
        <v>559.15205854563135</v>
      </c>
      <c r="R183" s="59">
        <f t="shared" si="109"/>
        <v>852.48539187896472</v>
      </c>
      <c r="S183" s="59">
        <f ca="1">AVERAGE(OFFSET($R$3,0,0,'Données projet'!$E$9+1,1))-AVERAGE(OFFSET($H$3,0,0,'Données projet'!$E$9+1,1))</f>
        <v>267.44861001389006</v>
      </c>
      <c r="T183" s="59">
        <f t="shared" si="142"/>
        <v>165.25921510802965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25.723642223181251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25.723642223181251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319</v>
      </c>
      <c r="AJ183" s="13">
        <f>AI183*VLOOKUP('Données projet'!$B$10,Paramètres!$A$1:$I$89,3,0)*VLOOKUP('Données projet'!$B$10,Paramètres!$A$1:$I$89,5,0)</f>
        <v>253.79640000000001</v>
      </c>
      <c r="AK183" s="13">
        <f t="shared" si="164"/>
        <v>61.39816832228076</v>
      </c>
      <c r="AL183" s="20">
        <f t="shared" si="165"/>
        <v>548.96387316130563</v>
      </c>
      <c r="AM183" s="59">
        <f t="shared" si="113"/>
        <v>842.29720649463889</v>
      </c>
      <c r="AN183" s="59">
        <f ca="1">AVERAGE(OFFSET($AM$3,0,0,'Données projet'!$E$10+1,1))-AVERAGE(OFFSET($H$3,0,0,'Données projet'!$E$10+1,1))</f>
        <v>244.70751760575268</v>
      </c>
      <c r="AO183" s="59">
        <f t="shared" si="144"/>
        <v>248.77995374147798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7.3378117055198855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7.3378117055198855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319</v>
      </c>
      <c r="BE183" s="13">
        <f>BD183*VLOOKUP('Données projet'!$B$11,Paramètres!$A$1:$I$89,3,0)*VLOOKUP('Données projet'!$B$11,Paramètres!$A$1:$I$89,5,0)</f>
        <v>213.98519999999999</v>
      </c>
      <c r="BF183" s="13">
        <f t="shared" si="167"/>
        <v>52.805497044008654</v>
      </c>
      <c r="BG183" s="20">
        <f t="shared" si="168"/>
        <v>464.66046401831505</v>
      </c>
      <c r="BH183" s="59">
        <f t="shared" si="116"/>
        <v>757.99379735164837</v>
      </c>
      <c r="BI183" s="59">
        <f ca="1">AVERAGE(OFFSET($BH$3,0,0,'Données projet'!$E$11+1,1))-AVERAGE(OFFSET($H$3,0,0,'Données projet'!$E$11+1,1))</f>
        <v>195.02599095557656</v>
      </c>
      <c r="BJ183" s="59">
        <f t="shared" si="146"/>
        <v>201.41413798956927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6.1867824183795079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6.1867824183795079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158.1216000000002</v>
      </c>
      <c r="D184" s="11">
        <f t="shared" si="140"/>
        <v>40.418546284954282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1532.5906029014031</v>
      </c>
      <c r="H184" s="66">
        <f t="shared" si="110"/>
        <v>639.12408811296234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306.99999999999994</v>
      </c>
      <c r="O184" s="13">
        <f>N184*VLOOKUP('Données projet'!$B$9,Paramètres!$A$1:$I$89,3,0)*VLOOKUP('Données projet'!$B$9,Paramètres!$A$1:$I$89,5,0)</f>
        <v>258.61679999999996</v>
      </c>
      <c r="P184" s="13">
        <f t="shared" si="141"/>
        <v>62.427444141032439</v>
      </c>
      <c r="Q184" s="20">
        <f t="shared" si="162"/>
        <v>559.15205854563135</v>
      </c>
      <c r="R184" s="59">
        <f t="shared" si="109"/>
        <v>852.48539187896472</v>
      </c>
      <c r="S184" s="59">
        <f ca="1">AVERAGE(OFFSET($R$3,0,0,'Données projet'!$E$9+1,1))-AVERAGE(OFFSET($H$3,0,0,'Données projet'!$E$9+1,1))</f>
        <v>267.44861001389006</v>
      </c>
      <c r="T184" s="59">
        <f t="shared" si="142"/>
        <v>165.25921510802965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25.219217289057177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25.219217289057177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319</v>
      </c>
      <c r="AJ184" s="13">
        <f>AI184*VLOOKUP('Données projet'!$B$10,Paramètres!$A$1:$I$89,3,0)*VLOOKUP('Données projet'!$B$10,Paramètres!$A$1:$I$89,5,0)</f>
        <v>253.79640000000001</v>
      </c>
      <c r="AK184" s="13">
        <f t="shared" si="164"/>
        <v>61.39816832228076</v>
      </c>
      <c r="AL184" s="20">
        <f t="shared" si="165"/>
        <v>548.96387316130563</v>
      </c>
      <c r="AM184" s="59">
        <f t="shared" si="113"/>
        <v>842.29720649463889</v>
      </c>
      <c r="AN184" s="59">
        <f ca="1">AVERAGE(OFFSET($AM$3,0,0,'Données projet'!$E$10+1,1))-AVERAGE(OFFSET($H$3,0,0,'Données projet'!$E$10+1,1))</f>
        <v>244.70751760575268</v>
      </c>
      <c r="AO184" s="59">
        <f t="shared" si="144"/>
        <v>248.77995374147798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7.1939216935978498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7.1939216935978498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319</v>
      </c>
      <c r="BE184" s="13">
        <f>BD184*VLOOKUP('Données projet'!$B$11,Paramètres!$A$1:$I$89,3,0)*VLOOKUP('Données projet'!$B$11,Paramètres!$A$1:$I$89,5,0)</f>
        <v>213.98519999999999</v>
      </c>
      <c r="BF184" s="13">
        <f t="shared" si="167"/>
        <v>52.805497044008654</v>
      </c>
      <c r="BG184" s="20">
        <f t="shared" si="168"/>
        <v>464.66046401831505</v>
      </c>
      <c r="BH184" s="59">
        <f t="shared" si="116"/>
        <v>757.99379735164837</v>
      </c>
      <c r="BI184" s="59">
        <f ca="1">AVERAGE(OFFSET($BH$3,0,0,'Données projet'!$E$11+1,1))-AVERAGE(OFFSET($H$3,0,0,'Données projet'!$E$11+1,1))</f>
        <v>195.02599095557656</v>
      </c>
      <c r="BJ184" s="59">
        <f t="shared" si="146"/>
        <v>201.41413798956927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6.0654633887197527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6.0654633887197527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158.99520000000021</v>
      </c>
      <c r="D185" s="11">
        <f t="shared" si="140"/>
        <v>40.615796933386079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1540.8568184331573</v>
      </c>
      <c r="H185" s="66">
        <f t="shared" si="110"/>
        <v>640.9891529923143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306.99999999999994</v>
      </c>
      <c r="O185" s="13">
        <f>N185*VLOOKUP('Données projet'!$B$9,Paramètres!$A$1:$I$89,3,0)*VLOOKUP('Données projet'!$B$9,Paramètres!$A$1:$I$89,5,0)</f>
        <v>258.61679999999996</v>
      </c>
      <c r="P185" s="13">
        <f t="shared" si="141"/>
        <v>62.427444141032439</v>
      </c>
      <c r="Q185" s="20">
        <f t="shared" si="162"/>
        <v>559.15205854563135</v>
      </c>
      <c r="R185" s="59">
        <f t="shared" si="109"/>
        <v>852.48539187896472</v>
      </c>
      <c r="S185" s="59">
        <f ca="1">AVERAGE(OFFSET($R$3,0,0,'Données projet'!$E$9+1,1))-AVERAGE(OFFSET($H$3,0,0,'Données projet'!$E$9+1,1))</f>
        <v>267.44861001389006</v>
      </c>
      <c r="T185" s="59">
        <f t="shared" si="142"/>
        <v>165.25921510802965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24.724683820222445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24.724683820222445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319</v>
      </c>
      <c r="AJ185" s="13">
        <f>AI185*VLOOKUP('Données projet'!$B$10,Paramètres!$A$1:$I$89,3,0)*VLOOKUP('Données projet'!$B$10,Paramètres!$A$1:$I$89,5,0)</f>
        <v>253.79640000000001</v>
      </c>
      <c r="AK185" s="13">
        <f t="shared" si="164"/>
        <v>61.39816832228076</v>
      </c>
      <c r="AL185" s="20">
        <f t="shared" si="165"/>
        <v>548.96387316130563</v>
      </c>
      <c r="AM185" s="59">
        <f t="shared" si="113"/>
        <v>842.29720649463889</v>
      </c>
      <c r="AN185" s="59">
        <f ca="1">AVERAGE(OFFSET($AM$3,0,0,'Données projet'!$E$10+1,1))-AVERAGE(OFFSET($H$3,0,0,'Données projet'!$E$10+1,1))</f>
        <v>244.70751760575268</v>
      </c>
      <c r="AO185" s="59">
        <f t="shared" si="144"/>
        <v>248.77995374147798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7.0528532770453642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7.0528532770453642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319</v>
      </c>
      <c r="BE185" s="13">
        <f>BD185*VLOOKUP('Données projet'!$B$11,Paramètres!$A$1:$I$89,3,0)*VLOOKUP('Données projet'!$B$11,Paramètres!$A$1:$I$89,5,0)</f>
        <v>213.98519999999999</v>
      </c>
      <c r="BF185" s="13">
        <f t="shared" si="167"/>
        <v>52.805497044008654</v>
      </c>
      <c r="BG185" s="20">
        <f t="shared" si="168"/>
        <v>464.66046401831505</v>
      </c>
      <c r="BH185" s="59">
        <f t="shared" si="116"/>
        <v>757.99379735164837</v>
      </c>
      <c r="BI185" s="59">
        <f ca="1">AVERAGE(OFFSET($BH$3,0,0,'Données projet'!$E$11+1,1))-AVERAGE(OFFSET($H$3,0,0,'Données projet'!$E$11+1,1))</f>
        <v>195.02599095557656</v>
      </c>
      <c r="BJ185" s="59">
        <f t="shared" si="146"/>
        <v>201.41413798956927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5.9465233512343234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5.9465233512343234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159.86880000000022</v>
      </c>
      <c r="D186" s="11">
        <f t="shared" si="140"/>
        <v>40.812921467768071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1549.1220604529483</v>
      </c>
      <c r="H186" s="66">
        <f t="shared" si="110"/>
        <v>642.85399822302975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306.99999999999994</v>
      </c>
      <c r="O186" s="13">
        <f>N186*VLOOKUP('Données projet'!$B$9,Paramètres!$A$1:$I$89,3,0)*VLOOKUP('Données projet'!$B$9,Paramètres!$A$1:$I$89,5,0)</f>
        <v>258.61679999999996</v>
      </c>
      <c r="P186" s="13">
        <f t="shared" si="141"/>
        <v>62.427444141032439</v>
      </c>
      <c r="Q186" s="20">
        <f t="shared" si="162"/>
        <v>559.15205854563135</v>
      </c>
      <c r="R186" s="59">
        <f t="shared" si="109"/>
        <v>852.48539187896472</v>
      </c>
      <c r="S186" s="59">
        <f ca="1">AVERAGE(OFFSET($R$3,0,0,'Données projet'!$E$9+1,1))-AVERAGE(OFFSET($H$3,0,0,'Données projet'!$E$9+1,1))</f>
        <v>267.44861001389006</v>
      </c>
      <c r="T186" s="59">
        <f t="shared" si="142"/>
        <v>165.25921510802965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24.239847851075933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24.239847851075933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319</v>
      </c>
      <c r="AJ186" s="13">
        <f>AI186*VLOOKUP('Données projet'!$B$10,Paramètres!$A$1:$I$89,3,0)*VLOOKUP('Données projet'!$B$10,Paramètres!$A$1:$I$89,5,0)</f>
        <v>253.79640000000001</v>
      </c>
      <c r="AK186" s="13">
        <f t="shared" si="164"/>
        <v>61.39816832228076</v>
      </c>
      <c r="AL186" s="20">
        <f t="shared" si="165"/>
        <v>548.96387316130563</v>
      </c>
      <c r="AM186" s="59">
        <f t="shared" si="113"/>
        <v>842.29720649463889</v>
      </c>
      <c r="AN186" s="59">
        <f ca="1">AVERAGE(OFFSET($AM$3,0,0,'Données projet'!$E$10+1,1))-AVERAGE(OFFSET($H$3,0,0,'Données projet'!$E$10+1,1))</f>
        <v>244.70751760575268</v>
      </c>
      <c r="AO186" s="59">
        <f t="shared" si="144"/>
        <v>248.77995374147798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6.9145511260982344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6.9145511260982344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319</v>
      </c>
      <c r="BE186" s="13">
        <f>BD186*VLOOKUP('Données projet'!$B$11,Paramètres!$A$1:$I$89,3,0)*VLOOKUP('Données projet'!$B$11,Paramètres!$A$1:$I$89,5,0)</f>
        <v>213.98519999999999</v>
      </c>
      <c r="BF186" s="13">
        <f t="shared" si="167"/>
        <v>52.805497044008654</v>
      </c>
      <c r="BG186" s="20">
        <f t="shared" si="168"/>
        <v>464.66046401831505</v>
      </c>
      <c r="BH186" s="59">
        <f t="shared" si="116"/>
        <v>757.99379735164837</v>
      </c>
      <c r="BI186" s="59">
        <f ca="1">AVERAGE(OFFSET($BH$3,0,0,'Données projet'!$E$11+1,1))-AVERAGE(OFFSET($H$3,0,0,'Données projet'!$E$11+1,1))</f>
        <v>195.02599095557656</v>
      </c>
      <c r="BJ186" s="59">
        <f t="shared" si="146"/>
        <v>201.41413798956927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5.8299156553377243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5.8299156553377243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160.74240000000023</v>
      </c>
      <c r="D187" s="11">
        <f t="shared" si="140"/>
        <v>41.00992065722788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1557.3863348979012</v>
      </c>
      <c r="H187" s="66">
        <f t="shared" si="110"/>
        <v>644.71862514467216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306.99999999999994</v>
      </c>
      <c r="O187" s="13">
        <f>N187*VLOOKUP('Données projet'!$B$9,Paramètres!$A$1:$I$89,3,0)*VLOOKUP('Données projet'!$B$9,Paramètres!$A$1:$I$89,5,0)</f>
        <v>258.61679999999996</v>
      </c>
      <c r="P187" s="13">
        <f t="shared" si="141"/>
        <v>62.427444141032439</v>
      </c>
      <c r="Q187" s="20">
        <f t="shared" si="162"/>
        <v>559.15205854563135</v>
      </c>
      <c r="R187" s="59">
        <f t="shared" si="109"/>
        <v>852.48539187896472</v>
      </c>
      <c r="S187" s="59">
        <f ca="1">AVERAGE(OFFSET($R$3,0,0,'Données projet'!$E$9+1,1))-AVERAGE(OFFSET($H$3,0,0,'Données projet'!$E$9+1,1))</f>
        <v>267.44861001389006</v>
      </c>
      <c r="T187" s="59">
        <f t="shared" si="142"/>
        <v>165.25921510802965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23.764519219563642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23.764519219563642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319</v>
      </c>
      <c r="AJ187" s="13">
        <f>AI187*VLOOKUP('Données projet'!$B$10,Paramètres!$A$1:$I$89,3,0)*VLOOKUP('Données projet'!$B$10,Paramètres!$A$1:$I$89,5,0)</f>
        <v>253.79640000000001</v>
      </c>
      <c r="AK187" s="13">
        <f t="shared" si="164"/>
        <v>61.39816832228076</v>
      </c>
      <c r="AL187" s="20">
        <f t="shared" si="165"/>
        <v>548.96387316130563</v>
      </c>
      <c r="AM187" s="59">
        <f t="shared" si="113"/>
        <v>842.29720649463889</v>
      </c>
      <c r="AN187" s="59">
        <f ca="1">AVERAGE(OFFSET($AM$3,0,0,'Données projet'!$E$10+1,1))-AVERAGE(OFFSET($H$3,0,0,'Données projet'!$E$10+1,1))</f>
        <v>244.70751760575268</v>
      </c>
      <c r="AO187" s="59">
        <f t="shared" si="144"/>
        <v>248.77995374147798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6.7789609959751953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6.7789609959751953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319</v>
      </c>
      <c r="BE187" s="13">
        <f>BD187*VLOOKUP('Données projet'!$B$11,Paramètres!$A$1:$I$89,3,0)*VLOOKUP('Données projet'!$B$11,Paramètres!$A$1:$I$89,5,0)</f>
        <v>213.98519999999999</v>
      </c>
      <c r="BF187" s="13">
        <f t="shared" si="167"/>
        <v>52.805497044008654</v>
      </c>
      <c r="BG187" s="20">
        <f t="shared" si="168"/>
        <v>464.66046401831505</v>
      </c>
      <c r="BH187" s="59">
        <f t="shared" si="116"/>
        <v>757.99379735164837</v>
      </c>
      <c r="BI187" s="59">
        <f ca="1">AVERAGE(OFFSET($BH$3,0,0,'Données projet'!$E$11+1,1))-AVERAGE(OFFSET($H$3,0,0,'Données projet'!$E$11+1,1))</f>
        <v>195.02599095557656</v>
      </c>
      <c r="BJ187" s="59">
        <f t="shared" si="146"/>
        <v>201.41413798956927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5.7155945652339852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5.7155945652339852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161.61600000000024</v>
      </c>
      <c r="D188" s="11">
        <f t="shared" si="140"/>
        <v>41.206795262049248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1565.6496476368732</v>
      </c>
      <c r="H188" s="66">
        <f t="shared" si="110"/>
        <v>646.58303508140284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306.99999999999994</v>
      </c>
      <c r="O188" s="13">
        <f>N188*VLOOKUP('Données projet'!$B$9,Paramètres!$A$1:$I$89,3,0)*VLOOKUP('Données projet'!$B$9,Paramètres!$A$1:$I$89,5,0)</f>
        <v>258.61679999999996</v>
      </c>
      <c r="P188" s="13">
        <f t="shared" si="141"/>
        <v>62.427444141032439</v>
      </c>
      <c r="Q188" s="20">
        <f t="shared" si="162"/>
        <v>559.15205854563135</v>
      </c>
      <c r="R188" s="59">
        <f t="shared" si="109"/>
        <v>852.48539187896472</v>
      </c>
      <c r="S188" s="59">
        <f ca="1">AVERAGE(OFFSET($R$3,0,0,'Données projet'!$E$9+1,1))-AVERAGE(OFFSET($H$3,0,0,'Données projet'!$E$9+1,1))</f>
        <v>267.44861001389006</v>
      </c>
      <c r="T188" s="59">
        <f t="shared" si="142"/>
        <v>165.25921510802965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23.29851149259347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23.29851149259347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319</v>
      </c>
      <c r="AJ188" s="13">
        <f>AI188*VLOOKUP('Données projet'!$B$10,Paramètres!$A$1:$I$89,3,0)*VLOOKUP('Données projet'!$B$10,Paramètres!$A$1:$I$89,5,0)</f>
        <v>253.79640000000001</v>
      </c>
      <c r="AK188" s="13">
        <f t="shared" si="164"/>
        <v>61.39816832228076</v>
      </c>
      <c r="AL188" s="20">
        <f t="shared" si="165"/>
        <v>548.96387316130563</v>
      </c>
      <c r="AM188" s="59">
        <f t="shared" si="113"/>
        <v>842.29720649463889</v>
      </c>
      <c r="AN188" s="59">
        <f ca="1">AVERAGE(OFFSET($AM$3,0,0,'Données projet'!$E$10+1,1))-AVERAGE(OFFSET($H$3,0,0,'Données projet'!$E$10+1,1))</f>
        <v>244.70751760575268</v>
      </c>
      <c r="AO188" s="59">
        <f t="shared" si="144"/>
        <v>248.77995374147798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6.6460297056020554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6.6460297056020554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319</v>
      </c>
      <c r="BE188" s="13">
        <f>BD188*VLOOKUP('Données projet'!$B$11,Paramètres!$A$1:$I$89,3,0)*VLOOKUP('Données projet'!$B$11,Paramètres!$A$1:$I$89,5,0)</f>
        <v>213.98519999999999</v>
      </c>
      <c r="BF188" s="13">
        <f t="shared" si="167"/>
        <v>52.805497044008654</v>
      </c>
      <c r="BG188" s="20">
        <f t="shared" si="168"/>
        <v>464.66046401831505</v>
      </c>
      <c r="BH188" s="59">
        <f t="shared" si="116"/>
        <v>757.99379735164837</v>
      </c>
      <c r="BI188" s="59">
        <f ca="1">AVERAGE(OFFSET($BH$3,0,0,'Données projet'!$E$11+1,1))-AVERAGE(OFFSET($H$3,0,0,'Données projet'!$E$11+1,1))</f>
        <v>195.02599095557656</v>
      </c>
      <c r="BJ188" s="59">
        <f t="shared" si="146"/>
        <v>201.41413798956927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5.6035152419782008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5.6035152419782008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162.48960000000025</v>
      </c>
      <c r="D189" s="11">
        <f t="shared" si="140"/>
        <v>41.403546033820732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1573.9120044716008</v>
      </c>
      <c r="H189" s="66">
        <f t="shared" si="110"/>
        <v>648.44722934223819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306.99999999999994</v>
      </c>
      <c r="O189" s="13">
        <f>N189*VLOOKUP('Données projet'!$B$9,Paramètres!$A$1:$I$89,3,0)*VLOOKUP('Données projet'!$B$9,Paramètres!$A$1:$I$89,5,0)</f>
        <v>258.61679999999996</v>
      </c>
      <c r="P189" s="13">
        <f t="shared" si="141"/>
        <v>62.427444141032439</v>
      </c>
      <c r="Q189" s="20">
        <f t="shared" si="162"/>
        <v>559.15205854563135</v>
      </c>
      <c r="R189" s="59">
        <f t="shared" si="109"/>
        <v>852.48539187896472</v>
      </c>
      <c r="S189" s="59">
        <f ca="1">AVERAGE(OFFSET($R$3,0,0,'Données projet'!$E$9+1,1))-AVERAGE(OFFSET($H$3,0,0,'Données projet'!$E$9+1,1))</f>
        <v>267.44861001389006</v>
      </c>
      <c r="T189" s="59">
        <f t="shared" si="142"/>
        <v>165.25921510802965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22.841641892912534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22.841641892912534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319</v>
      </c>
      <c r="AJ189" s="13">
        <f>AI189*VLOOKUP('Données projet'!$B$10,Paramètres!$A$1:$I$89,3,0)*VLOOKUP('Données projet'!$B$10,Paramètres!$A$1:$I$89,5,0)</f>
        <v>253.79640000000001</v>
      </c>
      <c r="AK189" s="13">
        <f t="shared" si="164"/>
        <v>61.39816832228076</v>
      </c>
      <c r="AL189" s="20">
        <f t="shared" si="165"/>
        <v>548.96387316130563</v>
      </c>
      <c r="AM189" s="59">
        <f t="shared" si="113"/>
        <v>842.29720649463889</v>
      </c>
      <c r="AN189" s="59">
        <f ca="1">AVERAGE(OFFSET($AM$3,0,0,'Données projet'!$E$10+1,1))-AVERAGE(OFFSET($H$3,0,0,'Données projet'!$E$10+1,1))</f>
        <v>244.70751760575268</v>
      </c>
      <c r="AO189" s="59">
        <f t="shared" si="144"/>
        <v>248.77995374147798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6.5157051167530522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6.5157051167530522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319</v>
      </c>
      <c r="BE189" s="13">
        <f>BD189*VLOOKUP('Données projet'!$B$11,Paramètres!$A$1:$I$89,3,0)*VLOOKUP('Données projet'!$B$11,Paramètres!$A$1:$I$89,5,0)</f>
        <v>213.98519999999999</v>
      </c>
      <c r="BF189" s="13">
        <f t="shared" si="167"/>
        <v>52.805497044008654</v>
      </c>
      <c r="BG189" s="20">
        <f t="shared" si="168"/>
        <v>464.66046401831505</v>
      </c>
      <c r="BH189" s="59">
        <f t="shared" si="116"/>
        <v>757.99379735164837</v>
      </c>
      <c r="BI189" s="59">
        <f ca="1">AVERAGE(OFFSET($BH$3,0,0,'Données projet'!$E$11+1,1))-AVERAGE(OFFSET($H$3,0,0,'Données projet'!$E$11+1,1))</f>
        <v>195.02599095557656</v>
      </c>
      <c r="BJ189" s="59">
        <f t="shared" si="146"/>
        <v>201.41413798956927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5.4936337258898256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5.4936337258898256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163.36320000000026</v>
      </c>
      <c r="D190" s="11">
        <f t="shared" si="140"/>
        <v>41.600173715581704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1582.1734111378257</v>
      </c>
      <c r="H190" s="66">
        <f t="shared" si="110"/>
        <v>650.31120922130515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306.99999999999994</v>
      </c>
      <c r="O190" s="13">
        <f>N190*VLOOKUP('Données projet'!$B$9,Paramètres!$A$1:$I$89,3,0)*VLOOKUP('Données projet'!$B$9,Paramètres!$A$1:$I$89,5,0)</f>
        <v>258.61679999999996</v>
      </c>
      <c r="P190" s="13">
        <f t="shared" si="141"/>
        <v>62.427444141032439</v>
      </c>
      <c r="Q190" s="20">
        <f t="shared" si="162"/>
        <v>559.15205854563135</v>
      </c>
      <c r="R190" s="59">
        <f t="shared" si="109"/>
        <v>852.48539187896472</v>
      </c>
      <c r="S190" s="59">
        <f ca="1">AVERAGE(OFFSET($R$3,0,0,'Données projet'!$E$9+1,1))-AVERAGE(OFFSET($H$3,0,0,'Données projet'!$E$9+1,1))</f>
        <v>267.44861001389006</v>
      </c>
      <c r="T190" s="59">
        <f t="shared" si="142"/>
        <v>165.25921510802965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22.393731227418399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22.393731227418399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319</v>
      </c>
      <c r="AJ190" s="13">
        <f>AI190*VLOOKUP('Données projet'!$B$10,Paramètres!$A$1:$I$89,3,0)*VLOOKUP('Données projet'!$B$10,Paramètres!$A$1:$I$89,5,0)</f>
        <v>253.79640000000001</v>
      </c>
      <c r="AK190" s="13">
        <f t="shared" si="164"/>
        <v>61.39816832228076</v>
      </c>
      <c r="AL190" s="20">
        <f t="shared" si="165"/>
        <v>548.96387316130563</v>
      </c>
      <c r="AM190" s="59">
        <f t="shared" si="113"/>
        <v>842.29720649463889</v>
      </c>
      <c r="AN190" s="59">
        <f ca="1">AVERAGE(OFFSET($AM$3,0,0,'Données projet'!$E$10+1,1))-AVERAGE(OFFSET($H$3,0,0,'Données projet'!$E$10+1,1))</f>
        <v>244.70751760575268</v>
      </c>
      <c r="AO190" s="59">
        <f t="shared" si="144"/>
        <v>248.77995374147798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6.3879361136012278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6.3879361136012278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319</v>
      </c>
      <c r="BE190" s="13">
        <f>BD190*VLOOKUP('Données projet'!$B$11,Paramètres!$A$1:$I$89,3,0)*VLOOKUP('Données projet'!$B$11,Paramètres!$A$1:$I$89,5,0)</f>
        <v>213.98519999999999</v>
      </c>
      <c r="BF190" s="13">
        <f t="shared" si="167"/>
        <v>52.805497044008654</v>
      </c>
      <c r="BG190" s="20">
        <f t="shared" si="168"/>
        <v>464.66046401831505</v>
      </c>
      <c r="BH190" s="59">
        <f t="shared" si="116"/>
        <v>757.99379735164837</v>
      </c>
      <c r="BI190" s="59">
        <f ca="1">AVERAGE(OFFSET($BH$3,0,0,'Données projet'!$E$11+1,1))-AVERAGE(OFFSET($H$3,0,0,'Données projet'!$E$11+1,1))</f>
        <v>195.02599095557656</v>
      </c>
      <c r="BJ190" s="59">
        <f t="shared" si="146"/>
        <v>201.41413798956927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5.3859069193108366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5.3859069193108366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164.23680000000027</v>
      </c>
      <c r="D191" s="11">
        <f t="shared" si="140"/>
        <v>41.796679041964389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1590.4338733063939</v>
      </c>
      <c r="H191" s="66">
        <f t="shared" si="110"/>
        <v>652.17497599808837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306.99999999999994</v>
      </c>
      <c r="O191" s="13">
        <f>N191*VLOOKUP('Données projet'!$B$9,Paramètres!$A$1:$I$89,3,0)*VLOOKUP('Données projet'!$B$9,Paramètres!$A$1:$I$89,5,0)</f>
        <v>258.61679999999996</v>
      </c>
      <c r="P191" s="13">
        <f t="shared" si="141"/>
        <v>62.427444141032439</v>
      </c>
      <c r="Q191" s="20">
        <f t="shared" si="162"/>
        <v>559.15205854563135</v>
      </c>
      <c r="R191" s="59">
        <f t="shared" si="109"/>
        <v>852.48539187896472</v>
      </c>
      <c r="S191" s="59">
        <f ca="1">AVERAGE(OFFSET($R$3,0,0,'Données projet'!$E$9+1,1))-AVERAGE(OFFSET($H$3,0,0,'Données projet'!$E$9+1,1))</f>
        <v>267.44861001389006</v>
      </c>
      <c r="T191" s="59">
        <f t="shared" si="142"/>
        <v>165.25921510802965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21.954603816876077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21.954603816876077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319</v>
      </c>
      <c r="AJ191" s="13">
        <f>AI191*VLOOKUP('Données projet'!$B$10,Paramètres!$A$1:$I$89,3,0)*VLOOKUP('Données projet'!$B$10,Paramètres!$A$1:$I$89,5,0)</f>
        <v>253.79640000000001</v>
      </c>
      <c r="AK191" s="13">
        <f t="shared" si="164"/>
        <v>61.39816832228076</v>
      </c>
      <c r="AL191" s="20">
        <f t="shared" si="165"/>
        <v>548.96387316130563</v>
      </c>
      <c r="AM191" s="59">
        <f t="shared" si="113"/>
        <v>842.29720649463889</v>
      </c>
      <c r="AN191" s="59">
        <f ca="1">AVERAGE(OFFSET($AM$3,0,0,'Données projet'!$E$10+1,1))-AVERAGE(OFFSET($H$3,0,0,'Données projet'!$E$10+1,1))</f>
        <v>244.70751760575268</v>
      </c>
      <c r="AO191" s="59">
        <f t="shared" si="144"/>
        <v>248.77995374147798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6.262672582669814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6.262672582669814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319</v>
      </c>
      <c r="BE191" s="13">
        <f>BD191*VLOOKUP('Données projet'!$B$11,Paramètres!$A$1:$I$89,3,0)*VLOOKUP('Données projet'!$B$11,Paramètres!$A$1:$I$89,5,0)</f>
        <v>213.98519999999999</v>
      </c>
      <c r="BF191" s="13">
        <f t="shared" si="167"/>
        <v>52.805497044008654</v>
      </c>
      <c r="BG191" s="20">
        <f t="shared" si="168"/>
        <v>464.66046401831505</v>
      </c>
      <c r="BH191" s="59">
        <f t="shared" si="116"/>
        <v>757.99379735164837</v>
      </c>
      <c r="BI191" s="59">
        <f ca="1">AVERAGE(OFFSET($BH$3,0,0,'Données projet'!$E$11+1,1))-AVERAGE(OFFSET($H$3,0,0,'Données projet'!$E$11+1,1))</f>
        <v>195.02599095557656</v>
      </c>
      <c r="BJ191" s="59">
        <f t="shared" si="146"/>
        <v>201.41413798956927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5.2802925697019969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5.2802925697019969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165.11040000000028</v>
      </c>
      <c r="D192" s="11">
        <f t="shared" si="140"/>
        <v>41.993062739333524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1598.6933965843311</v>
      </c>
      <c r="H192" s="66">
        <f t="shared" si="110"/>
        <v>654.03853093767293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306.99999999999994</v>
      </c>
      <c r="O192" s="13">
        <f>N192*VLOOKUP('Données projet'!$B$9,Paramètres!$A$1:$I$89,3,0)*VLOOKUP('Données projet'!$B$9,Paramètres!$A$1:$I$89,5,0)</f>
        <v>258.61679999999996</v>
      </c>
      <c r="P192" s="13">
        <f t="shared" si="141"/>
        <v>62.427444141032439</v>
      </c>
      <c r="Q192" s="20">
        <f t="shared" si="162"/>
        <v>559.15205854563135</v>
      </c>
      <c r="R192" s="59">
        <f t="shared" si="109"/>
        <v>852.48539187896472</v>
      </c>
      <c r="S192" s="59">
        <f ca="1">AVERAGE(OFFSET($R$3,0,0,'Données projet'!$E$9+1,1))-AVERAGE(OFFSET($H$3,0,0,'Données projet'!$E$9+1,1))</f>
        <v>267.44861001389006</v>
      </c>
      <c r="T192" s="59">
        <f t="shared" si="142"/>
        <v>165.25921510802965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21.524087427013214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21.524087427013214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319</v>
      </c>
      <c r="AJ192" s="13">
        <f>AI192*VLOOKUP('Données projet'!$B$10,Paramètres!$A$1:$I$89,3,0)*VLOOKUP('Données projet'!$B$10,Paramètres!$A$1:$I$89,5,0)</f>
        <v>253.79640000000001</v>
      </c>
      <c r="AK192" s="13">
        <f t="shared" si="164"/>
        <v>61.39816832228076</v>
      </c>
      <c r="AL192" s="20">
        <f t="shared" si="165"/>
        <v>548.96387316130563</v>
      </c>
      <c r="AM192" s="59">
        <f t="shared" si="113"/>
        <v>842.29720649463889</v>
      </c>
      <c r="AN192" s="59">
        <f ca="1">AVERAGE(OFFSET($AM$3,0,0,'Données projet'!$E$10+1,1))-AVERAGE(OFFSET($H$3,0,0,'Données projet'!$E$10+1,1))</f>
        <v>244.70751760575268</v>
      </c>
      <c r="AO192" s="59">
        <f t="shared" si="144"/>
        <v>248.77995374147798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6.1398653931767555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6.1398653931767555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319</v>
      </c>
      <c r="BE192" s="13">
        <f>BD192*VLOOKUP('Données projet'!$B$11,Paramètres!$A$1:$I$89,3,0)*VLOOKUP('Données projet'!$B$11,Paramètres!$A$1:$I$89,5,0)</f>
        <v>213.98519999999999</v>
      </c>
      <c r="BF192" s="13">
        <f t="shared" si="167"/>
        <v>52.805497044008654</v>
      </c>
      <c r="BG192" s="20">
        <f t="shared" si="168"/>
        <v>464.66046401831505</v>
      </c>
      <c r="BH192" s="59">
        <f t="shared" si="116"/>
        <v>757.99379735164837</v>
      </c>
      <c r="BI192" s="59">
        <f ca="1">AVERAGE(OFFSET($BH$3,0,0,'Données projet'!$E$11+1,1))-AVERAGE(OFFSET($H$3,0,0,'Données projet'!$E$11+1,1))</f>
        <v>195.02599095557656</v>
      </c>
      <c r="BJ192" s="59">
        <f t="shared" si="146"/>
        <v>201.41413798956927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5.1767492530705947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5.1767492530705947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165.98400000000029</v>
      </c>
      <c r="D193" s="11">
        <f t="shared" si="140"/>
        <v>42.189325525922321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1606.9519865158939</v>
      </c>
      <c r="H193" s="66">
        <f t="shared" si="110"/>
        <v>655.90187529098182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306.99999999999994</v>
      </c>
      <c r="O193" s="13">
        <f>N193*VLOOKUP('Données projet'!$B$9,Paramètres!$A$1:$I$89,3,0)*VLOOKUP('Données projet'!$B$9,Paramètres!$A$1:$I$89,5,0)</f>
        <v>258.61679999999996</v>
      </c>
      <c r="P193" s="13">
        <f t="shared" si="141"/>
        <v>62.427444141032439</v>
      </c>
      <c r="Q193" s="20">
        <f t="shared" si="162"/>
        <v>559.15205854563135</v>
      </c>
      <c r="R193" s="59">
        <f t="shared" si="109"/>
        <v>852.48539187896472</v>
      </c>
      <c r="S193" s="59">
        <f ca="1">AVERAGE(OFFSET($R$3,0,0,'Données projet'!$E$9+1,1))-AVERAGE(OFFSET($H$3,0,0,'Données projet'!$E$9+1,1))</f>
        <v>267.44861001389006</v>
      </c>
      <c r="T193" s="59">
        <f t="shared" si="142"/>
        <v>165.25921510802965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21.102013200966493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21.102013200966493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319</v>
      </c>
      <c r="AJ193" s="13">
        <f>AI193*VLOOKUP('Données projet'!$B$10,Paramètres!$A$1:$I$89,3,0)*VLOOKUP('Données projet'!$B$10,Paramètres!$A$1:$I$89,5,0)</f>
        <v>253.79640000000001</v>
      </c>
      <c r="AK193" s="13">
        <f t="shared" si="164"/>
        <v>61.39816832228076</v>
      </c>
      <c r="AL193" s="20">
        <f t="shared" si="165"/>
        <v>548.96387316130563</v>
      </c>
      <c r="AM193" s="59">
        <f t="shared" si="113"/>
        <v>842.29720649463889</v>
      </c>
      <c r="AN193" s="59">
        <f ca="1">AVERAGE(OFFSET($AM$3,0,0,'Données projet'!$E$10+1,1))-AVERAGE(OFFSET($H$3,0,0,'Données projet'!$E$10+1,1))</f>
        <v>244.70751760575268</v>
      </c>
      <c r="AO193" s="59">
        <f t="shared" si="144"/>
        <v>248.77995374147798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6.0194663777646662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6.0194663777646662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319</v>
      </c>
      <c r="BE193" s="13">
        <f>BD193*VLOOKUP('Données projet'!$B$11,Paramètres!$A$1:$I$89,3,0)*VLOOKUP('Données projet'!$B$11,Paramètres!$A$1:$I$89,5,0)</f>
        <v>213.98519999999999</v>
      </c>
      <c r="BF193" s="13">
        <f t="shared" si="167"/>
        <v>52.805497044008654</v>
      </c>
      <c r="BG193" s="20">
        <f t="shared" si="168"/>
        <v>464.66046401831505</v>
      </c>
      <c r="BH193" s="59">
        <f t="shared" si="116"/>
        <v>757.99379735164837</v>
      </c>
      <c r="BI193" s="59">
        <f ca="1">AVERAGE(OFFSET($BH$3,0,0,'Données projet'!$E$11+1,1))-AVERAGE(OFFSET($H$3,0,0,'Données projet'!$E$11+1,1))</f>
        <v>195.02599095557656</v>
      </c>
      <c r="BJ193" s="59">
        <f t="shared" si="146"/>
        <v>201.41413798956927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5.0752363577231474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5.0752363577231474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166.8576000000003</v>
      </c>
      <c r="D194" s="11">
        <f t="shared" si="140"/>
        <v>42.385468111966134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1615.2096485836007</v>
      </c>
      <c r="H194" s="66">
        <f t="shared" si="110"/>
        <v>657.7650102950081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306.99999999999994</v>
      </c>
      <c r="O194" s="13">
        <f>N194*VLOOKUP('Données projet'!$B$9,Paramètres!$A$1:$I$89,3,0)*VLOOKUP('Données projet'!$B$9,Paramètres!$A$1:$I$89,5,0)</f>
        <v>258.61679999999996</v>
      </c>
      <c r="P194" s="13">
        <f t="shared" si="141"/>
        <v>62.427444141032439</v>
      </c>
      <c r="Q194" s="20">
        <f t="shared" si="162"/>
        <v>559.15205854563135</v>
      </c>
      <c r="R194" s="59">
        <f t="shared" si="109"/>
        <v>852.48539187896472</v>
      </c>
      <c r="S194" s="59">
        <f ca="1">AVERAGE(OFFSET($R$3,0,0,'Données projet'!$E$9+1,1))-AVERAGE(OFFSET($H$3,0,0,'Données projet'!$E$9+1,1))</f>
        <v>267.44861001389006</v>
      </c>
      <c r="T194" s="59">
        <f t="shared" si="142"/>
        <v>165.25921510802965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20.688215593052689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20.688215593052689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319</v>
      </c>
      <c r="AJ194" s="13">
        <f>AI194*VLOOKUP('Données projet'!$B$10,Paramètres!$A$1:$I$89,3,0)*VLOOKUP('Données projet'!$B$10,Paramètres!$A$1:$I$89,5,0)</f>
        <v>253.79640000000001</v>
      </c>
      <c r="AK194" s="13">
        <f t="shared" si="164"/>
        <v>61.39816832228076</v>
      </c>
      <c r="AL194" s="20">
        <f t="shared" si="165"/>
        <v>548.96387316130563</v>
      </c>
      <c r="AM194" s="59">
        <f t="shared" si="113"/>
        <v>842.29720649463889</v>
      </c>
      <c r="AN194" s="59">
        <f ca="1">AVERAGE(OFFSET($AM$3,0,0,'Données projet'!$E$10+1,1))-AVERAGE(OFFSET($H$3,0,0,'Données projet'!$E$10+1,1))</f>
        <v>244.70751760575268</v>
      </c>
      <c r="AO194" s="59">
        <f t="shared" si="144"/>
        <v>248.77995374147798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5.90142831360866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5.90142831360866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319</v>
      </c>
      <c r="BE194" s="13">
        <f>BD194*VLOOKUP('Données projet'!$B$11,Paramètres!$A$1:$I$89,3,0)*VLOOKUP('Données projet'!$B$11,Paramètres!$A$1:$I$89,5,0)</f>
        <v>213.98519999999999</v>
      </c>
      <c r="BF194" s="13">
        <f t="shared" si="167"/>
        <v>52.805497044008654</v>
      </c>
      <c r="BG194" s="20">
        <f t="shared" si="168"/>
        <v>464.66046401831505</v>
      </c>
      <c r="BH194" s="59">
        <f t="shared" si="116"/>
        <v>757.99379735164837</v>
      </c>
      <c r="BI194" s="59">
        <f ca="1">AVERAGE(OFFSET($BH$3,0,0,'Données projet'!$E$11+1,1))-AVERAGE(OFFSET($H$3,0,0,'Données projet'!$E$11+1,1))</f>
        <v>195.02599095557656</v>
      </c>
      <c r="BJ194" s="59">
        <f t="shared" si="146"/>
        <v>201.41413798956927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4.9757140683367105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4.9757140683367105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167.73120000000031</v>
      </c>
      <c r="D195" s="11">
        <f t="shared" si="140"/>
        <v>42.581491199832726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1623.4663882092375</v>
      </c>
      <c r="H195" s="66">
        <f t="shared" si="110"/>
        <v>659.62793717304248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306.99999999999994</v>
      </c>
      <c r="O195" s="13">
        <f>N195*VLOOKUP('Données projet'!$B$9,Paramètres!$A$1:$I$89,3,0)*VLOOKUP('Données projet'!$B$9,Paramètres!$A$1:$I$89,5,0)</f>
        <v>258.61679999999996</v>
      </c>
      <c r="P195" s="13">
        <f t="shared" si="141"/>
        <v>62.427444141032439</v>
      </c>
      <c r="Q195" s="20">
        <f t="shared" si="162"/>
        <v>559.15205854563135</v>
      </c>
      <c r="R195" s="59">
        <f t="shared" ref="R195:R203" si="191">Q195+(I195+J195)*44/12</f>
        <v>852.48539187896472</v>
      </c>
      <c r="S195" s="59">
        <f ca="1">AVERAGE(OFFSET($R$3,0,0,'Données projet'!$E$9+1,1))-AVERAGE(OFFSET($H$3,0,0,'Données projet'!$E$9+1,1))</f>
        <v>267.44861001389006</v>
      </c>
      <c r="T195" s="59">
        <f t="shared" si="142"/>
        <v>165.25921510802965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20.282532303838458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20.282532303838458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319</v>
      </c>
      <c r="AJ195" s="13">
        <f>AI195*VLOOKUP('Données projet'!$B$10,Paramètres!$A$1:$I$89,3,0)*VLOOKUP('Données projet'!$B$10,Paramètres!$A$1:$I$89,5,0)</f>
        <v>253.79640000000001</v>
      </c>
      <c r="AK195" s="13">
        <f t="shared" si="164"/>
        <v>61.39816832228076</v>
      </c>
      <c r="AL195" s="20">
        <f t="shared" si="165"/>
        <v>548.96387316130563</v>
      </c>
      <c r="AM195" s="59">
        <f t="shared" si="113"/>
        <v>842.29720649463889</v>
      </c>
      <c r="AN195" s="59">
        <f ca="1">AVERAGE(OFFSET($AM$3,0,0,'Données projet'!$E$10+1,1))-AVERAGE(OFFSET($H$3,0,0,'Données projet'!$E$10+1,1))</f>
        <v>244.70751760575268</v>
      </c>
      <c r="AO195" s="59">
        <f t="shared" si="144"/>
        <v>248.77995374147798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5.7857049038946426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5.7857049038946426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319</v>
      </c>
      <c r="BE195" s="13">
        <f>BD195*VLOOKUP('Données projet'!$B$11,Paramètres!$A$1:$I$89,3,0)*VLOOKUP('Données projet'!$B$11,Paramètres!$A$1:$I$89,5,0)</f>
        <v>213.98519999999999</v>
      </c>
      <c r="BF195" s="13">
        <f t="shared" si="167"/>
        <v>52.805497044008654</v>
      </c>
      <c r="BG195" s="20">
        <f t="shared" si="168"/>
        <v>464.66046401831505</v>
      </c>
      <c r="BH195" s="59">
        <f t="shared" si="116"/>
        <v>757.99379735164837</v>
      </c>
      <c r="BI195" s="59">
        <f ca="1">AVERAGE(OFFSET($BH$3,0,0,'Données projet'!$E$11+1,1))-AVERAGE(OFFSET($H$3,0,0,'Données projet'!$E$11+1,1))</f>
        <v>195.02599095557656</v>
      </c>
      <c r="BJ195" s="59">
        <f t="shared" si="146"/>
        <v>201.41413798956927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4.8781433503425395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4.8781433503425395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168.60480000000032</v>
      </c>
      <c r="D196" s="11">
        <f t="shared" si="140"/>
        <v>42.777395484149835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1631.7222107548432</v>
      </c>
      <c r="H196" s="66">
        <f t="shared" ref="H196:H203" si="192">(B196+E196+F196)*44/12+(C196+D196)*0.475*44/12</f>
        <v>661.49065713489483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306.99999999999994</v>
      </c>
      <c r="O196" s="13">
        <f>N196*VLOOKUP('Données projet'!$B$9,Paramètres!$A$1:$I$89,3,0)*VLOOKUP('Données projet'!$B$9,Paramètres!$A$1:$I$89,5,0)</f>
        <v>258.61679999999996</v>
      </c>
      <c r="P196" s="13">
        <f t="shared" si="141"/>
        <v>62.427444141032439</v>
      </c>
      <c r="Q196" s="20">
        <f t="shared" si="162"/>
        <v>559.15205854563135</v>
      </c>
      <c r="R196" s="59">
        <f t="shared" si="191"/>
        <v>852.48539187896472</v>
      </c>
      <c r="S196" s="59">
        <f ca="1">AVERAGE(OFFSET($R$3,0,0,'Données projet'!$E$9+1,1))-AVERAGE(OFFSET($H$3,0,0,'Données projet'!$E$9+1,1))</f>
        <v>267.44861001389006</v>
      </c>
      <c r="T196" s="59">
        <f t="shared" si="142"/>
        <v>165.25921510802965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19.884804216483346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19.884804216483346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319</v>
      </c>
      <c r="AJ196" s="13">
        <f>AI196*VLOOKUP('Données projet'!$B$10,Paramètres!$A$1:$I$89,3,0)*VLOOKUP('Données projet'!$B$10,Paramètres!$A$1:$I$89,5,0)</f>
        <v>253.79640000000001</v>
      </c>
      <c r="AK196" s="13">
        <f t="shared" si="164"/>
        <v>61.39816832228076</v>
      </c>
      <c r="AL196" s="20">
        <f t="shared" si="165"/>
        <v>548.96387316130563</v>
      </c>
      <c r="AM196" s="59">
        <f t="shared" ref="AM196:AM203" si="193">AL196+(AD196+AE196)*44/12</f>
        <v>842.29720649463889</v>
      </c>
      <c r="AN196" s="59">
        <f ca="1">AVERAGE(OFFSET($AM$3,0,0,'Données projet'!$E$10+1,1))-AVERAGE(OFFSET($H$3,0,0,'Données projet'!$E$10+1,1))</f>
        <v>244.70751760575268</v>
      </c>
      <c r="AO196" s="59">
        <f t="shared" si="144"/>
        <v>248.77995374147798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5.6722507596608072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5.6722507596608072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319</v>
      </c>
      <c r="BE196" s="13">
        <f>BD196*VLOOKUP('Données projet'!$B$11,Paramètres!$A$1:$I$89,3,0)*VLOOKUP('Données projet'!$B$11,Paramètres!$A$1:$I$89,5,0)</f>
        <v>213.98519999999999</v>
      </c>
      <c r="BF196" s="13">
        <f t="shared" si="167"/>
        <v>52.805497044008654</v>
      </c>
      <c r="BG196" s="20">
        <f t="shared" si="168"/>
        <v>464.66046401831505</v>
      </c>
      <c r="BH196" s="59">
        <f t="shared" ref="BH196:BH203" si="194">BG196+(AY196+AZ196)*44/12</f>
        <v>757.99379735164837</v>
      </c>
      <c r="BI196" s="59">
        <f ca="1">AVERAGE(OFFSET($BH$3,0,0,'Données projet'!$E$11+1,1))-AVERAGE(OFFSET($H$3,0,0,'Données projet'!$E$11+1,1))</f>
        <v>195.02599095557656</v>
      </c>
      <c r="BJ196" s="59">
        <f t="shared" si="146"/>
        <v>201.41413798956927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4.7824859346159725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4.7824859346159725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169.47840000000033</v>
      </c>
      <c r="D197" s="11">
        <f t="shared" ref="D197:D203" si="202">IFERROR(EXP(-1.0587+0.8836*LN(C197)+0.284),0)</f>
        <v>42.97318165193041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1639.977121523676</v>
      </c>
      <c r="H197" s="66">
        <f t="shared" si="192"/>
        <v>663.35317137711263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306.99999999999994</v>
      </c>
      <c r="O197" s="13">
        <f>N197*VLOOKUP('Données projet'!$B$9,Paramètres!$A$1:$I$89,3,0)*VLOOKUP('Données projet'!$B$9,Paramètres!$A$1:$I$89,5,0)</f>
        <v>258.61679999999996</v>
      </c>
      <c r="P197" s="13">
        <f t="shared" ref="P197:P203" si="203">EXP(-1.0587+0.8836*LN(O197)+0.284)</f>
        <v>62.427444141032439</v>
      </c>
      <c r="Q197" s="20">
        <f t="shared" si="162"/>
        <v>559.15205854563135</v>
      </c>
      <c r="R197" s="59">
        <f t="shared" si="191"/>
        <v>852.48539187896472</v>
      </c>
      <c r="S197" s="59">
        <f ca="1">AVERAGE(OFFSET($R$3,0,0,'Données projet'!$E$9+1,1))-AVERAGE(OFFSET($H$3,0,0,'Données projet'!$E$9+1,1))</f>
        <v>267.44861001389006</v>
      </c>
      <c r="T197" s="59">
        <f t="shared" ref="T197:T203" si="204">$T$3</f>
        <v>165.25921510802965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19.494875334331088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19.494875334331088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319</v>
      </c>
      <c r="AJ197" s="13">
        <f>AI197*VLOOKUP('Données projet'!$B$10,Paramètres!$A$1:$I$89,3,0)*VLOOKUP('Données projet'!$B$10,Paramètres!$A$1:$I$89,5,0)</f>
        <v>253.79640000000001</v>
      </c>
      <c r="AK197" s="13">
        <f t="shared" si="164"/>
        <v>61.39816832228076</v>
      </c>
      <c r="AL197" s="20">
        <f t="shared" si="165"/>
        <v>548.96387316130563</v>
      </c>
      <c r="AM197" s="59">
        <f t="shared" si="193"/>
        <v>842.29720649463889</v>
      </c>
      <c r="AN197" s="59">
        <f ca="1">AVERAGE(OFFSET($AM$3,0,0,'Données projet'!$E$10+1,1))-AVERAGE(OFFSET($H$3,0,0,'Données projet'!$E$10+1,1))</f>
        <v>244.70751760575268</v>
      </c>
      <c r="AO197" s="59">
        <f t="shared" ref="AO197:AO203" si="205">$AO$3</f>
        <v>248.77995374147798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5.5610213819952019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5.5610213819952019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319</v>
      </c>
      <c r="BE197" s="13">
        <f>BD197*VLOOKUP('Données projet'!$B$11,Paramètres!$A$1:$I$89,3,0)*VLOOKUP('Données projet'!$B$11,Paramètres!$A$1:$I$89,5,0)</f>
        <v>213.98519999999999</v>
      </c>
      <c r="BF197" s="13">
        <f t="shared" si="167"/>
        <v>52.805497044008654</v>
      </c>
      <c r="BG197" s="20">
        <f t="shared" si="168"/>
        <v>464.66046401831505</v>
      </c>
      <c r="BH197" s="59">
        <f t="shared" si="194"/>
        <v>757.99379735164837</v>
      </c>
      <c r="BI197" s="59">
        <f ca="1">AVERAGE(OFFSET($BH$3,0,0,'Données projet'!$E$11+1,1))-AVERAGE(OFFSET($H$3,0,0,'Données projet'!$E$11+1,1))</f>
        <v>195.02599095557656</v>
      </c>
      <c r="BJ197" s="59">
        <f t="shared" ref="BJ197:BJ203" si="206">$BJ$3</f>
        <v>201.41413798956927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4.6887043024665411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4.6887043024665411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170.35200000000034</v>
      </c>
      <c r="D198" s="11">
        <f t="shared" si="202"/>
        <v>43.168850382694565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1648.2311257611536</v>
      </c>
      <c r="H198" s="66">
        <f t="shared" si="192"/>
        <v>665.21548108319348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306.99999999999994</v>
      </c>
      <c r="O198" s="13">
        <f>N198*VLOOKUP('Données projet'!$B$9,Paramètres!$A$1:$I$89,3,0)*VLOOKUP('Données projet'!$B$9,Paramètres!$A$1:$I$89,5,0)</f>
        <v>258.61679999999996</v>
      </c>
      <c r="P198" s="13">
        <f t="shared" si="203"/>
        <v>62.427444141032439</v>
      </c>
      <c r="Q198" s="20">
        <f t="shared" si="162"/>
        <v>559.15205854563135</v>
      </c>
      <c r="R198" s="59">
        <f t="shared" si="191"/>
        <v>852.48539187896472</v>
      </c>
      <c r="S198" s="59">
        <f ca="1">AVERAGE(OFFSET($R$3,0,0,'Données projet'!$E$9+1,1))-AVERAGE(OFFSET($H$3,0,0,'Données projet'!$E$9+1,1))</f>
        <v>267.44861001389006</v>
      </c>
      <c r="T198" s="59">
        <f t="shared" si="204"/>
        <v>165.25921510802965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19.112592719724699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19.112592719724699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319</v>
      </c>
      <c r="AJ198" s="13">
        <f>AI198*VLOOKUP('Données projet'!$B$10,Paramètres!$A$1:$I$89,3,0)*VLOOKUP('Données projet'!$B$10,Paramètres!$A$1:$I$89,5,0)</f>
        <v>253.79640000000001</v>
      </c>
      <c r="AK198" s="13">
        <f t="shared" si="164"/>
        <v>61.39816832228076</v>
      </c>
      <c r="AL198" s="20">
        <f t="shared" si="165"/>
        <v>548.96387316130563</v>
      </c>
      <c r="AM198" s="59">
        <f t="shared" si="193"/>
        <v>842.29720649463889</v>
      </c>
      <c r="AN198" s="59">
        <f ca="1">AVERAGE(OFFSET($AM$3,0,0,'Données projet'!$E$10+1,1))-AVERAGE(OFFSET($H$3,0,0,'Données projet'!$E$10+1,1))</f>
        <v>244.70751760575268</v>
      </c>
      <c r="AO198" s="59">
        <f t="shared" si="205"/>
        <v>248.77995374147798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5.4519731445823982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5.4519731445823982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319</v>
      </c>
      <c r="BE198" s="13">
        <f>BD198*VLOOKUP('Données projet'!$B$11,Paramètres!$A$1:$I$89,3,0)*VLOOKUP('Données projet'!$B$11,Paramètres!$A$1:$I$89,5,0)</f>
        <v>213.98519999999999</v>
      </c>
      <c r="BF198" s="13">
        <f t="shared" si="167"/>
        <v>52.805497044008654</v>
      </c>
      <c r="BG198" s="20">
        <f t="shared" si="168"/>
        <v>464.66046401831505</v>
      </c>
      <c r="BH198" s="59">
        <f t="shared" si="194"/>
        <v>757.99379735164837</v>
      </c>
      <c r="BI198" s="59">
        <f ca="1">AVERAGE(OFFSET($BH$3,0,0,'Données projet'!$E$11+1,1))-AVERAGE(OFFSET($H$3,0,0,'Données projet'!$E$11+1,1))</f>
        <v>195.02599095557656</v>
      </c>
      <c r="BJ198" s="59">
        <f t="shared" si="206"/>
        <v>201.41413798956927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4.5967616709224126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4.5967616709224126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171.22560000000036</v>
      </c>
      <c r="D199" s="11">
        <f t="shared" si="202"/>
        <v>43.364402348589593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1656.4842286557821</v>
      </c>
      <c r="H199" s="66">
        <f t="shared" si="192"/>
        <v>667.07758742379417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306.99999999999994</v>
      </c>
      <c r="O199" s="13">
        <f>N199*VLOOKUP('Données projet'!$B$9,Paramètres!$A$1:$I$89,3,0)*VLOOKUP('Données projet'!$B$9,Paramètres!$A$1:$I$89,5,0)</f>
        <v>258.61679999999996</v>
      </c>
      <c r="P199" s="13">
        <f t="shared" si="203"/>
        <v>62.427444141032439</v>
      </c>
      <c r="Q199" s="20">
        <f t="shared" si="162"/>
        <v>559.15205854563135</v>
      </c>
      <c r="R199" s="59">
        <f t="shared" si="191"/>
        <v>852.48539187896472</v>
      </c>
      <c r="S199" s="59">
        <f ca="1">AVERAGE(OFFSET($R$3,0,0,'Données projet'!$E$9+1,1))-AVERAGE(OFFSET($H$3,0,0,'Données projet'!$E$9+1,1))</f>
        <v>267.44861001389006</v>
      </c>
      <c r="T199" s="59">
        <f t="shared" si="204"/>
        <v>165.25921510802965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18.737806434021373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18.737806434021373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319</v>
      </c>
      <c r="AJ199" s="13">
        <f>AI199*VLOOKUP('Données projet'!$B$10,Paramètres!$A$1:$I$89,3,0)*VLOOKUP('Données projet'!$B$10,Paramètres!$A$1:$I$89,5,0)</f>
        <v>253.79640000000001</v>
      </c>
      <c r="AK199" s="13">
        <f t="shared" si="164"/>
        <v>61.39816832228076</v>
      </c>
      <c r="AL199" s="20">
        <f t="shared" si="165"/>
        <v>548.96387316130563</v>
      </c>
      <c r="AM199" s="59">
        <f t="shared" si="193"/>
        <v>842.29720649463889</v>
      </c>
      <c r="AN199" s="59">
        <f ca="1">AVERAGE(OFFSET($AM$3,0,0,'Données projet'!$E$10+1,1))-AVERAGE(OFFSET($H$3,0,0,'Données projet'!$E$10+1,1))</f>
        <v>244.70751760575268</v>
      </c>
      <c r="AO199" s="59">
        <f t="shared" si="205"/>
        <v>248.77995374147798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5.345063276592402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5.345063276592402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319</v>
      </c>
      <c r="BE199" s="13">
        <f>BD199*VLOOKUP('Données projet'!$B$11,Paramètres!$A$1:$I$89,3,0)*VLOOKUP('Données projet'!$B$11,Paramètres!$A$1:$I$89,5,0)</f>
        <v>213.98519999999999</v>
      </c>
      <c r="BF199" s="13">
        <f t="shared" si="167"/>
        <v>52.805497044008654</v>
      </c>
      <c r="BG199" s="20">
        <f t="shared" si="168"/>
        <v>464.66046401831505</v>
      </c>
      <c r="BH199" s="59">
        <f t="shared" si="194"/>
        <v>757.99379735164837</v>
      </c>
      <c r="BI199" s="59">
        <f ca="1">AVERAGE(OFFSET($BH$3,0,0,'Données projet'!$E$11+1,1))-AVERAGE(OFFSET($H$3,0,0,'Données projet'!$E$11+1,1))</f>
        <v>195.02599095557656</v>
      </c>
      <c r="BJ199" s="59">
        <f t="shared" si="206"/>
        <v>201.41413798956927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4.5066219783033965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4.5066219783033965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172.09920000000037</v>
      </c>
      <c r="D200" s="11">
        <f t="shared" si="202"/>
        <v>43.559838214507067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1664.7364353400574</v>
      </c>
      <c r="H200" s="66">
        <f t="shared" si="192"/>
        <v>668.93949155693372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306.99999999999994</v>
      </c>
      <c r="O200" s="13">
        <f>N200*VLOOKUP('Données projet'!$B$9,Paramètres!$A$1:$I$89,3,0)*VLOOKUP('Données projet'!$B$9,Paramètres!$A$1:$I$89,5,0)</f>
        <v>258.61679999999996</v>
      </c>
      <c r="P200" s="13">
        <f t="shared" si="203"/>
        <v>62.427444141032439</v>
      </c>
      <c r="Q200" s="20">
        <f t="shared" si="162"/>
        <v>559.15205854563135</v>
      </c>
      <c r="R200" s="59">
        <f t="shared" si="191"/>
        <v>852.48539187896472</v>
      </c>
      <c r="S200" s="59">
        <f ca="1">AVERAGE(OFFSET($R$3,0,0,'Données projet'!$E$9+1,1))-AVERAGE(OFFSET($H$3,0,0,'Données projet'!$E$9+1,1))</f>
        <v>267.44861001389006</v>
      </c>
      <c r="T200" s="59">
        <f t="shared" si="204"/>
        <v>165.25921510802965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18.370369478783626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18.370369478783626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319</v>
      </c>
      <c r="AJ200" s="13">
        <f>AI200*VLOOKUP('Données projet'!$B$10,Paramètres!$A$1:$I$89,3,0)*VLOOKUP('Données projet'!$B$10,Paramètres!$A$1:$I$89,5,0)</f>
        <v>253.79640000000001</v>
      </c>
      <c r="AK200" s="13">
        <f t="shared" si="164"/>
        <v>61.39816832228076</v>
      </c>
      <c r="AL200" s="20">
        <f t="shared" si="165"/>
        <v>548.96387316130563</v>
      </c>
      <c r="AM200" s="59">
        <f t="shared" si="193"/>
        <v>842.29720649463889</v>
      </c>
      <c r="AN200" s="59">
        <f ca="1">AVERAGE(OFFSET($AM$3,0,0,'Données projet'!$E$10+1,1))-AVERAGE(OFFSET($H$3,0,0,'Données projet'!$E$10+1,1))</f>
        <v>244.70751760575268</v>
      </c>
      <c r="AO200" s="59">
        <f t="shared" si="205"/>
        <v>248.77995374147798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5.240249845905109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5.240249845905109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319</v>
      </c>
      <c r="BE200" s="13">
        <f>BD200*VLOOKUP('Données projet'!$B$11,Paramètres!$A$1:$I$89,3,0)*VLOOKUP('Données projet'!$B$11,Paramètres!$A$1:$I$89,5,0)</f>
        <v>213.98519999999999</v>
      </c>
      <c r="BF200" s="13">
        <f t="shared" si="167"/>
        <v>52.805497044008654</v>
      </c>
      <c r="BG200" s="20">
        <f t="shared" si="168"/>
        <v>464.66046401831505</v>
      </c>
      <c r="BH200" s="59">
        <f t="shared" si="194"/>
        <v>757.99379735164837</v>
      </c>
      <c r="BI200" s="59">
        <f ca="1">AVERAGE(OFFSET($BH$3,0,0,'Données projet'!$E$11+1,1))-AVERAGE(OFFSET($H$3,0,0,'Données projet'!$E$11+1,1))</f>
        <v>195.02599095557656</v>
      </c>
      <c r="BJ200" s="59">
        <f t="shared" si="206"/>
        <v>201.41413798956927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4.4182498700768553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4.4182498700768553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172.97280000000038</v>
      </c>
      <c r="D201" s="11">
        <f t="shared" si="202"/>
        <v>43.755158638197358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1672.9877508913507</v>
      </c>
      <c r="H201" s="66">
        <f t="shared" si="192"/>
        <v>670.80119462819425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306.99999999999994</v>
      </c>
      <c r="O201" s="13">
        <f>N201*VLOOKUP('Données projet'!$B$9,Paramètres!$A$1:$I$89,3,0)*VLOOKUP('Données projet'!$B$9,Paramètres!$A$1:$I$89,5,0)</f>
        <v>258.61679999999996</v>
      </c>
      <c r="P201" s="13">
        <f t="shared" si="203"/>
        <v>62.427444141032439</v>
      </c>
      <c r="Q201" s="20">
        <f t="shared" si="162"/>
        <v>559.15205854563135</v>
      </c>
      <c r="R201" s="59">
        <f t="shared" si="191"/>
        <v>852.48539187896472</v>
      </c>
      <c r="S201" s="59">
        <f ca="1">AVERAGE(OFFSET($R$3,0,0,'Données projet'!$E$9+1,1))-AVERAGE(OFFSET($H$3,0,0,'Données projet'!$E$9+1,1))</f>
        <v>267.44861001389006</v>
      </c>
      <c r="T201" s="59">
        <f t="shared" si="204"/>
        <v>165.25921510802965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18.010137738123678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18.010137738123678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319</v>
      </c>
      <c r="AJ201" s="13">
        <f>AI201*VLOOKUP('Données projet'!$B$10,Paramètres!$A$1:$I$89,3,0)*VLOOKUP('Données projet'!$B$10,Paramètres!$A$1:$I$89,5,0)</f>
        <v>253.79640000000001</v>
      </c>
      <c r="AK201" s="13">
        <f t="shared" si="164"/>
        <v>61.39816832228076</v>
      </c>
      <c r="AL201" s="20">
        <f t="shared" si="165"/>
        <v>548.96387316130563</v>
      </c>
      <c r="AM201" s="59">
        <f t="shared" si="193"/>
        <v>842.29720649463889</v>
      </c>
      <c r="AN201" s="59">
        <f ca="1">AVERAGE(OFFSET($AM$3,0,0,'Données projet'!$E$10+1,1))-AVERAGE(OFFSET($H$3,0,0,'Données projet'!$E$10+1,1))</f>
        <v>244.70751760575268</v>
      </c>
      <c r="AO201" s="59">
        <f t="shared" si="205"/>
        <v>248.77995374147798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5.1374917426637134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5.1374917426637134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319</v>
      </c>
      <c r="BE201" s="13">
        <f>BD201*VLOOKUP('Données projet'!$B$11,Paramètres!$A$1:$I$89,3,0)*VLOOKUP('Données projet'!$B$11,Paramètres!$A$1:$I$89,5,0)</f>
        <v>213.98519999999999</v>
      </c>
      <c r="BF201" s="13">
        <f t="shared" si="167"/>
        <v>52.805497044008654</v>
      </c>
      <c r="BG201" s="20">
        <f t="shared" si="168"/>
        <v>464.66046401831505</v>
      </c>
      <c r="BH201" s="59">
        <f t="shared" si="194"/>
        <v>757.99379735164837</v>
      </c>
      <c r="BI201" s="59">
        <f ca="1">AVERAGE(OFFSET($BH$3,0,0,'Données projet'!$E$11+1,1))-AVERAGE(OFFSET($H$3,0,0,'Données projet'!$E$11+1,1))</f>
        <v>195.02599095557656</v>
      </c>
      <c r="BJ201" s="59">
        <f t="shared" si="206"/>
        <v>201.41413798956927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4.3316106849909728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4.3316106849909728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173.84640000000039</v>
      </c>
      <c r="D202" s="11">
        <f t="shared" si="202"/>
        <v>43.950364270382373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1681.2381803327792</v>
      </c>
      <c r="H202" s="66">
        <f t="shared" si="192"/>
        <v>672.66269777091657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306.99999999999994</v>
      </c>
      <c r="O202" s="13">
        <f>N202*VLOOKUP('Données projet'!$B$9,Paramètres!$A$1:$I$89,3,0)*VLOOKUP('Données projet'!$B$9,Paramètres!$A$1:$I$89,5,0)</f>
        <v>258.61679999999996</v>
      </c>
      <c r="P202" s="13">
        <f t="shared" si="203"/>
        <v>62.427444141032439</v>
      </c>
      <c r="Q202" s="20">
        <f t="shared" si="162"/>
        <v>559.15205854563135</v>
      </c>
      <c r="R202" s="59">
        <f t="shared" si="191"/>
        <v>852.48539187896472</v>
      </c>
      <c r="S202" s="59">
        <f ca="1">AVERAGE(OFFSET($R$3,0,0,'Données projet'!$E$9+1,1))-AVERAGE(OFFSET($H$3,0,0,'Données projet'!$E$9+1,1))</f>
        <v>267.44861001389006</v>
      </c>
      <c r="T202" s="59">
        <f t="shared" si="204"/>
        <v>165.25921510802965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17.656969922178405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17.656969922178405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319</v>
      </c>
      <c r="AJ202" s="13">
        <f>AI202*VLOOKUP('Données projet'!$B$10,Paramètres!$A$1:$I$89,3,0)*VLOOKUP('Données projet'!$B$10,Paramètres!$A$1:$I$89,5,0)</f>
        <v>253.79640000000001</v>
      </c>
      <c r="AK202" s="13">
        <f t="shared" si="164"/>
        <v>61.39816832228076</v>
      </c>
      <c r="AL202" s="20">
        <f t="shared" si="165"/>
        <v>548.96387316130563</v>
      </c>
      <c r="AM202" s="59">
        <f t="shared" si="193"/>
        <v>842.29720649463889</v>
      </c>
      <c r="AN202" s="59">
        <f ca="1">AVERAGE(OFFSET($AM$3,0,0,'Données projet'!$E$10+1,1))-AVERAGE(OFFSET($H$3,0,0,'Données projet'!$E$10+1,1))</f>
        <v>244.70751760575268</v>
      </c>
      <c r="AO202" s="59">
        <f t="shared" si="205"/>
        <v>248.77995374147798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5.036748663150628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5.036748663150628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319</v>
      </c>
      <c r="BE202" s="13">
        <f>BD202*VLOOKUP('Données projet'!$B$11,Paramètres!$A$1:$I$89,3,0)*VLOOKUP('Données projet'!$B$11,Paramètres!$A$1:$I$89,5,0)</f>
        <v>213.98519999999999</v>
      </c>
      <c r="BF202" s="13">
        <f t="shared" si="167"/>
        <v>52.805497044008654</v>
      </c>
      <c r="BG202" s="20">
        <f t="shared" si="168"/>
        <v>464.66046401831505</v>
      </c>
      <c r="BH202" s="59">
        <f t="shared" si="194"/>
        <v>757.99379735164837</v>
      </c>
      <c r="BI202" s="59">
        <f ca="1">AVERAGE(OFFSET($BH$3,0,0,'Données projet'!$E$11+1,1))-AVERAGE(OFFSET($H$3,0,0,'Données projet'!$E$11+1,1))</f>
        <v>195.02599095557656</v>
      </c>
      <c r="BJ202" s="59">
        <f t="shared" si="206"/>
        <v>201.41413798956927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4.2466704414799397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4.2466704414799397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174.7200000000004</v>
      </c>
      <c r="D203" s="11">
        <f t="shared" si="202"/>
        <v>44.145455754865324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1689.4877286340513</v>
      </c>
      <c r="H203" s="66">
        <f t="shared" si="192"/>
        <v>674.52400210639098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306.99999999999994</v>
      </c>
      <c r="O203" s="13">
        <f>N203*VLOOKUP('Données projet'!$B$9,Paramètres!$A$1:$I$89,3,0)*VLOOKUP('Données projet'!$B$9,Paramètres!$A$1:$I$89,5,0)</f>
        <v>258.61679999999996</v>
      </c>
      <c r="P203" s="13">
        <f t="shared" si="203"/>
        <v>62.427444141032439</v>
      </c>
      <c r="Q203" s="20">
        <f t="shared" si="162"/>
        <v>559.15205854563135</v>
      </c>
      <c r="R203" s="59">
        <f t="shared" si="191"/>
        <v>852.48539187896472</v>
      </c>
      <c r="S203" s="59">
        <f ca="1">AVERAGE(OFFSET($R$3,0,0,'Données projet'!$E$9+1,1))-AVERAGE(OFFSET($H$3,0,0,'Données projet'!$E$9+1,1))</f>
        <v>267.44861001389006</v>
      </c>
      <c r="T203" s="59">
        <f t="shared" si="204"/>
        <v>165.25921510802965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17.310727511692722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17.310727511692722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319</v>
      </c>
      <c r="AJ203" s="13">
        <f>AI203*VLOOKUP('Données projet'!$B$10,Paramètres!$A$1:$I$89,3,0)*VLOOKUP('Données projet'!$B$10,Paramètres!$A$1:$I$89,5,0)</f>
        <v>253.79640000000001</v>
      </c>
      <c r="AK203" s="13">
        <f t="shared" si="164"/>
        <v>61.39816832228076</v>
      </c>
      <c r="AL203" s="20">
        <f t="shared" si="165"/>
        <v>548.96387316130563</v>
      </c>
      <c r="AM203" s="59">
        <f t="shared" si="193"/>
        <v>842.29720649463889</v>
      </c>
      <c r="AN203" s="59">
        <f ca="1">AVERAGE(OFFSET($AM$3,0,0,'Données projet'!$E$10+1,1))-AVERAGE(OFFSET($H$3,0,0,'Données projet'!$E$10+1,1))</f>
        <v>244.70751760575268</v>
      </c>
      <c r="AO203" s="59">
        <f t="shared" si="205"/>
        <v>248.77995374147798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4.937981093979583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4.937981093979583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319</v>
      </c>
      <c r="BE203" s="13">
        <f>BD203*VLOOKUP('Données projet'!$B$11,Paramètres!$A$1:$I$89,3,0)*VLOOKUP('Données projet'!$B$11,Paramètres!$A$1:$I$89,5,0)</f>
        <v>213.98519999999999</v>
      </c>
      <c r="BF203" s="13">
        <f t="shared" si="167"/>
        <v>52.805497044008654</v>
      </c>
      <c r="BG203" s="20">
        <f t="shared" si="168"/>
        <v>464.66046401831505</v>
      </c>
      <c r="BH203" s="59">
        <f t="shared" si="194"/>
        <v>757.99379735164837</v>
      </c>
      <c r="BI203" s="59">
        <f ca="1">AVERAGE(OFFSET($BH$3,0,0,'Données projet'!$E$11+1,1))-AVERAGE(OFFSET($H$3,0,0,'Données projet'!$E$11+1,1))</f>
        <v>195.02599095557656</v>
      </c>
      <c r="BJ203" s="59">
        <f t="shared" si="206"/>
        <v>201.41413798956927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4.1633958243357254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4.1633958243357254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1.2392705892426346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1.2709816152101407</v>
      </c>
      <c r="BA205" s="81">
        <f>EXP(LN('Données projet'!B88)/'Données projet'!A88)</f>
        <v>1.2709816152101407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87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88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87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89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89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88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87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88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I20" sqref="I20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8" t="s">
        <v>271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80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Chêne pédonculé</v>
      </c>
      <c r="B6" s="144">
        <f>'Données projet'!D9</f>
        <v>0.48154656000000001</v>
      </c>
      <c r="C6" s="145">
        <f ca="1">IF(OR('Données projet'!B9="",'Données projet'!C9="",'Données projet'!C9=0%),0,Calculateur!S3)</f>
        <v>267.44861001389006</v>
      </c>
      <c r="D6" s="145">
        <f>IF(OR('Données projet'!B9="",'Données projet'!C9="",'Données projet'!C9=0%),0,Calculateur!T3)</f>
        <v>165.25921510802965</v>
      </c>
      <c r="E6" s="145">
        <f ca="1">MIN(C6,D6)</f>
        <v>165.25921510802965</v>
      </c>
      <c r="F6" s="145">
        <f ca="1">E6*B6</f>
        <v>79.580006543571713</v>
      </c>
      <c r="G6" s="145">
        <f ca="1">F6*(100%-'Données projet'!$C$24)*(100%-'Données projet'!$C$25)*(100%-'Données projet'!$C$26)*(100%-'Données projet'!$C$27)</f>
        <v>71.622005889214549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7.4639716800000002</v>
      </c>
      <c r="K6" s="149">
        <f>J6*(100%-'Données projet'!$C$24)*(100%-'Données projet'!$C$25)*(100%-'Données projet'!$C$26)*(100%-'Données projet'!$C$27)</f>
        <v>6.7175745120000006</v>
      </c>
      <c r="L6" s="150">
        <f ca="1">G6+I6+K6</f>
        <v>78.339580401214548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Erable plane</v>
      </c>
      <c r="B7" s="152">
        <f>'Données projet'!D10</f>
        <v>6.4724000000000004E-2</v>
      </c>
      <c r="C7" s="145">
        <f ca="1">IF(OR('Données projet'!B10="",'Données projet'!C10="",'Données projet'!C10=0%),0,Calculateur!AN3)</f>
        <v>244.70751760575268</v>
      </c>
      <c r="D7" s="145">
        <f>IF(OR('Données projet'!B10="",'Données projet'!C10="",'Données projet'!C10=0%),0,Calculateur!AO3)</f>
        <v>248.77995374147798</v>
      </c>
      <c r="E7" s="145">
        <f t="shared" ref="E7:E15" ca="1" si="0">MIN(C7,D7)</f>
        <v>244.70751760575268</v>
      </c>
      <c r="F7" s="145">
        <f t="shared" ref="F7:F15" ca="1" si="1">E7*B7</f>
        <v>15.838449369514738</v>
      </c>
      <c r="G7" s="145">
        <f ca="1">F7*(100%-'Données projet'!$C$24)*(100%-'Données projet'!$C$25)*(100%-'Données projet'!$C$26)*(100%-'Données projet'!$C$27)</f>
        <v>14.254604432563264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2.2167970000000001</v>
      </c>
      <c r="K7" s="149">
        <f>J7*(100%-'Données projet'!$C$24)*(100%-'Données projet'!$C$25)*(100%-'Données projet'!$C$26)*(100%-'Données projet'!$C$27)</f>
        <v>1.9951173000000002</v>
      </c>
      <c r="L7" s="150">
        <f t="shared" ref="L7:L15" ca="1" si="2">G7+I7+K7</f>
        <v>16.249721732563263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Tilleul</v>
      </c>
      <c r="B8" s="152">
        <f>'Données projet'!D11</f>
        <v>4.0305400000000005E-2</v>
      </c>
      <c r="C8" s="145">
        <f ca="1">IF(OR('Données projet'!B11="",'Données projet'!C11="",'Données projet'!C11=0%),0,Calculateur!BI3)</f>
        <v>195.02599095557656</v>
      </c>
      <c r="D8" s="145">
        <f>IF(OR('Données projet'!B11="",'Données projet'!C11="",'Données projet'!C11=0%),0,Calculateur!BJ3)</f>
        <v>201.41413798956927</v>
      </c>
      <c r="E8" s="145">
        <f t="shared" ca="1" si="0"/>
        <v>195.02599095557656</v>
      </c>
      <c r="F8" s="145">
        <f t="shared" ca="1" si="1"/>
        <v>7.8606005758608966</v>
      </c>
      <c r="G8" s="145">
        <f ca="1">F8*(100%-'Données projet'!$C$24)*(100%-'Données projet'!$C$25)*(100%-'Données projet'!$C$26)*(100%-'Données projet'!$C$27)</f>
        <v>7.0745405182748069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1.3804599500000001</v>
      </c>
      <c r="K8" s="149">
        <f>J8*(100%-'Données projet'!$C$24)*(100%-'Données projet'!$C$25)*(100%-'Données projet'!$C$26)*(100%-'Données projet'!$C$27)</f>
        <v>1.2424139550000002</v>
      </c>
      <c r="L8" s="150">
        <f t="shared" ca="1" si="2"/>
        <v>8.3169544732748069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103.27905648894735</v>
      </c>
      <c r="G16" s="164">
        <f t="shared" ca="1" si="3"/>
        <v>92.95115084005262</v>
      </c>
      <c r="H16" s="165">
        <f t="shared" si="3"/>
        <v>0</v>
      </c>
      <c r="I16" s="165">
        <f t="shared" si="3"/>
        <v>0</v>
      </c>
      <c r="J16" s="166">
        <f t="shared" si="3"/>
        <v>11.06122863</v>
      </c>
      <c r="K16" s="166">
        <f t="shared" si="3"/>
        <v>9.9551057670000009</v>
      </c>
      <c r="L16" s="167">
        <f t="shared" ca="1" si="3"/>
        <v>102.90625660705261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0" t="s">
        <v>246</v>
      </c>
      <c r="G17" s="291"/>
      <c r="H17" s="291"/>
      <c r="I17" s="291"/>
      <c r="J17" s="291"/>
      <c r="K17" s="291"/>
      <c r="L17" s="291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77"/>
      <c r="G18" s="277"/>
      <c r="H18" s="277"/>
      <c r="I18" s="277"/>
      <c r="J18" s="277"/>
      <c r="K18" s="277"/>
      <c r="L18" s="277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Chêne pédonculé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Erable plane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Tilleul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1" zoomScale="90" zoomScaleNormal="90" workbookViewId="0">
      <selection activeCell="T24" sqref="T24:V24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8" t="s">
        <v>272</v>
      </c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80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4" t="s">
        <v>315</v>
      </c>
      <c r="I4" s="264"/>
      <c r="K4" s="306" t="s">
        <v>253</v>
      </c>
      <c r="L4" s="307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298" t="s">
        <v>310</v>
      </c>
      <c r="S7" s="299"/>
      <c r="T7" s="299"/>
      <c r="U7" s="299"/>
      <c r="V7" s="300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pédonculé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-3266.1852920236561</v>
      </c>
      <c r="U10" s="176">
        <f>'Données projet'!D9</f>
        <v>0.48154656000000001</v>
      </c>
      <c r="V10" s="175">
        <f>U10*T10</f>
        <v>-1572.820291696587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Erable plane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-2355.1639272685029</v>
      </c>
      <c r="U11" s="176">
        <f>'Données projet'!D10</f>
        <v>6.4724000000000004E-2</v>
      </c>
      <c r="V11" s="175">
        <f t="shared" ref="V11" si="0">U11*T11</f>
        <v>-152.43563002852659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Tilleul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-2852.9581149569344</v>
      </c>
      <c r="U12" s="176">
        <f>'Données projet'!D11</f>
        <v>4.0305400000000005E-2</v>
      </c>
      <c r="V12" s="175">
        <f t="shared" ref="V12:V19" si="1">U12*T12</f>
        <v>-114.98961800658525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Chêne pédonculé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09" t="s">
        <v>318</v>
      </c>
      <c r="H15" s="188"/>
      <c r="I15" s="189"/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09"/>
      <c r="H16" s="188"/>
      <c r="I16" s="189"/>
      <c r="J16" s="200"/>
      <c r="K16" s="206"/>
      <c r="L16" s="306" t="s">
        <v>254</v>
      </c>
      <c r="M16" s="307"/>
      <c r="N16" s="2">
        <v>40</v>
      </c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3443.25</v>
      </c>
      <c r="F17" s="228"/>
      <c r="G17" s="309"/>
      <c r="J17" s="200"/>
      <c r="K17" s="206"/>
      <c r="L17" s="266" t="s">
        <v>289</v>
      </c>
      <c r="M17" s="268"/>
      <c r="N17" s="173">
        <f>VLOOKUP(N16,Calculateur!$A$2:$H$153,3,0)/VLOOKUP('Scénario référence'!$G$15,Paramètres!A1:I89,3,0)/VLOOKUP('Scénario référence'!$G$15,Paramètres!A1:I89,5,0)</f>
        <v>40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09"/>
      <c r="J18" s="200"/>
      <c r="K18" s="206"/>
      <c r="L18" s="266" t="s">
        <v>255</v>
      </c>
      <c r="M18" s="268"/>
      <c r="N18" s="190">
        <v>15</v>
      </c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09"/>
      <c r="H19" s="210" t="s">
        <v>178</v>
      </c>
      <c r="I19" s="210" t="s">
        <v>287</v>
      </c>
      <c r="J19" s="91"/>
      <c r="K19" s="171"/>
      <c r="L19" s="306" t="s">
        <v>288</v>
      </c>
      <c r="M19" s="307"/>
      <c r="N19" s="177">
        <f>N17*N18</f>
        <v>600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09"/>
      <c r="H20" s="188">
        <v>0</v>
      </c>
      <c r="I20" s="189">
        <v>2717.31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0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>
        <v>0</v>
      </c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20</v>
      </c>
      <c r="B23" s="179">
        <f>'Données projet'!D36</f>
        <v>6</v>
      </c>
      <c r="C23" s="191">
        <v>15</v>
      </c>
      <c r="D23" s="180">
        <f>B23*C23</f>
        <v>90</v>
      </c>
      <c r="E23" s="191"/>
      <c r="F23" s="228"/>
      <c r="H23" s="188">
        <v>3</v>
      </c>
      <c r="I23" s="189">
        <v>0</v>
      </c>
      <c r="K23" s="206"/>
      <c r="L23" s="308" t="s">
        <v>260</v>
      </c>
      <c r="M23" s="308"/>
      <c r="N23" s="308"/>
      <c r="O23" s="23"/>
      <c r="P23" s="23"/>
      <c r="Q23" s="232"/>
      <c r="R23" s="23"/>
      <c r="S23" s="36" t="s">
        <v>264</v>
      </c>
      <c r="T23" s="30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-3439.1107437316987</v>
      </c>
      <c r="U23" s="303"/>
      <c r="V23" s="303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25</v>
      </c>
      <c r="B24" s="179">
        <f>'Données projet'!D37</f>
        <v>28</v>
      </c>
      <c r="C24" s="191">
        <v>15</v>
      </c>
      <c r="D24" s="180">
        <f t="shared" ref="D24:D42" si="2">B24*C24</f>
        <v>420</v>
      </c>
      <c r="E24" s="191"/>
      <c r="F24" s="231"/>
      <c r="H24" s="188">
        <v>4</v>
      </c>
      <c r="I24" s="189">
        <v>0</v>
      </c>
      <c r="K24" s="206"/>
      <c r="O24" s="23"/>
      <c r="P24" s="23"/>
      <c r="Q24" s="232"/>
      <c r="R24" s="23"/>
      <c r="S24" s="36" t="s">
        <v>261</v>
      </c>
      <c r="T24" s="304">
        <f ca="1">'Scénario référence'!$B$8*$M$30*'Données projet'!$C$5+('Scénario référence'!B9+'Scénario référence'!B10+'Scénario référence'!F8+'Scénario référence'!F9)*$N$19/(1+M4)^N16*'Données projet'!$C$5</f>
        <v>60.697708631899253</v>
      </c>
      <c r="U24" s="304"/>
      <c r="V24" s="30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30</v>
      </c>
      <c r="B25" s="179">
        <f>'Données projet'!D38</f>
        <v>28</v>
      </c>
      <c r="C25" s="191"/>
      <c r="D25" s="180">
        <f t="shared" si="2"/>
        <v>0</v>
      </c>
      <c r="E25" s="191"/>
      <c r="F25" s="231"/>
      <c r="H25" s="188">
        <v>5</v>
      </c>
      <c r="I25" s="189">
        <v>0</v>
      </c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5">
        <f ca="1">T23-T24</f>
        <v>-3499.808452363598</v>
      </c>
      <c r="U25" s="305"/>
      <c r="V25" s="305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35</v>
      </c>
      <c r="B26" s="179">
        <f>'Données projet'!D39</f>
        <v>28</v>
      </c>
      <c r="C26" s="191"/>
      <c r="D26" s="180">
        <f t="shared" si="2"/>
        <v>0</v>
      </c>
      <c r="E26" s="191"/>
      <c r="F26" s="231"/>
      <c r="G26" s="227"/>
      <c r="H26" s="188">
        <v>6</v>
      </c>
      <c r="I26" s="189">
        <v>0</v>
      </c>
      <c r="K26" s="206"/>
      <c r="L26" s="292" t="s">
        <v>258</v>
      </c>
      <c r="M26" s="293"/>
      <c r="N26" s="293"/>
      <c r="O26" s="293"/>
      <c r="P26" s="294"/>
      <c r="Q26" s="232"/>
      <c r="R26" s="23"/>
      <c r="S26" s="184" t="s">
        <v>265</v>
      </c>
      <c r="T26" s="302" t="str">
        <f ca="1">IF(T25&lt;0,"Votre projet est additionnel","Votre projet n'est pas additionnel")</f>
        <v>Votre projet est additionnel</v>
      </c>
      <c r="U26" s="302"/>
      <c r="V26" s="302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40</v>
      </c>
      <c r="B27" s="179">
        <f>'Données projet'!D40</f>
        <v>28</v>
      </c>
      <c r="C27" s="191"/>
      <c r="D27" s="180">
        <f t="shared" si="2"/>
        <v>0</v>
      </c>
      <c r="E27" s="191"/>
      <c r="F27" s="231"/>
      <c r="G27" s="227"/>
      <c r="H27" s="188">
        <v>7</v>
      </c>
      <c r="I27" s="189">
        <v>0</v>
      </c>
      <c r="K27" s="206"/>
      <c r="L27" s="295"/>
      <c r="M27" s="296"/>
      <c r="N27" s="296"/>
      <c r="O27" s="296"/>
      <c r="P27" s="297"/>
      <c r="Q27" s="232"/>
      <c r="R27" s="23"/>
      <c r="S27" s="301" t="s">
        <v>267</v>
      </c>
      <c r="T27" s="301"/>
      <c r="U27" s="301"/>
      <c r="V27" s="301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45</v>
      </c>
      <c r="B28" s="179">
        <f>'Données projet'!D41</f>
        <v>28</v>
      </c>
      <c r="C28" s="191"/>
      <c r="D28" s="180">
        <f t="shared" si="2"/>
        <v>0</v>
      </c>
      <c r="E28" s="191"/>
      <c r="F28" s="231"/>
      <c r="G28" s="203"/>
      <c r="H28" s="188">
        <v>8</v>
      </c>
      <c r="I28" s="189">
        <v>0</v>
      </c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50</v>
      </c>
      <c r="B29" s="179">
        <f>'Données projet'!D42</f>
        <v>28</v>
      </c>
      <c r="C29" s="191"/>
      <c r="D29" s="180">
        <f t="shared" si="2"/>
        <v>0</v>
      </c>
      <c r="E29" s="191"/>
      <c r="F29" s="231"/>
      <c r="G29" s="201"/>
      <c r="H29" s="188">
        <v>9</v>
      </c>
      <c r="I29" s="189">
        <v>0</v>
      </c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55</v>
      </c>
      <c r="B30" s="179">
        <f>'Données projet'!D43</f>
        <v>28</v>
      </c>
      <c r="C30" s="191"/>
      <c r="D30" s="180">
        <f t="shared" si="2"/>
        <v>0</v>
      </c>
      <c r="E30" s="191"/>
      <c r="F30" s="231"/>
      <c r="G30" s="201"/>
      <c r="H30" s="188">
        <v>10</v>
      </c>
      <c r="I30" s="189">
        <v>0</v>
      </c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60</v>
      </c>
      <c r="B31" s="179">
        <f>'Données projet'!D44</f>
        <v>28</v>
      </c>
      <c r="C31" s="191"/>
      <c r="D31" s="180">
        <f t="shared" si="2"/>
        <v>0</v>
      </c>
      <c r="E31" s="191"/>
      <c r="F31" s="231"/>
      <c r="G31" s="201"/>
      <c r="H31" s="188">
        <v>11</v>
      </c>
      <c r="I31" s="189">
        <v>0</v>
      </c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65</v>
      </c>
      <c r="B32" s="179">
        <f>'Données projet'!D45</f>
        <v>28</v>
      </c>
      <c r="C32" s="191"/>
      <c r="D32" s="180">
        <f t="shared" si="2"/>
        <v>0</v>
      </c>
      <c r="E32" s="191"/>
      <c r="F32" s="231"/>
      <c r="G32" s="201"/>
      <c r="H32" s="188">
        <v>12</v>
      </c>
      <c r="I32" s="189">
        <v>0</v>
      </c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70</v>
      </c>
      <c r="B33" s="179">
        <f>'Données projet'!D46</f>
        <v>28</v>
      </c>
      <c r="C33" s="191"/>
      <c r="D33" s="180">
        <f t="shared" si="2"/>
        <v>0</v>
      </c>
      <c r="E33" s="191"/>
      <c r="F33" s="231"/>
      <c r="G33" s="201"/>
      <c r="H33" s="188">
        <v>13</v>
      </c>
      <c r="I33" s="189">
        <v>0</v>
      </c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75</v>
      </c>
      <c r="B34" s="179">
        <f>'Données projet'!D47</f>
        <v>28</v>
      </c>
      <c r="C34" s="191"/>
      <c r="D34" s="180">
        <f t="shared" si="2"/>
        <v>0</v>
      </c>
      <c r="E34" s="191"/>
      <c r="F34" s="231"/>
      <c r="G34" s="201"/>
      <c r="H34" s="188">
        <v>14</v>
      </c>
      <c r="I34" s="189">
        <v>0</v>
      </c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80</v>
      </c>
      <c r="B35" s="179">
        <f>'Données projet'!D48</f>
        <v>28</v>
      </c>
      <c r="C35" s="191"/>
      <c r="D35" s="180">
        <f t="shared" si="2"/>
        <v>0</v>
      </c>
      <c r="E35" s="191"/>
      <c r="F35" s="231"/>
      <c r="G35" s="201"/>
      <c r="H35" s="188">
        <v>15</v>
      </c>
      <c r="I35" s="189">
        <v>0</v>
      </c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85</v>
      </c>
      <c r="B36" s="179">
        <f>'Données projet'!D49</f>
        <v>28</v>
      </c>
      <c r="C36" s="191"/>
      <c r="D36" s="180">
        <f t="shared" si="2"/>
        <v>0</v>
      </c>
      <c r="E36" s="191"/>
      <c r="F36" s="231"/>
      <c r="G36" s="201"/>
      <c r="H36" s="188">
        <v>16</v>
      </c>
      <c r="I36" s="189">
        <v>0</v>
      </c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90</v>
      </c>
      <c r="B37" s="179">
        <f>'Données projet'!D50</f>
        <v>28</v>
      </c>
      <c r="C37" s="191"/>
      <c r="D37" s="180">
        <f t="shared" si="2"/>
        <v>0</v>
      </c>
      <c r="E37" s="191"/>
      <c r="F37" s="231"/>
      <c r="G37" s="201"/>
      <c r="H37" s="188">
        <v>17</v>
      </c>
      <c r="I37" s="189">
        <v>0</v>
      </c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95</v>
      </c>
      <c r="B38" s="179">
        <f>'Données projet'!D51</f>
        <v>28</v>
      </c>
      <c r="C38" s="191"/>
      <c r="D38" s="180">
        <f t="shared" si="2"/>
        <v>0</v>
      </c>
      <c r="E38" s="191"/>
      <c r="F38" s="231"/>
      <c r="G38" s="201"/>
      <c r="H38" s="188">
        <v>18</v>
      </c>
      <c r="I38" s="189">
        <v>0</v>
      </c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100</v>
      </c>
      <c r="B39" s="179">
        <f>'Données projet'!D52</f>
        <v>27</v>
      </c>
      <c r="C39" s="191"/>
      <c r="D39" s="180">
        <f t="shared" si="2"/>
        <v>0</v>
      </c>
      <c r="E39" s="191"/>
      <c r="F39" s="231"/>
      <c r="G39" s="201"/>
      <c r="H39" s="188">
        <v>19</v>
      </c>
      <c r="I39" s="189">
        <v>0</v>
      </c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105</v>
      </c>
      <c r="B40" s="179">
        <f>'Données projet'!D53</f>
        <v>26</v>
      </c>
      <c r="C40" s="191"/>
      <c r="D40" s="180">
        <f t="shared" si="2"/>
        <v>0</v>
      </c>
      <c r="E40" s="191"/>
      <c r="F40" s="231"/>
      <c r="G40" s="201"/>
      <c r="H40" s="188">
        <v>20</v>
      </c>
      <c r="I40" s="189">
        <v>0</v>
      </c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110</v>
      </c>
      <c r="B41" s="179">
        <f>'Données projet'!D54</f>
        <v>25</v>
      </c>
      <c r="C41" s="191"/>
      <c r="D41" s="180">
        <f t="shared" si="2"/>
        <v>0</v>
      </c>
      <c r="E41" s="191"/>
      <c r="F41" s="231"/>
      <c r="G41" s="201"/>
      <c r="H41" s="188">
        <v>21</v>
      </c>
      <c r="I41" s="189">
        <v>0</v>
      </c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115</v>
      </c>
      <c r="B42" s="179">
        <f>'Données projet'!D55</f>
        <v>24</v>
      </c>
      <c r="C42" s="191"/>
      <c r="D42" s="180">
        <f t="shared" si="2"/>
        <v>0</v>
      </c>
      <c r="E42" s="191"/>
      <c r="F42" s="231"/>
      <c r="G42" s="201"/>
      <c r="H42" s="188">
        <v>22</v>
      </c>
      <c r="I42" s="189">
        <v>0</v>
      </c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>
        <v>23</v>
      </c>
      <c r="I43" s="189">
        <v>0</v>
      </c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>
        <v>24</v>
      </c>
      <c r="I44" s="189">
        <v>0</v>
      </c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Erable plane</v>
      </c>
      <c r="C45" s="4"/>
      <c r="D45" s="4"/>
      <c r="E45" s="4"/>
      <c r="F45" s="228"/>
      <c r="G45" s="201"/>
      <c r="H45" s="188">
        <v>25</v>
      </c>
      <c r="I45" s="189">
        <v>0</v>
      </c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>
        <v>26</v>
      </c>
      <c r="I46" s="189">
        <v>0</v>
      </c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>
        <v>27</v>
      </c>
      <c r="I47" s="189">
        <v>0</v>
      </c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2887.71</v>
      </c>
      <c r="F48" s="229"/>
      <c r="G48" s="201"/>
      <c r="H48" s="188">
        <v>28</v>
      </c>
      <c r="I48" s="189">
        <v>0</v>
      </c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>
        <v>29</v>
      </c>
      <c r="I49" s="189">
        <v>0</v>
      </c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>
        <v>30</v>
      </c>
      <c r="I50" s="189">
        <v>0</v>
      </c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10</v>
      </c>
      <c r="B54" s="179">
        <f>'Données projet'!D62</f>
        <v>0</v>
      </c>
      <c r="C54" s="189">
        <v>15</v>
      </c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15</v>
      </c>
      <c r="B55" s="179">
        <f>'Données projet'!D63</f>
        <v>32</v>
      </c>
      <c r="C55" s="189">
        <v>15</v>
      </c>
      <c r="D55" s="177">
        <f t="shared" ref="D55:D73" si="4">B55*C55</f>
        <v>480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20</v>
      </c>
      <c r="B56" s="179">
        <f>'Données projet'!D64</f>
        <v>35</v>
      </c>
      <c r="C56" s="189">
        <v>15</v>
      </c>
      <c r="D56" s="177">
        <f t="shared" si="4"/>
        <v>525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25</v>
      </c>
      <c r="B57" s="179">
        <f>'Données projet'!D65</f>
        <v>35</v>
      </c>
      <c r="C57" s="189">
        <v>15</v>
      </c>
      <c r="D57" s="177">
        <f t="shared" si="4"/>
        <v>525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30</v>
      </c>
      <c r="B58" s="179">
        <f>'Données projet'!D66</f>
        <v>35</v>
      </c>
      <c r="C58" s="189">
        <v>15</v>
      </c>
      <c r="D58" s="177">
        <f t="shared" si="4"/>
        <v>525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35</v>
      </c>
      <c r="B59" s="179">
        <f>'Données projet'!D67</f>
        <v>35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40</v>
      </c>
      <c r="B60" s="179">
        <f>'Données projet'!D68</f>
        <v>35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45</v>
      </c>
      <c r="B61" s="179">
        <f>'Données projet'!D69</f>
        <v>24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50</v>
      </c>
      <c r="B62" s="179">
        <f>'Données projet'!D70</f>
        <v>19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55</v>
      </c>
      <c r="B63" s="179">
        <f>'Données projet'!D71</f>
        <v>16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60</v>
      </c>
      <c r="B64" s="179">
        <f>'Données projet'!D72</f>
        <v>14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65</v>
      </c>
      <c r="B65" s="179">
        <f>'Données projet'!D73</f>
        <v>13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70</v>
      </c>
      <c r="B66" s="179">
        <f>'Données projet'!D74</f>
        <v>13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75</v>
      </c>
      <c r="B67" s="179">
        <f>'Données projet'!D75</f>
        <v>12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80</v>
      </c>
      <c r="B68" s="179">
        <f>'Données projet'!D76</f>
        <v>11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Tilleul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3633.53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10</v>
      </c>
      <c r="B85" s="179">
        <f>'Données projet'!D88</f>
        <v>0</v>
      </c>
      <c r="C85" s="189">
        <v>15</v>
      </c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15</v>
      </c>
      <c r="B86" s="179">
        <f>'Données projet'!D89</f>
        <v>32</v>
      </c>
      <c r="C86" s="189">
        <v>15</v>
      </c>
      <c r="D86" s="177">
        <f t="shared" ref="D86:D104" si="6">B86*C86</f>
        <v>480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20</v>
      </c>
      <c r="B87" s="179">
        <f>'Données projet'!D90</f>
        <v>35</v>
      </c>
      <c r="C87" s="189">
        <v>15</v>
      </c>
      <c r="D87" s="177">
        <f t="shared" si="6"/>
        <v>525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25</v>
      </c>
      <c r="B88" s="179">
        <f>'Données projet'!D91</f>
        <v>35</v>
      </c>
      <c r="C88" s="189">
        <v>15</v>
      </c>
      <c r="D88" s="177">
        <f t="shared" si="6"/>
        <v>525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30</v>
      </c>
      <c r="B89" s="179">
        <f>'Données projet'!D92</f>
        <v>35</v>
      </c>
      <c r="C89" s="189">
        <v>15</v>
      </c>
      <c r="D89" s="177">
        <f t="shared" si="6"/>
        <v>525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35</v>
      </c>
      <c r="B90" s="179">
        <f>'Données projet'!D93</f>
        <v>35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40</v>
      </c>
      <c r="B91" s="179">
        <f>'Données projet'!D94</f>
        <v>35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45</v>
      </c>
      <c r="B92" s="179">
        <f>'Données projet'!D95</f>
        <v>24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50</v>
      </c>
      <c r="B93" s="179">
        <f>'Données projet'!D96</f>
        <v>19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55</v>
      </c>
      <c r="B94" s="179">
        <f>'Données projet'!D97</f>
        <v>16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>
        <f>IF(O93+1&lt;=MIN('Données projet'!$E$9:$E$18),O93+1,"STOP")</f>
        <v>61</v>
      </c>
      <c r="P94" s="183">
        <f t="shared" si="5"/>
        <v>0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60</v>
      </c>
      <c r="B95" s="179">
        <f>'Données projet'!D98</f>
        <v>14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>
        <f>IF(O94+1&lt;=MIN('Données projet'!$E$9:$E$18),O94+1,"STOP")</f>
        <v>62</v>
      </c>
      <c r="P95" s="183">
        <f t="shared" si="5"/>
        <v>0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65</v>
      </c>
      <c r="B96" s="179">
        <f>'Données projet'!D99</f>
        <v>13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>
        <f>IF(O95+1&lt;=MIN('Données projet'!$E$9:$E$18),O95+1,"STOP")</f>
        <v>63</v>
      </c>
      <c r="P96" s="183">
        <f t="shared" si="5"/>
        <v>0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70</v>
      </c>
      <c r="B97" s="179">
        <f>'Données projet'!D100</f>
        <v>13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>
        <f>IF(O96+1&lt;=MIN('Données projet'!$E$9:$E$18),O96+1,"STOP")</f>
        <v>64</v>
      </c>
      <c r="P97" s="183">
        <f t="shared" ref="P97:P128" si="7">$P$25/(1+$M$4)^O97</f>
        <v>0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75</v>
      </c>
      <c r="B98" s="179">
        <f>'Données projet'!D101</f>
        <v>12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>
        <f>IF(O97+1&lt;=MIN('Données projet'!$E$9:$E$18),O97+1,"STOP")</f>
        <v>65</v>
      </c>
      <c r="P98" s="183">
        <f t="shared" si="7"/>
        <v>0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80</v>
      </c>
      <c r="B99" s="179">
        <f>'Données projet'!D102</f>
        <v>11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>
        <f>IF(O98+1&lt;=MIN('Données projet'!$E$9:$E$18),O98+1,"STOP")</f>
        <v>66</v>
      </c>
      <c r="P99" s="183">
        <f t="shared" si="7"/>
        <v>0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>
        <f>IF(O99+1&lt;=MIN('Données projet'!$E$9:$E$18),O99+1,"STOP")</f>
        <v>67</v>
      </c>
      <c r="P100" s="183">
        <f t="shared" si="7"/>
        <v>0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>
        <f>IF(O100+1&lt;=MIN('Données projet'!$E$9:$E$18),O100+1,"STOP")</f>
        <v>68</v>
      </c>
      <c r="P101" s="183">
        <f t="shared" si="7"/>
        <v>0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>
        <f>IF(O101+1&lt;=MIN('Données projet'!$E$9:$E$18),O101+1,"STOP")</f>
        <v>69</v>
      </c>
      <c r="P102" s="183">
        <f t="shared" si="7"/>
        <v>0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>
        <f>IF(O102+1&lt;=MIN('Données projet'!$E$9:$E$18),O102+1,"STOP")</f>
        <v>70</v>
      </c>
      <c r="P103" s="183">
        <f t="shared" si="7"/>
        <v>0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>
        <f>IF(O103+1&lt;=MIN('Données projet'!$E$9:$E$18),O103+1,"STOP")</f>
        <v>71</v>
      </c>
      <c r="P104" s="183">
        <f t="shared" si="7"/>
        <v>0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>
        <f>IF(O104+1&lt;=MIN('Données projet'!$E$9:$E$18),O104+1,"STOP")</f>
        <v>72</v>
      </c>
      <c r="P105" s="183">
        <f t="shared" si="7"/>
        <v>0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>
        <f>IF(O105+1&lt;=MIN('Données projet'!$E$9:$E$18),O105+1,"STOP")</f>
        <v>73</v>
      </c>
      <c r="P106" s="183">
        <f t="shared" si="7"/>
        <v>0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>
        <f>IF(O106+1&lt;=MIN('Données projet'!$E$9:$E$18),O106+1,"STOP")</f>
        <v>74</v>
      </c>
      <c r="P107" s="183">
        <f t="shared" si="7"/>
        <v>0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>
        <f>IF(O107+1&lt;=MIN('Données projet'!$E$9:$E$18),O107+1,"STOP")</f>
        <v>75</v>
      </c>
      <c r="P108" s="183">
        <f t="shared" si="7"/>
        <v>0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>
        <f>IF(O108+1&lt;=MIN('Données projet'!$E$9:$E$18),O108+1,"STOP")</f>
        <v>76</v>
      </c>
      <c r="P109" s="183">
        <f t="shared" si="7"/>
        <v>0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>
        <f>IF(O109+1&lt;=MIN('Données projet'!$E$9:$E$18),O109+1,"STOP")</f>
        <v>77</v>
      </c>
      <c r="P110" s="183">
        <f t="shared" si="7"/>
        <v>0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>
        <f>IF(O110+1&lt;=MIN('Données projet'!$E$9:$E$18),O110+1,"STOP")</f>
        <v>78</v>
      </c>
      <c r="P111" s="183">
        <f t="shared" si="7"/>
        <v>0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>
        <f>IF(O111+1&lt;=MIN('Données projet'!$E$9:$E$18),O111+1,"STOP")</f>
        <v>79</v>
      </c>
      <c r="P112" s="183">
        <f t="shared" si="7"/>
        <v>0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>
        <f>IF(O112+1&lt;=MIN('Données projet'!$E$9:$E$18),O112+1,"STOP")</f>
        <v>80</v>
      </c>
      <c r="P113" s="183">
        <f t="shared" si="7"/>
        <v>0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str">
        <f>IF(O113+1&lt;=MIN('Données projet'!$E$9:$E$18),O113+1,"STOP")</f>
        <v>STOP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Carbonapp</cp:lastModifiedBy>
  <dcterms:created xsi:type="dcterms:W3CDTF">2021-02-01T08:22:39Z</dcterms:created>
  <dcterms:modified xsi:type="dcterms:W3CDTF">2022-12-21T14:02:32Z</dcterms:modified>
</cp:coreProperties>
</file>