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SERVIES (81) - GF de Rouzieux - SWC ELECTRABEL\Dossier déposé le 05 04 2023\"/>
    </mc:Choice>
  </mc:AlternateContent>
  <xr:revisionPtr revIDLastSave="0" documentId="13_ncr:1_{2631A8CA-BAA0-4C9F-A76C-484615D9B956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26" i="2" a="1"/>
  <c r="BC126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92" i="2" a="1"/>
  <c r="BC192" i="2" s="1"/>
  <c r="BC143" i="2" a="1"/>
  <c r="BC143" i="2" s="1"/>
  <c r="BC185" i="2" a="1"/>
  <c r="BC185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38" i="2" l="1" a="1"/>
  <c r="CS38" i="2" s="1"/>
  <c r="CS137" i="2" a="1"/>
  <c r="CS137" i="2" s="1"/>
  <c r="CS72" i="2" a="1"/>
  <c r="CS72" i="2" s="1"/>
  <c r="CS129" i="2" a="1"/>
  <c r="CS129" i="2" s="1"/>
  <c r="CS24" i="2" a="1"/>
  <c r="CS24" i="2" s="1"/>
  <c r="CS120" i="2" a="1"/>
  <c r="CS120" i="2" s="1"/>
  <c r="CS56" i="2" a="1"/>
  <c r="CS56" i="2" s="1"/>
  <c r="CS52" i="2" a="1"/>
  <c r="CS52" i="2" s="1"/>
  <c r="CS116" i="2" a="1"/>
  <c r="CS116" i="2" s="1"/>
  <c r="CS134" i="2" a="1"/>
  <c r="CS134" i="2" s="1"/>
  <c r="CS185" i="2" a="1"/>
  <c r="CS185" i="2" s="1"/>
  <c r="CS66" i="2" a="1"/>
  <c r="CS66" i="2" s="1"/>
  <c r="AH151" i="2" a="1"/>
  <c r="AH151" i="2" s="1"/>
  <c r="BX107" i="2" a="1"/>
  <c r="BX107" i="2" s="1"/>
  <c r="BC55" i="2" a="1"/>
  <c r="BC55" i="2" s="1"/>
  <c r="BC82" i="2" a="1"/>
  <c r="BC82" i="2" s="1"/>
  <c r="BC18" i="2" a="1"/>
  <c r="BC18" i="2" s="1"/>
  <c r="BC47" i="2" a="1"/>
  <c r="BC47" i="2" s="1"/>
  <c r="BC151" i="2" a="1"/>
  <c r="BC151" i="2" s="1"/>
  <c r="BC7" i="2" a="1"/>
  <c r="BC7" i="2" s="1"/>
  <c r="AH199" i="2" a="1"/>
  <c r="AH199" i="2" s="1"/>
  <c r="CS105" i="2" a="1"/>
  <c r="CS105" i="2" s="1"/>
  <c r="CS161" i="2" a="1"/>
  <c r="CS161" i="2" s="1"/>
  <c r="CS77" i="2" a="1"/>
  <c r="CS77" i="2" s="1"/>
  <c r="AH19" i="2" a="1"/>
  <c r="AH19" i="2" s="1"/>
  <c r="AH90" i="2" a="1"/>
  <c r="AH90" i="2" s="1"/>
  <c r="BC68" i="2" a="1"/>
  <c r="BC68" i="2" s="1"/>
  <c r="AH166" i="2" a="1"/>
  <c r="AH166" i="2" s="1"/>
  <c r="BC181" i="2" a="1"/>
  <c r="BC181" i="2" s="1"/>
  <c r="BC130" i="2" a="1"/>
  <c r="BC130" i="2" s="1"/>
  <c r="BC65" i="2" a="1"/>
  <c r="BC65" i="2" s="1"/>
  <c r="BC38" i="2" a="1"/>
  <c r="BC38" i="2" s="1"/>
  <c r="BC83" i="2" a="1"/>
  <c r="BC83" i="2" s="1"/>
  <c r="BC114" i="2" a="1"/>
  <c r="BC114" i="2" s="1"/>
  <c r="BC58" i="2" a="1"/>
  <c r="BC58" i="2" s="1"/>
  <c r="BC34" i="2" a="1"/>
  <c r="BC34" i="2" s="1"/>
  <c r="BC32" i="2" a="1"/>
  <c r="BC32" i="2" s="1"/>
  <c r="BC31" i="2" a="1"/>
  <c r="BC31" i="2" s="1"/>
  <c r="BC84" i="2" a="1"/>
  <c r="BC84" i="2" s="1"/>
  <c r="BC164" i="2" a="1"/>
  <c r="BC164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<sst xmlns="http://schemas.openxmlformats.org/spreadsheetml/2006/main" count="1171" uniqueCount="326">
  <si>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</si>
  <si>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</si>
  <si>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</si>
  <si>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</si>
  <si>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</si>
  <si>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</si>
  <si>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</si>
  <si>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</si>
  <si>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</si>
  <si>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</si>
  <si>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</si>
  <si>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</si>
  <si>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</si>
  <si>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</si>
  <si>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</si>
  <si>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</si>
  <si>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</si>
  <si>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</si>
  <si>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</si>
  <si>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</si>
  <si>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</si>
  <si>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</si>
  <si>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</si>
  <si>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</si>
  <si>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</si>
  <si>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</si>
  <si>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</si>
  <si>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</si>
  <si>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</si>
  <si>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</si>
  <si>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</si>
  <si>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</si>
  <si>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</si>
  <si>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</si>
  <si>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</si>
  <si>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</si>
  <si>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</si>
  <si>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</si>
  <si>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</si>
  <si>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</si>
  <si>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</si>
  <si>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</si>
  <si>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</si>
  <si>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</si>
  <si>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</si>
  <si>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</si>
  <si>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</si>
  <si>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</si>
  <si>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</si>
  <si>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</si>
  <si>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</si>
  <si>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</si>
  <si>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</si>
  <si>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</si>
  <si>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</si>
  <si>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</si>
  <si>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</si>
  <si>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</si>
  <si>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</si>
  <si>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</si>
  <si>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</si>
  <si>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</si>
  <si>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</si>
  <si>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</si>
  <si>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</si>
  <si>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</si>
  <si>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</si>
  <si>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</si>
  <si>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</si>
  <si>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</si>
  <si>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</si>
  <si>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</si>
  <si>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</si>
  <si>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</si>
  <si>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</si>
  <si>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</si>
  <si>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</si>
  <si>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</si>
  <si>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</si>
  <si>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</si>
  <si>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</si>
  <si>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</si>
  <si>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</si>
  <si>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</si>
  <si>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</si>
  <si>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</si>
  <si>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</si>
  <si>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</si>
  <si>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</si>
  <si>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</si>
  <si>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</si>
  <si>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</si>
  <si>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</si>
  <si>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</si>
  <si>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</si>
  <si>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</si>
  <si>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</si>
  <si>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</si>
  <si>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</si>
  <si>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</si>
  <si>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</si>
  <si>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</si>
  <si>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</si>
  <si>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</si>
  <si>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</si>
  <si>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</si>
  <si>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</si>
  <si>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</si>
  <si>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</si>
  <si>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</si>
  <si>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</si>
  <si>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</si>
  <si>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</si>
  <si>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</si>
  <si>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</si>
  <si>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</si>
  <si>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</si>
  <si>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</si>
  <si>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</si>
  <si>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</si>
  <si>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</si>
  <si>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</si>
  <si>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</si>
  <si>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</si>
  <si>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</si>
  <si>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</si>
  <si>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</si>
  <si>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</si>
  <si>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</si>
  <si>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</si>
  <si>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</si>
  <si>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</si>
  <si>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</si>
  <si>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</si>
  <si>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</si>
  <si>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</si>
  <si>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</si>
  <si>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</si>
  <si>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</si>
  <si>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</si>
  <si>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</si>
  <si>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</si>
  <si>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</si>
  <si>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</si>
  <si>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</si>
  <si>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</si>
  <si>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</si>
  <si>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</si>
  <si>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</si>
  <si>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</si>
  <si>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</si>
  <si>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</si>
  <si>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</si>
  <si>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</si>
  <si>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</si>
  <si>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</si>
  <si>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</si>
  <si>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</si>
  <si>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</si>
  <si>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</si>
  <si>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</si>
  <si>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</si>
  <si>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</si>
  <si>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</si>
  <si>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</si>
  <si>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</si>
  <si>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</si>
  <si>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</si>
  <si>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</si>
  <si>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</si>
  <si>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</si>
  <si>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</si>
  <si>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</si>
  <si>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</si>
  <si>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</si>
  <si>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</si>
  <si>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</si>
  <si>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</si>
  <si>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</si>
  <si>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</si>
  <si>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</si>
  <si>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</si>
  <si>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</si>
  <si>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</si>
  <si>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</si>
  <si>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</si>
  <si>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</si>
  <si>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</si>
  <si>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</si>
  <si>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</si>
  <si>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</si>
  <si>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</si>
  <si>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</si>
  <si>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</si>
  <si>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</si>
  <si>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</si>
  <si>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</si>
  <si>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</si>
  <si>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</si>
  <si>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</si>
  <si>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</si>
  <si>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</si>
  <si>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</si>
  <si>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</si>
  <si>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</si>
  <si>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</si>
  <si>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</si>
  <si>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</si>
  <si>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</si>
  <si>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</si>
  <si>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</si>
  <si>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</si>
  <si>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</si>
  <si>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</si>
  <si>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</si>
  <si>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</si>
  <si>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</si>
  <si>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</si>
  <si>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</si>
  <si>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</si>
  <si>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</si>
  <si>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</si>
  <si>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</si>
  <si>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</si>
  <si>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</si>
  <si>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</si>
  <si>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</si>
  <si>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</si>
  <si>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</si>
  <si>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</si>
  <si>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</si>
  <si>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</si>
  <si>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</si>
  <si>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</si>
  <si>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</si>
  <si>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</si>
  <si>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</si>
  <si>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</si>
  <si>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</si>
  <si>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</si>
  <si>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</si>
  <si>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</si>
  <si>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</si>
  <si>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</si>
  <si>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</si>
  <si>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</si>
  <si>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</si>
  <si>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</si>
  <si>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</si>
  <si>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</si>
  <si>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</si>
  <si>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</si>
  <si>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</si>
  <si>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</si>
  <si>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</si>
  <si>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</si>
  <si>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</si>
  <si>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</si>
  <si>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</si>
  <si>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</si>
  <si>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</si>
  <si>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</si>
  <si>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</si>
  <si>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</si>
  <si>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</si>
  <si>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</si>
  <si>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</si>
  <si>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</si>
  <si>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</si>
  <si>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</si>
  <si>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</si>
  <si>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</si>
  <si>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</si>
  <si>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</si>
  <si>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</si>
  <si>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</si>
  <si>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</si>
  <si>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</si>
  <si>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</si>
  <si>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</si>
  <si>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</si>
  <si>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</si>
  <si>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</si>
  <si>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</si>
  <si>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</si>
  <si>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</si>
  <si>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</si>
  <si>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</si>
  <si>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</si>
  <si>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</si>
  <si>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</si>
  <si>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</si>
  <si>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</si>
  <si>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</si>
  <si>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</si>
  <si>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</si>
  <si>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</si>
  <si>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</si>
  <si>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</si>
  <si>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</si>
  <si>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</si>
  <si>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</si>
  <si>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</si>
  <si>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</si>
  <si>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</si>
  <si>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</si>
  <si>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</si>
  <si>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</si>
  <si>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</si>
  <si>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</si>
  <si>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</si>
  <si>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</si>
  <si>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</si>
  <si>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</si>
  <si>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</si>
  <si>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</si>
  <si>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</si>
  <si>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</si>
  <si>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</si>
  <si>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</si>
  <si>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</si>
  <si>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</si>
  <si>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</si>
  <si>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</si>
  <si>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pin maritime</t>
  </si>
  <si>
    <t>pin laricio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</si>
</sst>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5" zoomScale="90" zoomScaleNormal="90" workbookViewId="0">
      <selection activeCell="E65" sqref="E6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324</v>
      </c>
      <c r="C9" s="35">
        <v>0.33</v>
      </c>
      <c r="D9" s="36">
        <f t="shared" ref="D9:D18" si="0">C9*$C$5</f>
        <v>1.4850000000000001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325</v>
      </c>
      <c r="C10" s="35">
        <v>0.67</v>
      </c>
      <c r="D10" s="36">
        <f t="shared" si="0"/>
        <v>3.0150000000000001</v>
      </c>
      <c r="E10" s="37">
        <v>82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laricio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22</v>
      </c>
      <c r="B62" s="63">
        <v>123</v>
      </c>
      <c r="C62" s="63">
        <v>1</v>
      </c>
      <c r="D62" s="63">
        <v>16</v>
      </c>
      <c r="E62" s="54"/>
      <c r="F62" s="54"/>
      <c r="G62" s="54">
        <v>1</v>
      </c>
      <c r="H62" s="54"/>
      <c r="I62" s="56">
        <f>IFERROR(B62/A62,"")</f>
        <v>5.5909090909090908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144</v>
      </c>
      <c r="C63" s="63">
        <v>2</v>
      </c>
      <c r="D63" s="63">
        <v>17</v>
      </c>
      <c r="E63" s="54"/>
      <c r="F63" s="54"/>
      <c r="G63" s="54">
        <v>1</v>
      </c>
      <c r="H63" s="54"/>
      <c r="I63" s="52">
        <f>IF(A63&lt;&gt;0,(B63-(B62-D62))/(A63-A62),"")</f>
        <v>12.333333333333334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194</v>
      </c>
      <c r="C64" s="63">
        <v>3</v>
      </c>
      <c r="D64" s="63">
        <v>34</v>
      </c>
      <c r="E64" s="54"/>
      <c r="F64" s="54"/>
      <c r="G64" s="54">
        <v>1</v>
      </c>
      <c r="H64" s="54"/>
      <c r="I64" s="52">
        <f>IF(A64&lt;&gt;0,(B64-(B63-D63))/(A64-A63),"")</f>
        <v>13.4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233</v>
      </c>
      <c r="C65" s="63">
        <v>4</v>
      </c>
      <c r="D65" s="63">
        <v>41</v>
      </c>
      <c r="E65" s="54"/>
      <c r="F65" s="54"/>
      <c r="G65" s="54"/>
      <c r="H65" s="54"/>
      <c r="I65" s="52">
        <f>IF(A65&lt;&gt;0,(B65-(B64-D64))/(A65-A64),"")</f>
        <v>14.6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264</v>
      </c>
      <c r="C66" s="63">
        <v>5</v>
      </c>
      <c r="D66" s="63">
        <v>41</v>
      </c>
      <c r="E66" s="54"/>
      <c r="F66" s="54"/>
      <c r="G66" s="54"/>
      <c r="H66" s="54"/>
      <c r="I66" s="52">
        <f t="shared" ref="I66:I81" si="2">IF(A66&lt;&gt;0,(B66-(B65-D65))/(A66-A65),"")</f>
        <v>14.4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306</v>
      </c>
      <c r="C67" s="63">
        <v>6</v>
      </c>
      <c r="D67" s="63">
        <v>53</v>
      </c>
      <c r="E67" s="54"/>
      <c r="F67" s="54"/>
      <c r="G67" s="54"/>
      <c r="H67" s="54"/>
      <c r="I67" s="52">
        <f t="shared" si="2"/>
        <v>16.600000000000001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340</v>
      </c>
      <c r="C68" s="63">
        <v>7</v>
      </c>
      <c r="D68" s="63">
        <v>53</v>
      </c>
      <c r="E68" s="54"/>
      <c r="F68" s="54"/>
      <c r="G68" s="54"/>
      <c r="H68" s="54"/>
      <c r="I68" s="52">
        <f t="shared" si="2"/>
        <v>17.399999999999999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58</v>
      </c>
      <c r="B69" s="53">
        <v>428</v>
      </c>
      <c r="C69" s="53">
        <v>8</v>
      </c>
      <c r="D69" s="53">
        <v>78</v>
      </c>
      <c r="E69" s="54"/>
      <c r="F69" s="54"/>
      <c r="G69" s="54"/>
      <c r="H69" s="54"/>
      <c r="I69" s="52">
        <f t="shared" si="2"/>
        <v>17.625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66</v>
      </c>
      <c r="B70" s="53">
        <v>483</v>
      </c>
      <c r="C70" s="53">
        <v>9</v>
      </c>
      <c r="D70" s="53">
        <v>65</v>
      </c>
      <c r="E70" s="54"/>
      <c r="F70" s="54"/>
      <c r="G70" s="54"/>
      <c r="H70" s="54"/>
      <c r="I70" s="52">
        <f t="shared" si="2"/>
        <v>16.625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74</v>
      </c>
      <c r="B71" s="53">
        <v>521</v>
      </c>
      <c r="C71" s="53">
        <v>10</v>
      </c>
      <c r="D71" s="53">
        <v>37</v>
      </c>
      <c r="E71" s="54"/>
      <c r="F71" s="54"/>
      <c r="G71" s="54"/>
      <c r="H71" s="54"/>
      <c r="I71" s="52">
        <f t="shared" si="2"/>
        <v>12.875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82</v>
      </c>
      <c r="B72" s="53">
        <v>555</v>
      </c>
      <c r="C72" s="53">
        <v>11</v>
      </c>
      <c r="D72" s="53">
        <v>555</v>
      </c>
      <c r="E72" s="54"/>
      <c r="F72" s="54"/>
      <c r="G72" s="54"/>
      <c r="H72" s="54"/>
      <c r="I72" s="52">
        <f t="shared" si="2"/>
        <v>8.875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6" sqref="G2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laricio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159.66426236964111</v>
      </c>
      <c r="T3" s="62">
        <f>IF('Données projet'!E9&gt;30,$R$33-$H$33,LOOKUP('Données projet'!$E$9,$A$3:$A$203,R3:R203)-LOOKUP('Données projet'!$E$9,$A$3:$A$203,$H$3:$H$203))</f>
        <v>271.84289502949997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280.57175994295949</v>
      </c>
      <c r="AO3" s="62">
        <f>IF('Données projet'!E10&gt;30,$AM$33-$H$33,LOOKUP('Données projet'!$E$10,$A$3:$A$203,AM3:AM203)-LOOKUP('Données projet'!$E$10,$A$3:$A$203,$H$3:$H$203))</f>
        <v>216.69635818716841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0.55900000000000005</v>
      </c>
      <c r="D4" s="12">
        <f>IFERROR(EXP(-1.0587+0.8836*LN(C4)+0.284),0)</f>
        <v>0.2756545328031752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6.4429472707613522</v>
      </c>
      <c r="H4" s="70">
        <f t="shared" ref="H4:H67" si="1">(B4+E4+F4)*44/12+(C4+D4)*0.475*44/12</f>
        <v>294.78702331129887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159.66426236964111</v>
      </c>
      <c r="T4" s="62">
        <f>$T$3</f>
        <v>271.84289502949997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5.5909090909090908</v>
      </c>
      <c r="AI4" s="14">
        <f>IF('Données projet'!$A$62&gt;35,AI3+AH4-AQ3,IF(A4&lt;'Données projet'!$A$62,$AF$205^A4,IF(A4='Données projet'!$A$62,'Données projet'!$B$62,AI3+AH4-AQ3)))</f>
        <v>1.244502252163008</v>
      </c>
      <c r="AJ4" s="14">
        <f>AI4*VLOOKUP('Données projet'!$B$10,Paramètres!$A$1:$I$89,3,0)*VLOOKUP('Données projet'!$B$10,Paramètres!$A$1:$I$89,5,0)</f>
        <v>0.74421234679347892</v>
      </c>
      <c r="AK4" s="14">
        <f>EXP(-1.0587+0.8836*LN(AJ4)+0.284)</f>
        <v>0.3549632728022305</v>
      </c>
      <c r="AL4" s="22">
        <f t="shared" ref="AL4:AL67" si="4">(AJ4+AK4)*0.475*44/12</f>
        <v>1.9143975374625271</v>
      </c>
      <c r="AM4" s="62">
        <f t="shared" ref="AM4:AM67" si="5">AL4+(AD4+AE4)*44/12</f>
        <v>295.24773087079586</v>
      </c>
      <c r="AN4" s="62">
        <f ca="1">AVERAGE(OFFSET($AM$3,0,0,'Données projet'!$E$10+1,1))-AVERAGE(OFFSET($H$3,0,0,'Données projet'!$E$10+1,1))</f>
        <v>280.57175994295949</v>
      </c>
      <c r="AO4" s="62">
        <f>$AO$3</f>
        <v>216.69635818716841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1.1180000000000001</v>
      </c>
      <c r="D5" s="12">
        <f t="shared" ref="D5:D68" si="32">IFERROR(EXP(-1.0587+0.8836*LN(C5)+0.284),0)</f>
        <v>0.50857527486356202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12.556019665613462</v>
      </c>
      <c r="H5" s="70">
        <f t="shared" si="1"/>
        <v>296.16628527038733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159.66426236964111</v>
      </c>
      <c r="T5" s="62">
        <f t="shared" ref="T5:T68" si="34">$T$3</f>
        <v>271.84289502949997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5.5909090909090908</v>
      </c>
      <c r="AI5" s="14">
        <f>IF('Données projet'!$A$62&gt;35,AI4+AH5-AQ4,IF(A5&lt;'Données projet'!$A$62,$AF$205^A5,IF(A5='Données projet'!$A$62,'Données projet'!$B$62,AI4+AH5-AQ4)))</f>
        <v>1.5487858556387992</v>
      </c>
      <c r="AJ5" s="14">
        <f>AI5*VLOOKUP('Données projet'!$B$10,Paramètres!$A$1:$I$89,3,0)*VLOOKUP('Données projet'!$B$10,Paramètres!$A$1:$I$89,5,0)</f>
        <v>0.92617394167200195</v>
      </c>
      <c r="AK5" s="14">
        <f t="shared" ref="AK5:AK68" si="35">EXP(-1.0587+0.8836*LN(AJ5)+0.284)</f>
        <v>0.43064718121421069</v>
      </c>
      <c r="AL5" s="22">
        <f t="shared" si="4"/>
        <v>2.3631301223601535</v>
      </c>
      <c r="AM5" s="62">
        <f t="shared" si="5"/>
        <v>295.69646345569345</v>
      </c>
      <c r="AN5" s="62">
        <f ca="1">AVERAGE(OFFSET($AM$3,0,0,'Données projet'!$E$10+1,1))-AVERAGE(OFFSET($H$3,0,0,'Données projet'!$E$10+1,1))</f>
        <v>280.57175994295949</v>
      </c>
      <c r="AO5" s="62">
        <f t="shared" ref="AO5:AO68" si="36">$AO$3</f>
        <v>216.69635818716841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1.677</v>
      </c>
      <c r="D6" s="12">
        <f t="shared" si="32"/>
        <v>0.72769514761613419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18.56255903422981</v>
      </c>
      <c r="H6" s="70">
        <f t="shared" si="1"/>
        <v>297.52151071543142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159.66426236964111</v>
      </c>
      <c r="T6" s="62">
        <f t="shared" si="34"/>
        <v>271.84289502949997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5.5909090909090908</v>
      </c>
      <c r="AI6" s="14">
        <f>IF('Données projet'!$A$62&gt;35,AI5+AH6-AQ5,IF(A6&lt;'Données projet'!$A$62,$AF$205^A6,IF(A6='Données projet'!$A$62,'Données projet'!$B$62,AI5+AH6-AQ5)))</f>
        <v>1.927467485460697</v>
      </c>
      <c r="AJ6" s="14">
        <f>AI6*VLOOKUP('Données projet'!$B$10,Paramètres!$A$1:$I$89,3,0)*VLOOKUP('Données projet'!$B$10,Paramètres!$A$1:$I$89,5,0)</f>
        <v>1.152625556305497</v>
      </c>
      <c r="AK6" s="14">
        <f t="shared" si="35"/>
        <v>0.52246812247269758</v>
      </c>
      <c r="AL6" s="22">
        <f t="shared" si="4"/>
        <v>2.9174548238720219</v>
      </c>
      <c r="AM6" s="62">
        <f t="shared" si="5"/>
        <v>296.25078815720536</v>
      </c>
      <c r="AN6" s="62">
        <f ca="1">AVERAGE(OFFSET($AM$3,0,0,'Données projet'!$E$10+1,1))-AVERAGE(OFFSET($H$3,0,0,'Données projet'!$E$10+1,1))</f>
        <v>280.57175994295949</v>
      </c>
      <c r="AO6" s="62">
        <f t="shared" si="36"/>
        <v>216.69635818716841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2.2360000000000002</v>
      </c>
      <c r="D7" s="12">
        <f t="shared" si="32"/>
        <v>0.93830784341656304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24.503428966724346</v>
      </c>
      <c r="H7" s="70">
        <f t="shared" si="1"/>
        <v>298.8619194939505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159.66426236964111</v>
      </c>
      <c r="T7" s="62">
        <f t="shared" si="34"/>
        <v>271.84289502949997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5.5909090909090908</v>
      </c>
      <c r="AI7" s="14">
        <f>IF('Données projet'!$A$62&gt;35,AI6+AH7-AQ6,IF(A7&lt;'Données projet'!$A$62,$AF$205^A7,IF(A7='Données projet'!$A$62,'Données projet'!$B$62,AI6+AH7-AQ6)))</f>
        <v>2.3987376266268075</v>
      </c>
      <c r="AJ7" s="14">
        <f>AI7*VLOOKUP('Données projet'!$B$10,Paramètres!$A$1:$I$89,3,0)*VLOOKUP('Données projet'!$B$10,Paramètres!$A$1:$I$89,5,0)</f>
        <v>1.4344451007228309</v>
      </c>
      <c r="AK7" s="14">
        <f t="shared" si="35"/>
        <v>0.63386677286612625</v>
      </c>
      <c r="AL7" s="22">
        <f t="shared" si="4"/>
        <v>3.6023098465007668</v>
      </c>
      <c r="AM7" s="62">
        <f t="shared" si="5"/>
        <v>296.93564317983407</v>
      </c>
      <c r="AN7" s="62">
        <f ca="1">AVERAGE(OFFSET($AM$3,0,0,'Données projet'!$E$10+1,1))-AVERAGE(OFFSET($H$3,0,0,'Données projet'!$E$10+1,1))</f>
        <v>280.57175994295949</v>
      </c>
      <c r="AO7" s="62">
        <f t="shared" si="36"/>
        <v>216.69635818716841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2.7950000000000004</v>
      </c>
      <c r="D8" s="12">
        <f t="shared" si="32"/>
        <v>1.1428126371791492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30.397150181733792</v>
      </c>
      <c r="H8" s="70">
        <f t="shared" si="1"/>
        <v>300.19169034308698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159.66426236964111</v>
      </c>
      <c r="T8" s="62">
        <f t="shared" si="34"/>
        <v>271.84289502949997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5.5909090909090908</v>
      </c>
      <c r="AI8" s="14">
        <f>IF('Données projet'!$A$62&gt;35,AI7+AH8-AQ7,IF(A8&lt;'Données projet'!$A$62,$AF$205^A8,IF(A8='Données projet'!$A$62,'Données projet'!$B$62,AI7+AH8-AQ7)))</f>
        <v>2.9852343786852105</v>
      </c>
      <c r="AJ8" s="14">
        <f>AI8*VLOOKUP('Données projet'!$B$10,Paramètres!$A$1:$I$89,3,0)*VLOOKUP('Données projet'!$B$10,Paramètres!$A$1:$I$89,5,0)</f>
        <v>1.785170158453756</v>
      </c>
      <c r="AK8" s="14">
        <f t="shared" si="35"/>
        <v>0.7690174164926461</v>
      </c>
      <c r="AL8" s="22">
        <f t="shared" si="4"/>
        <v>4.4485433596983173</v>
      </c>
      <c r="AM8" s="62">
        <f t="shared" si="5"/>
        <v>297.78187669303162</v>
      </c>
      <c r="AN8" s="62">
        <f ca="1">AVERAGE(OFFSET($AM$3,0,0,'Données projet'!$E$10+1,1))-AVERAGE(OFFSET($H$3,0,0,'Données projet'!$E$10+1,1))</f>
        <v>280.57175994295949</v>
      </c>
      <c r="AO8" s="62">
        <f t="shared" si="36"/>
        <v>216.69635818716841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3.3540000000000005</v>
      </c>
      <c r="D9" s="12">
        <f t="shared" si="32"/>
        <v>1.3425781754875348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36.254287670430102</v>
      </c>
      <c r="H9" s="70">
        <f t="shared" si="1"/>
        <v>301.5132069889741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159.66426236964111</v>
      </c>
      <c r="T9" s="62">
        <f t="shared" si="34"/>
        <v>271.84289502949997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5.5909090909090908</v>
      </c>
      <c r="AI9" s="14">
        <f>IF('Données projet'!$A$62&gt;35,AI8+AH9-AQ8,IF(A9&lt;'Données projet'!$A$62,$AF$205^A9,IF(A9='Données projet'!$A$62,'Données projet'!$B$62,AI8+AH9-AQ8)))</f>
        <v>3.7151309075081826</v>
      </c>
      <c r="AJ9" s="14">
        <f>AI9*VLOOKUP('Données projet'!$B$10,Paramètres!$A$1:$I$89,3,0)*VLOOKUP('Données projet'!$B$10,Paramètres!$A$1:$I$89,5,0)</f>
        <v>2.2216482826898933</v>
      </c>
      <c r="AK9" s="14">
        <f t="shared" si="35"/>
        <v>0.93298436230530435</v>
      </c>
      <c r="AL9" s="22">
        <f t="shared" si="4"/>
        <v>5.4943185233666361</v>
      </c>
      <c r="AM9" s="62">
        <f t="shared" si="5"/>
        <v>298.82765185669996</v>
      </c>
      <c r="AN9" s="62">
        <f ca="1">AVERAGE(OFFSET($AM$3,0,0,'Données projet'!$E$10+1,1))-AVERAGE(OFFSET($H$3,0,0,'Données projet'!$E$10+1,1))</f>
        <v>280.57175994295949</v>
      </c>
      <c r="AO9" s="62">
        <f t="shared" si="36"/>
        <v>216.69635818716841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3.9130000000000007</v>
      </c>
      <c r="D10" s="12">
        <f t="shared" si="32"/>
        <v>1.5384867718747026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42.081652274120522</v>
      </c>
      <c r="H10" s="70">
        <f t="shared" si="1"/>
        <v>302.82800612768176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159.66426236964111</v>
      </c>
      <c r="T10" s="62">
        <f t="shared" si="34"/>
        <v>271.84289502949997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5.5909090909090908</v>
      </c>
      <c r="AI10" s="14">
        <f>IF('Données projet'!$A$62&gt;35,AI9+AH10-AQ9,IF(A10&lt;'Données projet'!$A$62,$AF$205^A10,IF(A10='Données projet'!$A$62,'Données projet'!$B$62,AI9+AH10-AQ9)))</f>
        <v>4.6234887814743333</v>
      </c>
      <c r="AJ10" s="14">
        <f>AI10*VLOOKUP('Données projet'!$B$10,Paramètres!$A$1:$I$89,3,0)*VLOOKUP('Données projet'!$B$10,Paramètres!$A$1:$I$89,5,0)</f>
        <v>2.7648462913216516</v>
      </c>
      <c r="AK10" s="14">
        <f t="shared" si="35"/>
        <v>1.1319117118000401</v>
      </c>
      <c r="AL10" s="22">
        <f t="shared" si="4"/>
        <v>6.7868535221036126</v>
      </c>
      <c r="AM10" s="62">
        <f t="shared" si="5"/>
        <v>300.12018685543694</v>
      </c>
      <c r="AN10" s="62">
        <f ca="1">AVERAGE(OFFSET($AM$3,0,0,'Données projet'!$E$10+1,1))-AVERAGE(OFFSET($H$3,0,0,'Données projet'!$E$10+1,1))</f>
        <v>280.57175994295949</v>
      </c>
      <c r="AO10" s="62">
        <f t="shared" si="36"/>
        <v>216.69635818716841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4.4720000000000004</v>
      </c>
      <c r="D11" s="12">
        <f t="shared" si="32"/>
        <v>1.7311529925500933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47.883988012667395</v>
      </c>
      <c r="H11" s="70">
        <f t="shared" si="1"/>
        <v>304.1371581286914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159.66426236964111</v>
      </c>
      <c r="T11" s="62">
        <f t="shared" si="34"/>
        <v>271.84289502949997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5.5909090909090908</v>
      </c>
      <c r="AI11" s="14">
        <f>IF('Données projet'!$A$62&gt;35,AI10+AH11-AQ10,IF(A11&lt;'Données projet'!$A$62,$AF$205^A11,IF(A11='Données projet'!$A$62,'Données projet'!$B$62,AI10+AH11-AQ10)))</f>
        <v>5.7539422013952093</v>
      </c>
      <c r="AJ11" s="14">
        <f>AI11*VLOOKUP('Données projet'!$B$10,Paramètres!$A$1:$I$89,3,0)*VLOOKUP('Données projet'!$B$10,Paramètres!$A$1:$I$89,5,0)</f>
        <v>3.4408574364343356</v>
      </c>
      <c r="AK11" s="14">
        <f t="shared" si="35"/>
        <v>1.3732535882427113</v>
      </c>
      <c r="AL11" s="22">
        <f t="shared" si="4"/>
        <v>8.3845767013125236</v>
      </c>
      <c r="AM11" s="62">
        <f t="shared" si="5"/>
        <v>301.71791003464585</v>
      </c>
      <c r="AN11" s="62">
        <f ca="1">AVERAGE(OFFSET($AM$3,0,0,'Données projet'!$E$10+1,1))-AVERAGE(OFFSET($H$3,0,0,'Données projet'!$E$10+1,1))</f>
        <v>280.57175994295949</v>
      </c>
      <c r="AO11" s="62">
        <f t="shared" si="36"/>
        <v>216.69635818716841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5.0310000000000006</v>
      </c>
      <c r="D12" s="12">
        <f t="shared" si="32"/>
        <v>1.9210285514955543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53.664781801018329</v>
      </c>
      <c r="H12" s="70">
        <f t="shared" si="1"/>
        <v>305.44144972718806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159.66426236964111</v>
      </c>
      <c r="T12" s="62">
        <f t="shared" si="34"/>
        <v>271.84289502949997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5.5909090909090908</v>
      </c>
      <c r="AI12" s="14">
        <f>IF('Données projet'!$A$62&gt;35,AI11+AH12-AQ11,IF(A12&lt;'Données projet'!$A$62,$AF$205^A12,IF(A12='Données projet'!$A$62,'Données projet'!$B$62,AI11+AH12-AQ11)))</f>
        <v>7.1607940284521145</v>
      </c>
      <c r="AJ12" s="14">
        <f>AI12*VLOOKUP('Données projet'!$B$10,Paramètres!$A$1:$I$89,3,0)*VLOOKUP('Données projet'!$B$10,Paramètres!$A$1:$I$89,5,0)</f>
        <v>4.2821548290143649</v>
      </c>
      <c r="AK12" s="14">
        <f t="shared" si="35"/>
        <v>1.6660534544894132</v>
      </c>
      <c r="AL12" s="22">
        <f t="shared" si="4"/>
        <v>10.359796093769079</v>
      </c>
      <c r="AM12" s="62">
        <f t="shared" si="5"/>
        <v>303.69312942710241</v>
      </c>
      <c r="AN12" s="62">
        <f ca="1">AVERAGE(OFFSET($AM$3,0,0,'Données projet'!$E$10+1,1))-AVERAGE(OFFSET($H$3,0,0,'Données projet'!$E$10+1,1))</f>
        <v>280.57175994295949</v>
      </c>
      <c r="AO12" s="62">
        <f t="shared" si="36"/>
        <v>216.69635818716841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5.5900000000000007</v>
      </c>
      <c r="D13" s="12">
        <f t="shared" si="32"/>
        <v>2.1084588929503836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59.426700226283664</v>
      </c>
      <c r="H13" s="70">
        <f t="shared" si="1"/>
        <v>306.74148257188858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159.66426236964111</v>
      </c>
      <c r="T13" s="62">
        <f t="shared" si="34"/>
        <v>271.84289502949997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5.5909090909090908</v>
      </c>
      <c r="AI13" s="14">
        <f>IF('Données projet'!$A$62&gt;35,AI12+AH13-AQ12,IF(A13&lt;'Données projet'!$A$62,$AF$205^A13,IF(A13='Données projet'!$A$62,'Données projet'!$B$62,AI12+AH13-AQ12)))</f>
        <v>8.9116242956840761</v>
      </c>
      <c r="AJ13" s="14">
        <f>AI13*VLOOKUP('Données projet'!$B$10,Paramètres!$A$1:$I$89,3,0)*VLOOKUP('Données projet'!$B$10,Paramètres!$A$1:$I$89,5,0)</f>
        <v>5.3291513288190782</v>
      </c>
      <c r="AK13" s="14">
        <f t="shared" si="35"/>
        <v>2.0212829858817885</v>
      </c>
      <c r="AL13" s="22">
        <f t="shared" si="4"/>
        <v>12.802006431437341</v>
      </c>
      <c r="AM13" s="62">
        <f t="shared" si="5"/>
        <v>306.13533976477066</v>
      </c>
      <c r="AN13" s="62">
        <f ca="1">AVERAGE(OFFSET($AM$3,0,0,'Données projet'!$E$10+1,1))-AVERAGE(OFFSET($H$3,0,0,'Données projet'!$E$10+1,1))</f>
        <v>280.57175994295949</v>
      </c>
      <c r="AO13" s="62">
        <f t="shared" si="36"/>
        <v>216.69635818716841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6.1490000000000009</v>
      </c>
      <c r="D14" s="12">
        <f t="shared" si="32"/>
        <v>2.293716374319045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65.171845696497897</v>
      </c>
      <c r="H14" s="70">
        <f t="shared" si="1"/>
        <v>308.03773101860565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159.66426236964111</v>
      </c>
      <c r="T14" s="62">
        <f t="shared" si="34"/>
        <v>271.84289502949997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5.5909090909090908</v>
      </c>
      <c r="AI14" s="14">
        <f>IF('Données projet'!$A$62&gt;35,AI13+AH14-AQ13,IF(A14&lt;'Données projet'!$A$62,$AF$205^A14,IF(A14='Données projet'!$A$62,'Données projet'!$B$62,AI13+AH14-AQ13)))</f>
        <v>11.090536506409412</v>
      </c>
      <c r="AJ14" s="14">
        <f>AI14*VLOOKUP('Données projet'!$B$10,Paramètres!$A$1:$I$89,3,0)*VLOOKUP('Données projet'!$B$10,Paramètres!$A$1:$I$89,5,0)</f>
        <v>6.6321408308328289</v>
      </c>
      <c r="AK14" s="14">
        <f t="shared" si="35"/>
        <v>2.4522531963221348</v>
      </c>
      <c r="AL14" s="22">
        <f t="shared" si="4"/>
        <v>15.821986263961561</v>
      </c>
      <c r="AM14" s="62">
        <f t="shared" si="5"/>
        <v>309.15531959729486</v>
      </c>
      <c r="AN14" s="62">
        <f ca="1">AVERAGE(OFFSET($AM$3,0,0,'Données projet'!$E$10+1,1))-AVERAGE(OFFSET($H$3,0,0,'Données projet'!$E$10+1,1))</f>
        <v>280.57175994295949</v>
      </c>
      <c r="AO14" s="62">
        <f t="shared" si="36"/>
        <v>216.69635818716841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6.7080000000000011</v>
      </c>
      <c r="D15" s="12">
        <f t="shared" si="32"/>
        <v>2.4770209932006879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70.901916438742163</v>
      </c>
      <c r="H15" s="70">
        <f t="shared" si="1"/>
        <v>309.33057822982454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159.66426236964111</v>
      </c>
      <c r="T15" s="62">
        <f t="shared" si="34"/>
        <v>271.84289502949997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5.5909090909090908</v>
      </c>
      <c r="AI15" s="14">
        <f>IF('Données projet'!$A$62&gt;35,AI14+AH15-AQ14,IF(A15&lt;'Données projet'!$A$62,$AF$205^A15,IF(A15='Données projet'!$A$62,'Données projet'!$B$62,AI14+AH15-AQ14)))</f>
        <v>13.802197659922571</v>
      </c>
      <c r="AJ15" s="14">
        <f>AI15*VLOOKUP('Données projet'!$B$10,Paramètres!$A$1:$I$89,3,0)*VLOOKUP('Données projet'!$B$10,Paramètres!$A$1:$I$89,5,0)</f>
        <v>8.2537142006336985</v>
      </c>
      <c r="AK15" s="14">
        <f t="shared" si="35"/>
        <v>2.9751132230743558</v>
      </c>
      <c r="AL15" s="22">
        <f t="shared" si="4"/>
        <v>19.556874429624859</v>
      </c>
      <c r="AM15" s="62">
        <f t="shared" si="5"/>
        <v>312.8902077629582</v>
      </c>
      <c r="AN15" s="62">
        <f ca="1">AVERAGE(OFFSET($AM$3,0,0,'Données projet'!$E$10+1,1))-AVERAGE(OFFSET($H$3,0,0,'Données projet'!$E$10+1,1))</f>
        <v>280.57175994295949</v>
      </c>
      <c r="AO15" s="62">
        <f t="shared" si="36"/>
        <v>216.69635818716841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7.2670000000000012</v>
      </c>
      <c r="D16" s="12">
        <f t="shared" si="32"/>
        <v>2.6585539900627135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76.618311502238512</v>
      </c>
      <c r="H16" s="70">
        <f t="shared" si="1"/>
        <v>310.62033986602586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159.66426236964111</v>
      </c>
      <c r="T16" s="62">
        <f t="shared" si="34"/>
        <v>271.84289502949997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5.5909090909090908</v>
      </c>
      <c r="AI16" s="14">
        <f>IF('Données projet'!$A$62&gt;35,AI15+AH16-AQ15,IF(A16&lt;'Données projet'!$A$62,$AF$205^A16,IF(A16='Données projet'!$A$62,'Données projet'!$B$62,AI15+AH16-AQ15)))</f>
        <v>17.17686607257264</v>
      </c>
      <c r="AJ16" s="14">
        <f>AI16*VLOOKUP('Données projet'!$B$10,Paramètres!$A$1:$I$89,3,0)*VLOOKUP('Données projet'!$B$10,Paramètres!$A$1:$I$89,5,0)</f>
        <v>10.27176591139844</v>
      </c>
      <c r="AK16" s="14">
        <f t="shared" si="35"/>
        <v>3.609455460548272</v>
      </c>
      <c r="AL16" s="22">
        <f t="shared" si="4"/>
        <v>24.176460556140523</v>
      </c>
      <c r="AM16" s="62">
        <f t="shared" si="5"/>
        <v>317.50979388947383</v>
      </c>
      <c r="AN16" s="62">
        <f ca="1">AVERAGE(OFFSET($AM$3,0,0,'Données projet'!$E$10+1,1))-AVERAGE(OFFSET($H$3,0,0,'Données projet'!$E$10+1,1))</f>
        <v>280.57175994295949</v>
      </c>
      <c r="AO16" s="62">
        <f t="shared" si="36"/>
        <v>216.69635818716841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7.8260000000000014</v>
      </c>
      <c r="D17" s="12">
        <f t="shared" si="32"/>
        <v>2.8384671382814215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82.322202470944333</v>
      </c>
      <c r="H17" s="70">
        <f t="shared" si="1"/>
        <v>311.90728026584014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159.66426236964111</v>
      </c>
      <c r="T17" s="62">
        <f t="shared" si="34"/>
        <v>271.84289502949997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5.5909090909090908</v>
      </c>
      <c r="AI17" s="14">
        <f>IF('Données projet'!$A$62&gt;35,AI16+AH17-AQ16,IF(A17&lt;'Données projet'!$A$62,$AF$205^A17,IF(A17='Données projet'!$A$62,'Données projet'!$B$62,AI16+AH17-AQ16)))</f>
        <v>21.376648512419013</v>
      </c>
      <c r="AJ17" s="14">
        <f>AI17*VLOOKUP('Données projet'!$B$10,Paramètres!$A$1:$I$89,3,0)*VLOOKUP('Données projet'!$B$10,Paramètres!$A$1:$I$89,5,0)</f>
        <v>12.783235810426572</v>
      </c>
      <c r="AK17" s="14">
        <f t="shared" si="35"/>
        <v>4.3790497183898731</v>
      </c>
      <c r="AL17" s="22">
        <f t="shared" si="4"/>
        <v>29.890980629355308</v>
      </c>
      <c r="AM17" s="62">
        <f t="shared" si="5"/>
        <v>323.2243139626886</v>
      </c>
      <c r="AN17" s="62">
        <f ca="1">AVERAGE(OFFSET($AM$3,0,0,'Données projet'!$E$10+1,1))-AVERAGE(OFFSET($H$3,0,0,'Données projet'!$E$10+1,1))</f>
        <v>280.57175994295949</v>
      </c>
      <c r="AO17" s="62">
        <f t="shared" si="36"/>
        <v>216.69635818716841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8.3850000000000016</v>
      </c>
      <c r="D18" s="12">
        <f t="shared" si="32"/>
        <v>3.0168893007228847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88.014584075755593</v>
      </c>
      <c r="H18" s="70">
        <f t="shared" si="1"/>
        <v>313.1916238654257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159.66426236964111</v>
      </c>
      <c r="T18" s="62">
        <f t="shared" si="34"/>
        <v>271.84289502949997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5.5909090909090908</v>
      </c>
      <c r="AI18" s="14">
        <f>IF('Données projet'!$A$62&gt;35,AI17+AH18-AQ17,IF(A18&lt;'Données projet'!$A$62,$AF$205^A18,IF(A18='Données projet'!$A$62,'Données projet'!$B$62,AI17+AH18-AQ17)))</f>
        <v>26.603287217402478</v>
      </c>
      <c r="AJ18" s="14">
        <f>AI18*VLOOKUP('Données projet'!$B$10,Paramètres!$A$1:$I$89,3,0)*VLOOKUP('Données projet'!$B$10,Paramètres!$A$1:$I$89,5,0)</f>
        <v>15.908765756006684</v>
      </c>
      <c r="AK18" s="14">
        <f t="shared" si="35"/>
        <v>5.312733913945455</v>
      </c>
      <c r="AL18" s="22">
        <f t="shared" si="4"/>
        <v>36.960778591833304</v>
      </c>
      <c r="AM18" s="62">
        <f t="shared" si="5"/>
        <v>330.29411192516659</v>
      </c>
      <c r="AN18" s="62">
        <f ca="1">AVERAGE(OFFSET($AM$3,0,0,'Données projet'!$E$10+1,1))-AVERAGE(OFFSET($H$3,0,0,'Données projet'!$E$10+1,1))</f>
        <v>280.57175994295949</v>
      </c>
      <c r="AO18" s="62">
        <f t="shared" si="36"/>
        <v>216.69635818716841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8.9440000000000008</v>
      </c>
      <c r="D19" s="12">
        <f t="shared" si="32"/>
        <v>3.193931186488729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93.69631091324635</v>
      </c>
      <c r="H19" s="70">
        <f t="shared" si="1"/>
        <v>314.47356348313451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159.66426236964111</v>
      </c>
      <c r="T19" s="62">
        <f t="shared" si="34"/>
        <v>271.84289502949997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5.5909090909090908</v>
      </c>
      <c r="AI19" s="14">
        <f>IF('Données projet'!$A$62&gt;35,AI18+AH19-AQ18,IF(A19&lt;'Données projet'!$A$62,$AF$205^A19,IF(A19='Données projet'!$A$62,'Données projet'!$B$62,AI18+AH19-AQ18)))</f>
        <v>33.107850856996748</v>
      </c>
      <c r="AJ19" s="14">
        <f>AI19*VLOOKUP('Données projet'!$B$10,Paramètres!$A$1:$I$89,3,0)*VLOOKUP('Données projet'!$B$10,Paramètres!$A$1:$I$89,5,0)</f>
        <v>19.798494812484059</v>
      </c>
      <c r="AK19" s="14">
        <f t="shared" si="35"/>
        <v>6.4454946747588586</v>
      </c>
      <c r="AL19" s="22">
        <f t="shared" si="4"/>
        <v>45.70828169028141</v>
      </c>
      <c r="AM19" s="62">
        <f t="shared" si="5"/>
        <v>339.04161502361472</v>
      </c>
      <c r="AN19" s="62">
        <f ca="1">AVERAGE(OFFSET($AM$3,0,0,'Données projet'!$E$10+1,1))-AVERAGE(OFFSET($H$3,0,0,'Données projet'!$E$10+1,1))</f>
        <v>280.57175994295949</v>
      </c>
      <c r="AO19" s="62">
        <f t="shared" si="36"/>
        <v>216.69635818716841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9.5030000000000001</v>
      </c>
      <c r="D20" s="12">
        <f t="shared" si="32"/>
        <v>3.369688883880555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99.368124717674462</v>
      </c>
      <c r="H20" s="70">
        <f t="shared" si="1"/>
        <v>315.75326647275864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159.66426236964111</v>
      </c>
      <c r="T20" s="62">
        <f t="shared" si="34"/>
        <v>271.84289502949997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5.5909090909090908</v>
      </c>
      <c r="AI20" s="14">
        <f>IF('Données projet'!$A$62&gt;35,AI19+AH20-AQ19,IF(A20&lt;'Données projet'!$A$62,$AF$205^A20,IF(A20='Données projet'!$A$62,'Données projet'!$B$62,AI19+AH20-AQ19)))</f>
        <v>41.202794955809431</v>
      </c>
      <c r="AJ20" s="14">
        <f>AI20*VLOOKUP('Données projet'!$B$10,Paramètres!$A$1:$I$89,3,0)*VLOOKUP('Données projet'!$B$10,Paramètres!$A$1:$I$89,5,0)</f>
        <v>24.639271383574041</v>
      </c>
      <c r="AK20" s="14">
        <f t="shared" si="35"/>
        <v>7.8197783429910519</v>
      </c>
      <c r="AL20" s="22">
        <f t="shared" si="4"/>
        <v>56.532844940434195</v>
      </c>
      <c r="AM20" s="62">
        <f t="shared" si="5"/>
        <v>349.8661782737675</v>
      </c>
      <c r="AN20" s="62">
        <f ca="1">AVERAGE(OFFSET($AM$3,0,0,'Données projet'!$E$10+1,1))-AVERAGE(OFFSET($H$3,0,0,'Données projet'!$E$10+1,1))</f>
        <v>280.57175994295949</v>
      </c>
      <c r="AO20" s="62">
        <f t="shared" si="36"/>
        <v>216.69635818716841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10.061999999999999</v>
      </c>
      <c r="D21" s="12">
        <f t="shared" si="32"/>
        <v>3.5442465380941046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105.03067503090188</v>
      </c>
      <c r="H21" s="70">
        <f t="shared" si="1"/>
        <v>317.03087938718056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159.66426236964111</v>
      </c>
      <c r="T21" s="62">
        <f t="shared" si="34"/>
        <v>271.84289502949997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5.5909090909090908</v>
      </c>
      <c r="AI21" s="14">
        <f>IF('Données projet'!$A$62&gt;35,AI20+AH21-AQ20,IF(A21&lt;'Données projet'!$A$62,$AF$205^A21,IF(A21='Données projet'!$A$62,'Données projet'!$B$62,AI20+AH21-AQ20)))</f>
        <v>51.276971117915458</v>
      </c>
      <c r="AJ21" s="14">
        <f>AI21*VLOOKUP('Données projet'!$B$10,Paramètres!$A$1:$I$89,3,0)*VLOOKUP('Données projet'!$B$10,Paramètres!$A$1:$I$89,5,0)</f>
        <v>30.663628728513448</v>
      </c>
      <c r="AK21" s="14">
        <f t="shared" si="35"/>
        <v>9.4870815071768995</v>
      </c>
      <c r="AL21" s="22">
        <f t="shared" si="4"/>
        <v>69.929153660494023</v>
      </c>
      <c r="AM21" s="62">
        <f t="shared" si="5"/>
        <v>363.26248699382734</v>
      </c>
      <c r="AN21" s="62">
        <f ca="1">AVERAGE(OFFSET($AM$3,0,0,'Données projet'!$E$10+1,1))-AVERAGE(OFFSET($H$3,0,0,'Données projet'!$E$10+1,1))</f>
        <v>280.57175994295949</v>
      </c>
      <c r="AO21" s="62">
        <f t="shared" si="36"/>
        <v>216.69635818716841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10.620999999999999</v>
      </c>
      <c r="D22" s="12">
        <f t="shared" si="32"/>
        <v>3.7176784168109291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110.68453514731243</v>
      </c>
      <c r="H22" s="70">
        <f t="shared" si="1"/>
        <v>318.30653157594566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159.66426236964111</v>
      </c>
      <c r="T22" s="62">
        <f t="shared" si="34"/>
        <v>271.84289502949997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5.5909090909090908</v>
      </c>
      <c r="AI22" s="14">
        <f>IF('Données projet'!$A$62&gt;35,AI21+AH22-AQ21,IF(A22&lt;'Données projet'!$A$62,$AF$205^A22,IF(A22='Données projet'!$A$62,'Données projet'!$B$62,AI21+AH22-AQ21)))</f>
        <v>63.814306040343304</v>
      </c>
      <c r="AJ22" s="14">
        <f>AI22*VLOOKUP('Données projet'!$B$10,Paramètres!$A$1:$I$89,3,0)*VLOOKUP('Données projet'!$B$10,Paramètres!$A$1:$I$89,5,0)</f>
        <v>38.160955012125299</v>
      </c>
      <c r="AK22" s="14">
        <f t="shared" si="35"/>
        <v>11.509880661066306</v>
      </c>
      <c r="AL22" s="22">
        <f t="shared" si="4"/>
        <v>86.510038797475374</v>
      </c>
      <c r="AM22" s="62">
        <f t="shared" si="5"/>
        <v>379.84337213080869</v>
      </c>
      <c r="AN22" s="62">
        <f ca="1">AVERAGE(OFFSET($AM$3,0,0,'Données projet'!$E$10+1,1))-AVERAGE(OFFSET($H$3,0,0,'Données projet'!$E$10+1,1))</f>
        <v>280.57175994295949</v>
      </c>
      <c r="AO22" s="62">
        <f t="shared" si="36"/>
        <v>216.69635818716841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11.179999999999998</v>
      </c>
      <c r="D23" s="12">
        <f t="shared" si="32"/>
        <v>3.8900505285230369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116.33021460614272</v>
      </c>
      <c r="H23" s="70">
        <f t="shared" si="1"/>
        <v>319.58033800384425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159.66426236964111</v>
      </c>
      <c r="T23" s="62">
        <f t="shared" si="34"/>
        <v>271.84289502949997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5.5909090909090908</v>
      </c>
      <c r="AI23" s="14">
        <f>IF('Données projet'!$A$62&gt;35,AI22+AH23-AQ22,IF(A23&lt;'Données projet'!$A$62,$AF$205^A23,IF(A23='Données projet'!$A$62,'Données projet'!$B$62,AI22+AH23-AQ22)))</f>
        <v>79.417047587426694</v>
      </c>
      <c r="AJ23" s="14">
        <f>AI23*VLOOKUP('Données projet'!$B$10,Paramètres!$A$1:$I$89,3,0)*VLOOKUP('Données projet'!$B$10,Paramètres!$A$1:$I$89,5,0)</f>
        <v>47.49139445728116</v>
      </c>
      <c r="AK23" s="14">
        <f t="shared" si="35"/>
        <v>13.96397329692701</v>
      </c>
      <c r="AL23" s="22">
        <f t="shared" si="4"/>
        <v>107.03476550524589</v>
      </c>
      <c r="AM23" s="62">
        <f t="shared" si="5"/>
        <v>400.36809883857921</v>
      </c>
      <c r="AN23" s="62">
        <f ca="1">AVERAGE(OFFSET($AM$3,0,0,'Données projet'!$E$10+1,1))-AVERAGE(OFFSET($H$3,0,0,'Données projet'!$E$10+1,1))</f>
        <v>280.57175994295949</v>
      </c>
      <c r="AO23" s="62">
        <f t="shared" si="36"/>
        <v>216.69635818716841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11.738999999999997</v>
      </c>
      <c r="D24" s="12">
        <f t="shared" si="32"/>
        <v>4.0614219079945988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121.96816911434426</v>
      </c>
      <c r="H24" s="70">
        <f t="shared" si="1"/>
        <v>320.85240148975726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159.66426236964111</v>
      </c>
      <c r="T24" s="62">
        <f t="shared" si="34"/>
        <v>271.84289502949997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5.5909090909090908</v>
      </c>
      <c r="AI24" s="14">
        <f>IF('Données projet'!$A$62&gt;35,AI23+AH24-AQ23,IF(A24&lt;'Données projet'!$A$62,$AF$205^A24,IF(A24='Données projet'!$A$62,'Données projet'!$B$62,AI23+AH24-AQ23)))</f>
        <v>98.834694582689295</v>
      </c>
      <c r="AJ24" s="14">
        <f>AI24*VLOOKUP('Données projet'!$B$10,Paramètres!$A$1:$I$89,3,0)*VLOOKUP('Données projet'!$B$10,Paramètres!$A$1:$I$89,5,0)</f>
        <v>59.103147360448204</v>
      </c>
      <c r="AK24" s="14">
        <f t="shared" si="35"/>
        <v>16.94131815778756</v>
      </c>
      <c r="AL24" s="22">
        <f t="shared" si="4"/>
        <v>132.44411077759398</v>
      </c>
      <c r="AM24" s="62">
        <f t="shared" si="5"/>
        <v>425.77744411092726</v>
      </c>
      <c r="AN24" s="62">
        <f ca="1">AVERAGE(OFFSET($AM$3,0,0,'Données projet'!$E$10+1,1))-AVERAGE(OFFSET($H$3,0,0,'Données projet'!$E$10+1,1))</f>
        <v>280.57175994295949</v>
      </c>
      <c r="AO24" s="62">
        <f t="shared" si="36"/>
        <v>216.69635818716841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12.297999999999996</v>
      </c>
      <c r="D25" s="12">
        <f t="shared" si="32"/>
        <v>4.2318456499363739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127.59880852582461</v>
      </c>
      <c r="H25" s="70">
        <f t="shared" si="1"/>
        <v>322.12281450697247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159.66426236964111</v>
      </c>
      <c r="T25" s="62">
        <f t="shared" si="34"/>
        <v>271.84289502949997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>
        <f>VLOOKUP(A25,'Données projet'!$A$61:$I$81,2,0)</f>
        <v>123</v>
      </c>
      <c r="AG25" s="13">
        <f>VLOOKUP(A25,'Données projet'!$A$61:$I$81,9,0)</f>
        <v>5.5909090909090908</v>
      </c>
      <c r="AH25" s="13">
        <f t="array" ref="AH25">INDEX(AG:AG,MIN(IF(ISNUMBER(AG25:AG221),ROW(AG25:AG221),"")))</f>
        <v>5.5909090909090908</v>
      </c>
      <c r="AI25" s="14">
        <f>IF('Données projet'!$A$62&gt;35,AI24+AH25-AQ24,IF(A25&lt;'Données projet'!$A$62,$AF$205^A25,IF(A25='Données projet'!$A$62,'Données projet'!$B$62,AI24+AH25-AQ24)))</f>
        <v>123</v>
      </c>
      <c r="AJ25" s="14">
        <f>AI25*VLOOKUP('Données projet'!$B$10,Paramètres!$A$1:$I$89,3,0)*VLOOKUP('Données projet'!$B$10,Paramètres!$A$1:$I$89,5,0)</f>
        <v>73.554000000000016</v>
      </c>
      <c r="AK25" s="14">
        <f t="shared" si="35"/>
        <v>20.553481077376691</v>
      </c>
      <c r="AL25" s="22">
        <f t="shared" si="4"/>
        <v>163.90386287643108</v>
      </c>
      <c r="AM25" s="62">
        <f t="shared" si="5"/>
        <v>457.23719620976442</v>
      </c>
      <c r="AN25" s="62">
        <f ca="1">AVERAGE(OFFSET($AM$3,0,0,'Données projet'!$E$10+1,1))-AVERAGE(OFFSET($H$3,0,0,'Données projet'!$E$10+1,1))</f>
        <v>280.57175994295949</v>
      </c>
      <c r="AO25" s="62">
        <f t="shared" si="36"/>
        <v>216.69635818716841</v>
      </c>
      <c r="AP25" s="16">
        <f>IF(ISNA(VLOOKUP(A25,'Données projet'!$A$61:$I$81,3,0)),0,VLOOKUP(A25,'Données projet'!$A$61:$I$81,3,0))</f>
        <v>1</v>
      </c>
      <c r="AQ25" s="16">
        <f>IF(ISNA(VLOOKUP(A25,'Données projet'!$A$61:$I$81,4,0)),0,VLOOKUP(A25,'Données projet'!$A$61:$I$81,4,0))</f>
        <v>16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1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10.833198622733226</v>
      </c>
      <c r="AX25" s="23">
        <f t="shared" si="6"/>
        <v>10.833198622733226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12.856999999999996</v>
      </c>
      <c r="D26" s="12">
        <f t="shared" si="32"/>
        <v>4.4013697494266859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133.22250332890772</v>
      </c>
      <c r="H26" s="70">
        <f t="shared" si="1"/>
        <v>323.39166064691813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159.66426236964111</v>
      </c>
      <c r="T26" s="62">
        <f t="shared" si="34"/>
        <v>271.84289502949997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12.333333333333334</v>
      </c>
      <c r="AI26" s="14">
        <f>IF('Données projet'!$A$62&gt;35,AI25+AH26-AQ25,IF(A26&lt;'Données projet'!$A$62,$AF$205^A26,IF(A26='Données projet'!$A$62,'Données projet'!$B$62,AI25+AH26-AQ25)))</f>
        <v>119.33333333333334</v>
      </c>
      <c r="AJ26" s="14">
        <f>AI26*VLOOKUP('Données projet'!$B$10,Paramètres!$A$1:$I$89,3,0)*VLOOKUP('Données projet'!$B$10,Paramètres!$A$1:$I$89,5,0)</f>
        <v>71.361333333333349</v>
      </c>
      <c r="AK26" s="14">
        <f t="shared" si="35"/>
        <v>20.011144716858571</v>
      </c>
      <c r="AL26" s="22">
        <f t="shared" si="4"/>
        <v>159.14039927075092</v>
      </c>
      <c r="AM26" s="62">
        <f t="shared" si="5"/>
        <v>452.47373260408426</v>
      </c>
      <c r="AN26" s="62">
        <f ca="1">AVERAGE(OFFSET($AM$3,0,0,'Données projet'!$E$10+1,1))-AVERAGE(OFFSET($H$3,0,0,'Données projet'!$E$10+1,1))</f>
        <v>280.57175994295949</v>
      </c>
      <c r="AO26" s="62">
        <f t="shared" si="36"/>
        <v>216.69635818716841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7.6602282080754316</v>
      </c>
      <c r="AX26" s="23">
        <f t="shared" si="6"/>
        <v>7.6602282080754316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13.415999999999995</v>
      </c>
      <c r="D27" s="12">
        <f t="shared" si="32"/>
        <v>4.5700377920480229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138.83958997370399</v>
      </c>
      <c r="H27" s="70">
        <f t="shared" si="1"/>
        <v>324.65901582115026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159.66426236964111</v>
      </c>
      <c r="T27" s="62">
        <f t="shared" si="34"/>
        <v>271.84289502949997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12.333333333333334</v>
      </c>
      <c r="AI27" s="14">
        <f>IF('Données projet'!$A$62&gt;35,AI26+AH27-AQ26,IF(A27&lt;'Données projet'!$A$62,$AF$205^A27,IF(A27='Données projet'!$A$62,'Données projet'!$B$62,AI26+AH27-AQ26)))</f>
        <v>131.66666666666669</v>
      </c>
      <c r="AJ27" s="14">
        <f>AI27*VLOOKUP('Données projet'!$B$10,Paramètres!$A$1:$I$89,3,0)*VLOOKUP('Données projet'!$B$10,Paramètres!$A$1:$I$89,5,0)</f>
        <v>78.736666666666679</v>
      </c>
      <c r="AK27" s="14">
        <f t="shared" si="35"/>
        <v>21.828006984037064</v>
      </c>
      <c r="AL27" s="22">
        <f t="shared" si="4"/>
        <v>175.15013994164235</v>
      </c>
      <c r="AM27" s="62">
        <f t="shared" si="5"/>
        <v>468.48347327497567</v>
      </c>
      <c r="AN27" s="62">
        <f ca="1">AVERAGE(OFFSET($AM$3,0,0,'Données projet'!$E$10+1,1))-AVERAGE(OFFSET($H$3,0,0,'Données projet'!$E$10+1,1))</f>
        <v>280.57175994295949</v>
      </c>
      <c r="AO27" s="62">
        <f t="shared" si="36"/>
        <v>216.69635818716841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5.416599311366614</v>
      </c>
      <c r="AX27" s="23">
        <f t="shared" si="6"/>
        <v>5.416599311366614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13.974999999999994</v>
      </c>
      <c r="D28" s="12">
        <f t="shared" si="32"/>
        <v>4.7378895257597495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144.45037528656644</v>
      </c>
      <c r="H28" s="70">
        <f t="shared" si="1"/>
        <v>325.92494925736486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159.66426236964111</v>
      </c>
      <c r="T28" s="62">
        <f t="shared" si="34"/>
        <v>271.84289502949997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144</v>
      </c>
      <c r="AG28" s="13">
        <f>VLOOKUP(A28,'Données projet'!$A$61:$I$81,9,0)</f>
        <v>12.333333333333334</v>
      </c>
      <c r="AH28" s="13">
        <f t="array" ref="AH28">INDEX(AG:AG,MIN(IF(ISNUMBER(AG28:AG224),ROW(AG28:AG224),"")))</f>
        <v>12.333333333333334</v>
      </c>
      <c r="AI28" s="14">
        <f>IF('Données projet'!$A$62&gt;35,AI27+AH28-AQ27,IF(A28&lt;'Données projet'!$A$62,$AF$205^A28,IF(A28='Données projet'!$A$62,'Données projet'!$B$62,AI27+AH28-AQ27)))</f>
        <v>144.00000000000003</v>
      </c>
      <c r="AJ28" s="14">
        <f>AI28*VLOOKUP('Données projet'!$B$10,Paramètres!$A$1:$I$89,3,0)*VLOOKUP('Données projet'!$B$10,Paramètres!$A$1:$I$89,5,0)</f>
        <v>86.112000000000009</v>
      </c>
      <c r="AK28" s="14">
        <f t="shared" si="35"/>
        <v>23.625136642852297</v>
      </c>
      <c r="AL28" s="22">
        <f t="shared" si="4"/>
        <v>191.12551298630106</v>
      </c>
      <c r="AM28" s="62">
        <f t="shared" si="5"/>
        <v>484.4588463196344</v>
      </c>
      <c r="AN28" s="62">
        <f ca="1">AVERAGE(OFFSET($AM$3,0,0,'Données projet'!$E$10+1,1))-AVERAGE(OFFSET($H$3,0,0,'Données projet'!$E$10+1,1))</f>
        <v>280.57175994295949</v>
      </c>
      <c r="AO28" s="62">
        <f t="shared" si="36"/>
        <v>216.69635818716841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17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1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15.34038764069177</v>
      </c>
      <c r="AX28" s="23">
        <f t="shared" si="6"/>
        <v>15.34038764069177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14.533999999999994</v>
      </c>
      <c r="D29" s="12">
        <f t="shared" si="32"/>
        <v>4.9049613386955659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150.05514015835169</v>
      </c>
      <c r="H29" s="70">
        <f t="shared" si="1"/>
        <v>327.18952433156142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533.23877659744232</v>
      </c>
      <c r="S29" s="62">
        <f ca="1">AVERAGE(OFFSET($R$3,0,0,'Données projet'!$E$9+1,1))-AVERAGE(OFFSET($H$3,0,0,'Données projet'!$E$9+1,1))</f>
        <v>159.66426236964111</v>
      </c>
      <c r="T29" s="62">
        <f t="shared" si="34"/>
        <v>271.84289502949997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13.4</v>
      </c>
      <c r="AI29" s="14">
        <f>IF('Données projet'!$A$62&gt;35,AI28+AH29-AQ28,IF(A29&lt;'Données projet'!$A$62,$AF$205^A29,IF(A29='Données projet'!$A$62,'Données projet'!$B$62,AI28+AH29-AQ28)))</f>
        <v>140.40000000000003</v>
      </c>
      <c r="AJ29" s="14">
        <f>AI29*VLOOKUP('Données projet'!$B$10,Paramètres!$A$1:$I$89,3,0)*VLOOKUP('Données projet'!$B$10,Paramètres!$A$1:$I$89,5,0)</f>
        <v>83.959200000000024</v>
      </c>
      <c r="AK29" s="14">
        <f t="shared" si="35"/>
        <v>23.102490880810642</v>
      </c>
      <c r="AL29" s="22">
        <f t="shared" si="4"/>
        <v>186.46577828407854</v>
      </c>
      <c r="AM29" s="62">
        <f t="shared" si="5"/>
        <v>479.79911161741188</v>
      </c>
      <c r="AN29" s="62">
        <f ca="1">AVERAGE(OFFSET($AM$3,0,0,'Données projet'!$E$10+1,1))-AVERAGE(OFFSET($H$3,0,0,'Données projet'!$E$10+1,1))</f>
        <v>280.57175994295949</v>
      </c>
      <c r="AO29" s="62">
        <f t="shared" si="36"/>
        <v>216.69635818716841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10.847292126763454</v>
      </c>
      <c r="AX29" s="23">
        <f t="shared" si="6"/>
        <v>10.847292126763454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15.092999999999993</v>
      </c>
      <c r="D30" s="12">
        <f t="shared" si="32"/>
        <v>5.0712866613861189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155.65414264929629</v>
      </c>
      <c r="H30" s="70">
        <f t="shared" si="1"/>
        <v>328.4527992685808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550.98813696308912</v>
      </c>
      <c r="S30" s="62">
        <f ca="1">AVERAGE(OFFSET($R$3,0,0,'Données projet'!$E$9+1,1))-AVERAGE(OFFSET($H$3,0,0,'Données projet'!$E$9+1,1))</f>
        <v>159.66426236964111</v>
      </c>
      <c r="T30" s="62">
        <f t="shared" si="34"/>
        <v>271.84289502949997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13.4</v>
      </c>
      <c r="AI30" s="14">
        <f>IF('Données projet'!$A$62&gt;35,AI29+AH30-AQ29,IF(A30&lt;'Données projet'!$A$62,$AF$205^A30,IF(A30='Données projet'!$A$62,'Données projet'!$B$62,AI29+AH30-AQ29)))</f>
        <v>153.80000000000004</v>
      </c>
      <c r="AJ30" s="14">
        <f>AI30*VLOOKUP('Données projet'!$B$10,Paramètres!$A$1:$I$89,3,0)*VLOOKUP('Données projet'!$B$10,Paramètres!$A$1:$I$89,5,0)</f>
        <v>91.972400000000022</v>
      </c>
      <c r="AK30" s="14">
        <f t="shared" si="35"/>
        <v>25.040318527820091</v>
      </c>
      <c r="AL30" s="22">
        <f t="shared" si="4"/>
        <v>203.79715143595334</v>
      </c>
      <c r="AM30" s="62">
        <f t="shared" si="5"/>
        <v>497.13048476928668</v>
      </c>
      <c r="AN30" s="62">
        <f ca="1">AVERAGE(OFFSET($AM$3,0,0,'Données projet'!$E$10+1,1))-AVERAGE(OFFSET($H$3,0,0,'Données projet'!$E$10+1,1))</f>
        <v>280.57175994295949</v>
      </c>
      <c r="AO30" s="62">
        <f t="shared" si="36"/>
        <v>216.69635818716841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7.6701938203458866</v>
      </c>
      <c r="AX30" s="23">
        <f t="shared" si="6"/>
        <v>7.6701938203458866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15.651999999999992</v>
      </c>
      <c r="D31" s="12">
        <f t="shared" si="32"/>
        <v>5.2368963077179389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161.24762062098054</v>
      </c>
      <c r="H31" s="70">
        <f t="shared" si="1"/>
        <v>329.71482773594204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568.70985852228296</v>
      </c>
      <c r="S31" s="62">
        <f ca="1">AVERAGE(OFFSET($R$3,0,0,'Données projet'!$E$9+1,1))-AVERAGE(OFFSET($H$3,0,0,'Données projet'!$E$9+1,1))</f>
        <v>159.66426236964111</v>
      </c>
      <c r="T31" s="62">
        <f t="shared" si="34"/>
        <v>271.84289502949997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13.4</v>
      </c>
      <c r="AI31" s="14">
        <f>IF('Données projet'!$A$62&gt;35,AI30+AH31-AQ30,IF(A31&lt;'Données projet'!$A$62,$AF$205^A31,IF(A31='Données projet'!$A$62,'Données projet'!$B$62,AI30+AH31-AQ30)))</f>
        <v>167.20000000000005</v>
      </c>
      <c r="AJ31" s="14">
        <f>AI31*VLOOKUP('Données projet'!$B$10,Paramètres!$A$1:$I$89,3,0)*VLOOKUP('Données projet'!$B$10,Paramètres!$A$1:$I$89,5,0)</f>
        <v>99.985600000000034</v>
      </c>
      <c r="AK31" s="14">
        <f t="shared" si="35"/>
        <v>26.958566918169435</v>
      </c>
      <c r="AL31" s="22">
        <f t="shared" si="4"/>
        <v>221.09442404914515</v>
      </c>
      <c r="AM31" s="62">
        <f t="shared" si="5"/>
        <v>514.42775738247849</v>
      </c>
      <c r="AN31" s="62">
        <f ca="1">AVERAGE(OFFSET($AM$3,0,0,'Données projet'!$E$10+1,1))-AVERAGE(OFFSET($H$3,0,0,'Données projet'!$E$10+1,1))</f>
        <v>280.57175994295949</v>
      </c>
      <c r="AO31" s="62">
        <f t="shared" si="36"/>
        <v>216.69635818716841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5.4236460633817281</v>
      </c>
      <c r="AX31" s="23">
        <f t="shared" si="6"/>
        <v>5.4236460633817281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16.210999999999991</v>
      </c>
      <c r="D32" s="12">
        <f t="shared" si="32"/>
        <v>5.4018187658151851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166.8357939817312</v>
      </c>
      <c r="H32" s="70">
        <f t="shared" si="1"/>
        <v>330.9756593504614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586.40597001611377</v>
      </c>
      <c r="S32" s="62">
        <f ca="1">AVERAGE(OFFSET($R$3,0,0,'Données projet'!$E$9+1,1))-AVERAGE(OFFSET($H$3,0,0,'Données projet'!$E$9+1,1))</f>
        <v>159.66426236964111</v>
      </c>
      <c r="T32" s="62">
        <f t="shared" si="34"/>
        <v>271.84289502949997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13.4</v>
      </c>
      <c r="AI32" s="14">
        <f>IF('Données projet'!$A$62&gt;35,AI31+AH32-AQ31,IF(A32&lt;'Données projet'!$A$62,$AF$205^A32,IF(A32='Données projet'!$A$62,'Données projet'!$B$62,AI31+AH32-AQ31)))</f>
        <v>180.60000000000005</v>
      </c>
      <c r="AJ32" s="14">
        <f>AI32*VLOOKUP('Données projet'!$B$10,Paramètres!$A$1:$I$89,3,0)*VLOOKUP('Données projet'!$B$10,Paramètres!$A$1:$I$89,5,0)</f>
        <v>107.99880000000003</v>
      </c>
      <c r="AK32" s="14">
        <f t="shared" si="35"/>
        <v>28.85898360070161</v>
      </c>
      <c r="AL32" s="22">
        <f t="shared" si="4"/>
        <v>238.36063977122203</v>
      </c>
      <c r="AM32" s="62">
        <f t="shared" si="5"/>
        <v>531.69397310455531</v>
      </c>
      <c r="AN32" s="62">
        <f ca="1">AVERAGE(OFFSET($AM$3,0,0,'Données projet'!$E$10+1,1))-AVERAGE(OFFSET($H$3,0,0,'Données projet'!$E$10+1,1))</f>
        <v>280.57175994295949</v>
      </c>
      <c r="AO32" s="62">
        <f t="shared" si="36"/>
        <v>216.69635818716841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3.8350969101729437</v>
      </c>
      <c r="AX32" s="23">
        <f t="shared" si="6"/>
        <v>3.8350969101729437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16.769999999999992</v>
      </c>
      <c r="D33" s="12">
        <f t="shared" si="32"/>
        <v>5.5660804476725998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172.41886661361301</v>
      </c>
      <c r="H33" s="70">
        <f t="shared" si="1"/>
        <v>332.23534011302974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159.66426236964111</v>
      </c>
      <c r="T33" s="62">
        <f t="shared" si="34"/>
        <v>271.84289502949997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194</v>
      </c>
      <c r="AG33" s="13">
        <f>VLOOKUP(A33,'Données projet'!$A$61:$I$81,9,0)</f>
        <v>13.4</v>
      </c>
      <c r="AH33" s="13">
        <f t="array" ref="AH33">INDEX(AG:AG,MIN(IF(ISNUMBER(AG33:AG229),ROW(AG33:AG229),"")))</f>
        <v>13.4</v>
      </c>
      <c r="AI33" s="14">
        <f>IF('Données projet'!$A$62&gt;35,AI32+AH33-AQ32,IF(A33&lt;'Données projet'!$A$62,$AF$205^A33,IF(A33='Données projet'!$A$62,'Données projet'!$B$62,AI32+AH33-AQ32)))</f>
        <v>194.00000000000006</v>
      </c>
      <c r="AJ33" s="14">
        <f>AI33*VLOOKUP('Données projet'!$B$10,Paramètres!$A$1:$I$89,3,0)*VLOOKUP('Données projet'!$B$10,Paramètres!$A$1:$I$89,5,0)</f>
        <v>116.01200000000003</v>
      </c>
      <c r="AK33" s="14">
        <f t="shared" si="35"/>
        <v>30.743042086238173</v>
      </c>
      <c r="AL33" s="22">
        <f t="shared" si="4"/>
        <v>255.59836496686489</v>
      </c>
      <c r="AM33" s="62">
        <f t="shared" si="5"/>
        <v>548.93169830019815</v>
      </c>
      <c r="AN33" s="62">
        <f ca="1">AVERAGE(OFFSET($AM$3,0,0,'Données projet'!$E$10+1,1))-AVERAGE(OFFSET($H$3,0,0,'Données projet'!$E$10+1,1))</f>
        <v>280.57175994295949</v>
      </c>
      <c r="AO33" s="62">
        <f t="shared" si="36"/>
        <v>216.69635818716841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34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1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25.732370104998971</v>
      </c>
      <c r="AX33" s="23">
        <f t="shared" si="6"/>
        <v>25.732370104998971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17.328999999999994</v>
      </c>
      <c r="D34" s="12">
        <f t="shared" si="32"/>
        <v>5.7297059045690339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177.99702803526966</v>
      </c>
      <c r="H34" s="70">
        <f t="shared" si="1"/>
        <v>333.49391278379102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159.66426236964111</v>
      </c>
      <c r="T34" s="62">
        <f t="shared" si="34"/>
        <v>271.84289502949997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14.6</v>
      </c>
      <c r="AI34" s="14">
        <f>IF('Données projet'!$A$62&gt;35,AI33+AH34-AQ33,IF(A34&lt;'Données projet'!$A$62,$AF$205^A34,IF(A34='Données projet'!$A$62,'Données projet'!$B$62,AI33+AH34-AQ33)))</f>
        <v>174.60000000000005</v>
      </c>
      <c r="AJ34" s="14">
        <f>AI34*VLOOKUP('Données projet'!$B$10,Paramètres!$A$1:$I$89,3,0)*VLOOKUP('Données projet'!$B$10,Paramètres!$A$1:$I$89,5,0)</f>
        <v>104.41080000000004</v>
      </c>
      <c r="AK34" s="14">
        <f t="shared" si="35"/>
        <v>28.010155571424168</v>
      </c>
      <c r="AL34" s="22">
        <f t="shared" si="4"/>
        <v>230.63316428689714</v>
      </c>
      <c r="AM34" s="62">
        <f t="shared" si="5"/>
        <v>523.96649762023048</v>
      </c>
      <c r="AN34" s="62">
        <f ca="1">AVERAGE(OFFSET($AM$3,0,0,'Données projet'!$E$10+1,1))-AVERAGE(OFFSET($H$3,0,0,'Données projet'!$E$10+1,1))</f>
        <v>280.57175994295949</v>
      </c>
      <c r="AO34" s="62">
        <f t="shared" si="36"/>
        <v>216.69635818716841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18.195533397246766</v>
      </c>
      <c r="AX34" s="23">
        <f t="shared" si="6"/>
        <v>18.195533397246766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17.887999999999995</v>
      </c>
      <c r="D35" s="12">
        <f t="shared" si="32"/>
        <v>5.8927180139048909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183.57045484417804</v>
      </c>
      <c r="H35" s="70">
        <f t="shared" si="1"/>
        <v>334.75141720755096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159.66426236964111</v>
      </c>
      <c r="T35" s="62">
        <f t="shared" si="34"/>
        <v>271.84289502949997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14.6</v>
      </c>
      <c r="AI35" s="14">
        <f>IF('Données projet'!$A$62&gt;35,AI34+AH35-AQ34,IF(A35&lt;'Données projet'!$A$62,$AF$205^A35,IF(A35='Données projet'!$A$62,'Données projet'!$B$62,AI34+AH35-AQ34)))</f>
        <v>189.20000000000005</v>
      </c>
      <c r="AJ35" s="14">
        <f>AI35*VLOOKUP('Données projet'!$B$10,Paramètres!$A$1:$I$89,3,0)*VLOOKUP('Données projet'!$B$10,Paramètres!$A$1:$I$89,5,0)</f>
        <v>113.14160000000004</v>
      </c>
      <c r="AK35" s="14">
        <f t="shared" si="35"/>
        <v>30.069952587742019</v>
      </c>
      <c r="AL35" s="22">
        <f t="shared" si="4"/>
        <v>249.42678742365072</v>
      </c>
      <c r="AM35" s="62">
        <f t="shared" si="5"/>
        <v>542.76012075698407</v>
      </c>
      <c r="AN35" s="62">
        <f ca="1">AVERAGE(OFFSET($AM$3,0,0,'Données projet'!$E$10+1,1))-AVERAGE(OFFSET($H$3,0,0,'Données projet'!$E$10+1,1))</f>
        <v>280.57175994295949</v>
      </c>
      <c r="AO35" s="62">
        <f t="shared" si="36"/>
        <v>216.69635818716841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12.866185052499487</v>
      </c>
      <c r="AX35" s="23">
        <f t="shared" si="6"/>
        <v>12.866185052499487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18.446999999999996</v>
      </c>
      <c r="D36" s="12">
        <f t="shared" si="32"/>
        <v>6.0551381420288193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189.13931197355578</v>
      </c>
      <c r="H36" s="70">
        <f t="shared" si="1"/>
        <v>336.00789059736684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159.66426236964111</v>
      </c>
      <c r="T36" s="62">
        <f t="shared" si="34"/>
        <v>271.84289502949997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14.6</v>
      </c>
      <c r="AI36" s="14">
        <f>IF('Données projet'!$A$62&gt;35,AI35+AH36-AQ35,IF(A36&lt;'Données projet'!$A$62,$AF$205^A36,IF(A36='Données projet'!$A$62,'Données projet'!$B$62,AI35+AH36-AQ35)))</f>
        <v>203.80000000000004</v>
      </c>
      <c r="AJ36" s="14">
        <f>AI36*VLOOKUP('Données projet'!$B$10,Paramètres!$A$1:$I$89,3,0)*VLOOKUP('Données projet'!$B$10,Paramètres!$A$1:$I$89,5,0)</f>
        <v>121.87240000000003</v>
      </c>
      <c r="AK36" s="14">
        <f t="shared" si="35"/>
        <v>32.111311550408985</v>
      </c>
      <c r="AL36" s="22">
        <f t="shared" si="4"/>
        <v>268.1882976169623</v>
      </c>
      <c r="AM36" s="62">
        <f t="shared" si="5"/>
        <v>561.52163095029562</v>
      </c>
      <c r="AN36" s="62">
        <f ca="1">AVERAGE(OFFSET($AM$3,0,0,'Données projet'!$E$10+1,1))-AVERAGE(OFFSET($H$3,0,0,'Données projet'!$E$10+1,1))</f>
        <v>280.57175994295949</v>
      </c>
      <c r="AO36" s="62">
        <f t="shared" si="36"/>
        <v>216.69635818716841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9.0977666986233832</v>
      </c>
      <c r="AX36" s="23">
        <f t="shared" si="6"/>
        <v>9.0977666986233832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19.005999999999997</v>
      </c>
      <c r="D37" s="12">
        <f t="shared" si="32"/>
        <v>6.216986286773305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194.70375379263601</v>
      </c>
      <c r="H37" s="70">
        <f t="shared" si="1"/>
        <v>337.26336778279682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159.66426236964111</v>
      </c>
      <c r="T37" s="62">
        <f t="shared" si="34"/>
        <v>271.84289502949997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14.6</v>
      </c>
      <c r="AI37" s="14">
        <f>IF('Données projet'!$A$62&gt;35,AI36+AH37-AQ36,IF(A37&lt;'Données projet'!$A$62,$AF$205^A37,IF(A37='Données projet'!$A$62,'Données projet'!$B$62,AI36+AH37-AQ36)))</f>
        <v>218.40000000000003</v>
      </c>
      <c r="AJ37" s="14">
        <f>AI37*VLOOKUP('Données projet'!$B$10,Paramètres!$A$1:$I$89,3,0)*VLOOKUP('Données projet'!$B$10,Paramètres!$A$1:$I$89,5,0)</f>
        <v>130.60320000000004</v>
      </c>
      <c r="AK37" s="14">
        <f t="shared" si="35"/>
        <v>34.135703567016428</v>
      </c>
      <c r="AL37" s="22">
        <f t="shared" si="4"/>
        <v>286.92025704588701</v>
      </c>
      <c r="AM37" s="62">
        <f t="shared" si="5"/>
        <v>580.25359037922033</v>
      </c>
      <c r="AN37" s="62">
        <f ca="1">AVERAGE(OFFSET($AM$3,0,0,'Données projet'!$E$10+1,1))-AVERAGE(OFFSET($H$3,0,0,'Données projet'!$E$10+1,1))</f>
        <v>280.57175994295949</v>
      </c>
      <c r="AO37" s="62">
        <f t="shared" si="36"/>
        <v>216.69635818716841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6.4330925262497436</v>
      </c>
      <c r="AX37" s="23">
        <f t="shared" si="6"/>
        <v>6.4330925262497436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19.564999999999998</v>
      </c>
      <c r="D38" s="12">
        <f t="shared" si="32"/>
        <v>6.3782812027501414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200.26392507386075</v>
      </c>
      <c r="H38" s="70">
        <f t="shared" si="1"/>
        <v>338.51788142812313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159.66426236964111</v>
      </c>
      <c r="T38" s="62">
        <f t="shared" si="34"/>
        <v>271.84289502949997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233</v>
      </c>
      <c r="AG38" s="13">
        <f>VLOOKUP(A38,'Données projet'!$A$61:$I$81,9,0)</f>
        <v>14.6</v>
      </c>
      <c r="AH38" s="13">
        <f t="array" ref="AH38">INDEX(AG:AG,MIN(IF(ISNUMBER(AG38:AG234),ROW(AG38:AG234),"")))</f>
        <v>14.6</v>
      </c>
      <c r="AI38" s="14">
        <f>IF('Données projet'!$A$62&gt;35,AI37+AH38-AQ37,IF(A38&lt;'Données projet'!$A$62,$AF$205^A38,IF(A38='Données projet'!$A$62,'Données projet'!$B$62,AI37+AH38-AQ37)))</f>
        <v>233.00000000000003</v>
      </c>
      <c r="AJ38" s="14">
        <f>AI38*VLOOKUP('Données projet'!$B$10,Paramètres!$A$1:$I$89,3,0)*VLOOKUP('Données projet'!$B$10,Paramètres!$A$1:$I$89,5,0)</f>
        <v>139.33400000000003</v>
      </c>
      <c r="AK38" s="14">
        <f t="shared" si="35"/>
        <v>36.144391930570897</v>
      </c>
      <c r="AL38" s="22">
        <f t="shared" si="4"/>
        <v>305.62486594574438</v>
      </c>
      <c r="AM38" s="62">
        <f t="shared" si="5"/>
        <v>598.95819927907769</v>
      </c>
      <c r="AN38" s="62">
        <f ca="1">AVERAGE(OFFSET($AM$3,0,0,'Données projet'!$E$10+1,1))-AVERAGE(OFFSET($H$3,0,0,'Données projet'!$E$10+1,1))</f>
        <v>280.57175994295949</v>
      </c>
      <c r="AO38" s="62">
        <f t="shared" si="36"/>
        <v>216.69635818716841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41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4.5488833493116916</v>
      </c>
      <c r="AX38" s="23">
        <f t="shared" si="6"/>
        <v>4.5488833493116916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20.123999999999999</v>
      </c>
      <c r="D39" s="12">
        <f t="shared" si="32"/>
        <v>6.539040511923969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205.81996184643063</v>
      </c>
      <c r="H39" s="70">
        <f t="shared" si="1"/>
        <v>339.77146222493423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159.66426236964111</v>
      </c>
      <c r="T39" s="62">
        <f t="shared" si="34"/>
        <v>271.84289502949997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14.4</v>
      </c>
      <c r="AI39" s="14">
        <f>IF('Données projet'!$A$62&gt;35,AI38+AH39-AQ38,IF(A39&lt;'Données projet'!$A$62,$AF$205^A39,IF(A39='Données projet'!$A$62,'Données projet'!$B$62,AI38+AH39-AQ38)))</f>
        <v>206.40000000000003</v>
      </c>
      <c r="AJ39" s="14">
        <f>AI39*VLOOKUP('Données projet'!$B$10,Paramètres!$A$1:$I$89,3,0)*VLOOKUP('Données projet'!$B$10,Paramètres!$A$1:$I$89,5,0)</f>
        <v>123.42720000000003</v>
      </c>
      <c r="AK39" s="14">
        <f t="shared" si="35"/>
        <v>32.473022671122074</v>
      </c>
      <c r="AL39" s="22">
        <f t="shared" si="4"/>
        <v>271.5262211522043</v>
      </c>
      <c r="AM39" s="62">
        <f t="shared" si="5"/>
        <v>564.85955448553761</v>
      </c>
      <c r="AN39" s="62">
        <f ca="1">AVERAGE(OFFSET($AM$3,0,0,'Données projet'!$E$10+1,1))-AVERAGE(OFFSET($H$3,0,0,'Données projet'!$E$10+1,1))</f>
        <v>280.57175994295949</v>
      </c>
      <c r="AO39" s="62">
        <f t="shared" si="36"/>
        <v>216.69635818716841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3.2165462631248718</v>
      </c>
      <c r="AX39" s="23">
        <f t="shared" si="6"/>
        <v>3.2165462631248718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</v>
      </c>
      <c r="D40" s="12">
        <f t="shared" si="32"/>
        <v>6.6992808015544387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211.37199215235009</v>
      </c>
      <c r="H40" s="70">
        <f t="shared" si="1"/>
        <v>341.02413906270726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159.66426236964111</v>
      </c>
      <c r="T40" s="62">
        <f t="shared" si="34"/>
        <v>271.84289502949997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14.4</v>
      </c>
      <c r="AI40" s="14">
        <f>IF('Données projet'!$A$62&gt;35,AI39+AH40-AQ39,IF(A40&lt;'Données projet'!$A$62,$AF$205^A40,IF(A40='Données projet'!$A$62,'Données projet'!$B$62,AI39+AH40-AQ39)))</f>
        <v>220.80000000000004</v>
      </c>
      <c r="AJ40" s="14">
        <f>AI40*VLOOKUP('Données projet'!$B$10,Paramètres!$A$1:$I$89,3,0)*VLOOKUP('Données projet'!$B$10,Paramètres!$A$1:$I$89,5,0)</f>
        <v>132.03840000000005</v>
      </c>
      <c r="AK40" s="14">
        <f t="shared" si="35"/>
        <v>34.466946374534373</v>
      </c>
      <c r="AL40" s="22">
        <f t="shared" si="4"/>
        <v>289.99681160231415</v>
      </c>
      <c r="AM40" s="62">
        <f t="shared" si="5"/>
        <v>583.33014493564747</v>
      </c>
      <c r="AN40" s="62">
        <f ca="1">AVERAGE(OFFSET($AM$3,0,0,'Données projet'!$E$10+1,1))-AVERAGE(OFFSET($H$3,0,0,'Données projet'!$E$10+1,1))</f>
        <v>280.57175994295949</v>
      </c>
      <c r="AO40" s="62">
        <f t="shared" si="36"/>
        <v>216.69635818716841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2.2744416746558458</v>
      </c>
      <c r="AX40" s="23">
        <f t="shared" si="6"/>
        <v>2.2744416746558458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21.242000000000001</v>
      </c>
      <c r="D41" s="12">
        <f t="shared" si="32"/>
        <v>6.859017711252279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216.92013671843867</v>
      </c>
      <c r="H41" s="70">
        <f t="shared" si="1"/>
        <v>342.27593918043101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159.66426236964111</v>
      </c>
      <c r="T41" s="62">
        <f t="shared" si="34"/>
        <v>271.84289502949997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14.4</v>
      </c>
      <c r="AI41" s="14">
        <f>IF('Données projet'!$A$62&gt;35,AI40+AH41-AQ40,IF(A41&lt;'Données projet'!$A$62,$AF$205^A41,IF(A41='Données projet'!$A$62,'Données projet'!$B$62,AI40+AH41-AQ40)))</f>
        <v>235.20000000000005</v>
      </c>
      <c r="AJ41" s="14">
        <f>AI41*VLOOKUP('Données projet'!$B$10,Paramètres!$A$1:$I$89,3,0)*VLOOKUP('Données projet'!$B$10,Paramètres!$A$1:$I$89,5,0)</f>
        <v>140.64960000000002</v>
      </c>
      <c r="AK41" s="14">
        <f t="shared" si="35"/>
        <v>36.445779615258601</v>
      </c>
      <c r="AL41" s="22">
        <f t="shared" si="4"/>
        <v>308.44111949657542</v>
      </c>
      <c r="AM41" s="62">
        <f t="shared" si="5"/>
        <v>601.7744528299088</v>
      </c>
      <c r="AN41" s="62">
        <f ca="1">AVERAGE(OFFSET($AM$3,0,0,'Données projet'!$E$10+1,1))-AVERAGE(OFFSET($H$3,0,0,'Données projet'!$E$10+1,1))</f>
        <v>280.57175994295949</v>
      </c>
      <c r="AO41" s="62">
        <f t="shared" si="36"/>
        <v>216.69635818716841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1.6082731315624359</v>
      </c>
      <c r="AX41" s="23">
        <f t="shared" si="6"/>
        <v>1.6082731315624359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21.801000000000002</v>
      </c>
      <c r="D42" s="12">
        <f t="shared" si="32"/>
        <v>7.0182660106137922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222.46450955561525</v>
      </c>
      <c r="H42" s="70">
        <f t="shared" si="1"/>
        <v>343.52688830181899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159.66426236964111</v>
      </c>
      <c r="T42" s="62">
        <f t="shared" si="34"/>
        <v>271.84289502949997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14.4</v>
      </c>
      <c r="AI42" s="14">
        <f>IF('Données projet'!$A$62&gt;35,AI41+AH42-AQ41,IF(A42&lt;'Données projet'!$A$62,$AF$205^A42,IF(A42='Données projet'!$A$62,'Données projet'!$B$62,AI41+AH42-AQ41)))</f>
        <v>249.60000000000005</v>
      </c>
      <c r="AJ42" s="14">
        <f>AI42*VLOOKUP('Données projet'!$B$10,Paramètres!$A$1:$I$89,3,0)*VLOOKUP('Données projet'!$B$10,Paramètres!$A$1:$I$89,5,0)</f>
        <v>149.26080000000005</v>
      </c>
      <c r="AK42" s="14">
        <f t="shared" si="35"/>
        <v>38.410551499792909</v>
      </c>
      <c r="AL42" s="22">
        <f t="shared" si="4"/>
        <v>326.86093719547273</v>
      </c>
      <c r="AM42" s="62">
        <f t="shared" si="5"/>
        <v>620.1942705288061</v>
      </c>
      <c r="AN42" s="62">
        <f ca="1">AVERAGE(OFFSET($AM$3,0,0,'Données projet'!$E$10+1,1))-AVERAGE(OFFSET($H$3,0,0,'Données projet'!$E$10+1,1))</f>
        <v>280.57175994295949</v>
      </c>
      <c r="AO42" s="62">
        <f t="shared" si="36"/>
        <v>216.69635818716841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1.1372208373279229</v>
      </c>
      <c r="AX42" s="23">
        <f t="shared" si="6"/>
        <v>1.1372208373279229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22.360000000000003</v>
      </c>
      <c r="D43" s="12">
        <f t="shared" si="32"/>
        <v>7.1770396686687832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228.00521849498713</v>
      </c>
      <c r="H43" s="70">
        <f t="shared" si="1"/>
        <v>344.77701075626476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159.66426236964111</v>
      </c>
      <c r="T43" s="62">
        <f t="shared" si="34"/>
        <v>271.84289502949997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264</v>
      </c>
      <c r="AG43" s="13">
        <f>VLOOKUP(A43,'Données projet'!$A$61:$I$81,9,0)</f>
        <v>14.4</v>
      </c>
      <c r="AH43" s="13">
        <f t="array" ref="AH43">INDEX(AG:AG,MIN(IF(ISNUMBER(AG43:AG239),ROW(AG43:AG239),"")))</f>
        <v>14.4</v>
      </c>
      <c r="AI43" s="14">
        <f>IF('Données projet'!$A$62&gt;35,AI42+AH43-AQ42,IF(A43&lt;'Données projet'!$A$62,$AF$205^A43,IF(A43='Données projet'!$A$62,'Données projet'!$B$62,AI42+AH43-AQ42)))</f>
        <v>264.00000000000006</v>
      </c>
      <c r="AJ43" s="14">
        <f>AI43*VLOOKUP('Données projet'!$B$10,Paramètres!$A$1:$I$89,3,0)*VLOOKUP('Données projet'!$B$10,Paramètres!$A$1:$I$89,5,0)</f>
        <v>157.87200000000004</v>
      </c>
      <c r="AK43" s="14">
        <f t="shared" si="35"/>
        <v>40.362165684361159</v>
      </c>
      <c r="AL43" s="22">
        <f t="shared" si="4"/>
        <v>345.25783856692902</v>
      </c>
      <c r="AM43" s="62">
        <f t="shared" si="5"/>
        <v>638.59117190026234</v>
      </c>
      <c r="AN43" s="62">
        <f ca="1">AVERAGE(OFFSET($AM$3,0,0,'Données projet'!$E$10+1,1))-AVERAGE(OFFSET($H$3,0,0,'Données projet'!$E$10+1,1))</f>
        <v>280.57175994295949</v>
      </c>
      <c r="AO43" s="62">
        <f t="shared" si="36"/>
        <v>216.69635818716841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41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0.80413656578121795</v>
      </c>
      <c r="AX43" s="23">
        <f t="shared" si="6"/>
        <v>0.80413656578121795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22.919000000000004</v>
      </c>
      <c r="D44" s="12">
        <f t="shared" si="32"/>
        <v>7.3353519161881984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233.54236566882119</v>
      </c>
      <c r="H44" s="70">
        <f t="shared" si="1"/>
        <v>346.02632958736109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159.66426236964111</v>
      </c>
      <c r="T44" s="62">
        <f t="shared" si="34"/>
        <v>271.84289502949997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16.600000000000001</v>
      </c>
      <c r="AI44" s="14">
        <f>IF('Données projet'!$A$62&gt;35,AI43+AH44-AQ43,IF(A44&lt;'Données projet'!$A$62,$AF$205^A44,IF(A44='Données projet'!$A$62,'Données projet'!$B$62,AI43+AH44-AQ43)))</f>
        <v>239.60000000000008</v>
      </c>
      <c r="AJ44" s="14">
        <f>AI44*VLOOKUP('Données projet'!$B$10,Paramètres!$A$1:$I$89,3,0)*VLOOKUP('Données projet'!$B$10,Paramètres!$A$1:$I$89,5,0)</f>
        <v>143.28080000000006</v>
      </c>
      <c r="AK44" s="14">
        <f t="shared" si="35"/>
        <v>37.047574465948976</v>
      </c>
      <c r="AL44" s="22">
        <f t="shared" si="4"/>
        <v>314.07191886152788</v>
      </c>
      <c r="AM44" s="62">
        <f t="shared" si="5"/>
        <v>607.40525219486119</v>
      </c>
      <c r="AN44" s="62">
        <f ca="1">AVERAGE(OFFSET($AM$3,0,0,'Données projet'!$E$10+1,1))-AVERAGE(OFFSET($H$3,0,0,'Données projet'!$E$10+1,1))</f>
        <v>280.57175994295949</v>
      </c>
      <c r="AO44" s="62">
        <f t="shared" si="36"/>
        <v>216.69635818716841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0.56861041866396145</v>
      </c>
      <c r="AX44" s="23">
        <f t="shared" si="6"/>
        <v>0.56861041866396145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23.478000000000005</v>
      </c>
      <c r="D45" s="12">
        <f t="shared" si="32"/>
        <v>7.4932153017418228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239.07604794327025</v>
      </c>
      <c r="H45" s="70">
        <f t="shared" si="1"/>
        <v>347.27486665053368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159.66426236964111</v>
      </c>
      <c r="T45" s="62">
        <f t="shared" si="34"/>
        <v>271.84289502949997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16.600000000000001</v>
      </c>
      <c r="AI45" s="14">
        <f>IF('Données projet'!$A$62&gt;35,AI44+AH45-AQ44,IF(A45&lt;'Données projet'!$A$62,$AF$205^A45,IF(A45='Données projet'!$A$62,'Données projet'!$B$62,AI44+AH45-AQ44)))</f>
        <v>256.2000000000001</v>
      </c>
      <c r="AJ45" s="14">
        <f>AI45*VLOOKUP('Données projet'!$B$10,Paramètres!$A$1:$I$89,3,0)*VLOOKUP('Données projet'!$B$10,Paramètres!$A$1:$I$89,5,0)</f>
        <v>153.20760000000007</v>
      </c>
      <c r="AK45" s="14">
        <f t="shared" si="35"/>
        <v>39.306624169832133</v>
      </c>
      <c r="AL45" s="22">
        <f t="shared" si="4"/>
        <v>335.29560709579107</v>
      </c>
      <c r="AM45" s="62">
        <f t="shared" si="5"/>
        <v>628.62894042912444</v>
      </c>
      <c r="AN45" s="62">
        <f ca="1">AVERAGE(OFFSET($AM$3,0,0,'Données projet'!$E$10+1,1))-AVERAGE(OFFSET($H$3,0,0,'Données projet'!$E$10+1,1))</f>
        <v>280.57175994295949</v>
      </c>
      <c r="AO45" s="62">
        <f t="shared" si="36"/>
        <v>216.69635818716841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0.40206828289060897</v>
      </c>
      <c r="AX45" s="23">
        <f t="shared" si="6"/>
        <v>0.40206828289060897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24.037000000000006</v>
      </c>
      <c r="D46" s="12">
        <f t="shared" si="32"/>
        <v>7.6506417422667603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244.60635730872593</v>
      </c>
      <c r="H46" s="70">
        <f t="shared" si="1"/>
        <v>348.52264270111459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159.66426236964111</v>
      </c>
      <c r="T46" s="62">
        <f t="shared" si="34"/>
        <v>271.84289502949997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16.600000000000001</v>
      </c>
      <c r="AI46" s="14">
        <f>IF('Données projet'!$A$62&gt;35,AI45+AH46-AQ45,IF(A46&lt;'Données projet'!$A$62,$AF$205^A46,IF(A46='Données projet'!$A$62,'Données projet'!$B$62,AI45+AH46-AQ45)))</f>
        <v>272.80000000000013</v>
      </c>
      <c r="AJ46" s="14">
        <f>AI46*VLOOKUP('Données projet'!$B$10,Paramètres!$A$1:$I$89,3,0)*VLOOKUP('Données projet'!$B$10,Paramètres!$A$1:$I$89,5,0)</f>
        <v>163.13440000000008</v>
      </c>
      <c r="AK46" s="14">
        <f t="shared" si="35"/>
        <v>41.548687845426002</v>
      </c>
      <c r="AL46" s="22">
        <f t="shared" si="4"/>
        <v>356.48971133078379</v>
      </c>
      <c r="AM46" s="62">
        <f t="shared" si="5"/>
        <v>649.82304466411711</v>
      </c>
      <c r="AN46" s="62">
        <f ca="1">AVERAGE(OFFSET($AM$3,0,0,'Données projet'!$E$10+1,1))-AVERAGE(OFFSET($H$3,0,0,'Données projet'!$E$10+1,1))</f>
        <v>280.57175994295949</v>
      </c>
      <c r="AO46" s="62">
        <f t="shared" si="36"/>
        <v>216.69635818716841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0.28430520933198072</v>
      </c>
      <c r="AX46" s="23">
        <f t="shared" si="6"/>
        <v>0.28430520933198072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24.596000000000007</v>
      </c>
      <c r="D47" s="12">
        <f t="shared" si="32"/>
        <v>7.8076425687993289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250.13338123283697</v>
      </c>
      <c r="H47" s="70">
        <f t="shared" si="1"/>
        <v>349.76967747399215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159.66426236964111</v>
      </c>
      <c r="T47" s="62">
        <f t="shared" si="34"/>
        <v>271.84289502949997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16.600000000000001</v>
      </c>
      <c r="AI47" s="14">
        <f>IF('Données projet'!$A$62&gt;35,AI46+AH47-AQ46,IF(A47&lt;'Données projet'!$A$62,$AF$205^A47,IF(A47='Données projet'!$A$62,'Données projet'!$B$62,AI46+AH47-AQ46)))</f>
        <v>289.40000000000015</v>
      </c>
      <c r="AJ47" s="14">
        <f>AI47*VLOOKUP('Données projet'!$B$10,Paramètres!$A$1:$I$89,3,0)*VLOOKUP('Données projet'!$B$10,Paramètres!$A$1:$I$89,5,0)</f>
        <v>173.0612000000001</v>
      </c>
      <c r="AK47" s="14">
        <f t="shared" si="35"/>
        <v>43.774916798471111</v>
      </c>
      <c r="AL47" s="22">
        <f t="shared" si="4"/>
        <v>377.65623675733735</v>
      </c>
      <c r="AM47" s="62">
        <f t="shared" si="5"/>
        <v>670.98957009067067</v>
      </c>
      <c r="AN47" s="62">
        <f ca="1">AVERAGE(OFFSET($AM$3,0,0,'Données projet'!$E$10+1,1))-AVERAGE(OFFSET($H$3,0,0,'Données projet'!$E$10+1,1))</f>
        <v>280.57175994295949</v>
      </c>
      <c r="AO47" s="62">
        <f t="shared" si="36"/>
        <v>216.69635818716841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0.20103414144530449</v>
      </c>
      <c r="AX47" s="23">
        <f t="shared" si="6"/>
        <v>0.20103414144530449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25.155000000000008</v>
      </c>
      <c r="D48" s="12">
        <f t="shared" si="32"/>
        <v>7.9642285679322873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255.65720298053</v>
      </c>
      <c r="H48" s="70">
        <f t="shared" si="1"/>
        <v>351.01598975581538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159.66426236964111</v>
      </c>
      <c r="T48" s="62">
        <f t="shared" si="34"/>
        <v>271.84289502949997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306</v>
      </c>
      <c r="AG48" s="13">
        <f>VLOOKUP(A48,'Données projet'!$A$61:$I$81,9,0)</f>
        <v>16.600000000000001</v>
      </c>
      <c r="AH48" s="13">
        <f t="array" ref="AH48">INDEX(AG:AG,MIN(IF(ISNUMBER(AG48:AG244),ROW(AG48:AG244),"")))</f>
        <v>16.600000000000001</v>
      </c>
      <c r="AI48" s="14">
        <f>IF('Données projet'!$A$62&gt;35,AI47+AH48-AQ47,IF(A48&lt;'Données projet'!$A$62,$AF$205^A48,IF(A48='Données projet'!$A$62,'Données projet'!$B$62,AI47+AH48-AQ47)))</f>
        <v>306.00000000000017</v>
      </c>
      <c r="AJ48" s="14">
        <f>AI48*VLOOKUP('Données projet'!$B$10,Paramètres!$A$1:$I$89,3,0)*VLOOKUP('Données projet'!$B$10,Paramètres!$A$1:$I$89,5,0)</f>
        <v>182.98800000000011</v>
      </c>
      <c r="AK48" s="14">
        <f t="shared" si="35"/>
        <v>45.986322796524874</v>
      </c>
      <c r="AL48" s="22">
        <f t="shared" si="4"/>
        <v>398.79694553728103</v>
      </c>
      <c r="AM48" s="62">
        <f t="shared" si="5"/>
        <v>692.13027887061435</v>
      </c>
      <c r="AN48" s="62">
        <f ca="1">AVERAGE(OFFSET($AM$3,0,0,'Données projet'!$E$10+1,1))-AVERAGE(OFFSET($H$3,0,0,'Données projet'!$E$10+1,1))</f>
        <v>280.57175994295949</v>
      </c>
      <c r="AO48" s="62">
        <f t="shared" si="36"/>
        <v>216.69635818716841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53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0.14215260466599036</v>
      </c>
      <c r="AX48" s="23">
        <f t="shared" si="6"/>
        <v>0.14215260466599036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25.714000000000009</v>
      </c>
      <c r="D49" s="12">
        <f t="shared" si="32"/>
        <v>8.1204100194831259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261.17790190478212</v>
      </c>
      <c r="H49" s="70">
        <f t="shared" si="1"/>
        <v>352.26159745059977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159.66426236964111</v>
      </c>
      <c r="T49" s="62">
        <f t="shared" si="34"/>
        <v>271.84289502949997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17.399999999999999</v>
      </c>
      <c r="AI49" s="14">
        <f>IF('Données projet'!$A$62&gt;35,AI48+AH49-AQ48,IF(A49&lt;'Données projet'!$A$62,$AF$205^A49,IF(A49='Données projet'!$A$62,'Données projet'!$B$62,AI48+AH49-AQ48)))</f>
        <v>270.40000000000015</v>
      </c>
      <c r="AJ49" s="14">
        <f>AI49*VLOOKUP('Données projet'!$B$10,Paramètres!$A$1:$I$89,3,0)*VLOOKUP('Données projet'!$B$10,Paramètres!$A$1:$I$89,5,0)</f>
        <v>161.6992000000001</v>
      </c>
      <c r="AK49" s="14">
        <f t="shared" si="35"/>
        <v>41.225538754249229</v>
      </c>
      <c r="AL49" s="22">
        <f t="shared" si="4"/>
        <v>353.42725333031763</v>
      </c>
      <c r="AM49" s="62">
        <f t="shared" si="5"/>
        <v>646.76058666365088</v>
      </c>
      <c r="AN49" s="62">
        <f ca="1">AVERAGE(OFFSET($AM$3,0,0,'Données projet'!$E$10+1,1))-AVERAGE(OFFSET($H$3,0,0,'Données projet'!$E$10+1,1))</f>
        <v>280.57175994295949</v>
      </c>
      <c r="AO49" s="62">
        <f t="shared" si="36"/>
        <v>216.69635818716841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0.10051707072265224</v>
      </c>
      <c r="AX49" s="23">
        <f t="shared" si="6"/>
        <v>0.10051707072265224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26.27300000000001</v>
      </c>
      <c r="D50" s="12">
        <f t="shared" si="32"/>
        <v>8.2761967307944264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266.69555371139563</v>
      </c>
      <c r="H50" s="70">
        <f t="shared" si="1"/>
        <v>353.50651763946695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159.66426236964111</v>
      </c>
      <c r="T50" s="62">
        <f t="shared" si="34"/>
        <v>271.84289502949997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17.399999999999999</v>
      </c>
      <c r="AI50" s="14">
        <f>IF('Données projet'!$A$62&gt;35,AI49+AH50-AQ49,IF(A50&lt;'Données projet'!$A$62,$AF$205^A50,IF(A50='Données projet'!$A$62,'Données projet'!$B$62,AI49+AH50-AQ49)))</f>
        <v>287.80000000000013</v>
      </c>
      <c r="AJ50" s="14">
        <f>AI50*VLOOKUP('Données projet'!$B$10,Paramètres!$A$1:$I$89,3,0)*VLOOKUP('Données projet'!$B$10,Paramètres!$A$1:$I$89,5,0)</f>
        <v>172.10440000000008</v>
      </c>
      <c r="AK50" s="14">
        <f t="shared" si="35"/>
        <v>43.561001176960559</v>
      </c>
      <c r="AL50" s="22">
        <f t="shared" si="4"/>
        <v>375.61724038320648</v>
      </c>
      <c r="AM50" s="62">
        <f t="shared" si="5"/>
        <v>668.95057371653979</v>
      </c>
      <c r="AN50" s="62">
        <f ca="1">AVERAGE(OFFSET($AM$3,0,0,'Données projet'!$E$10+1,1))-AVERAGE(OFFSET($H$3,0,0,'Données projet'!$E$10+1,1))</f>
        <v>280.57175994295949</v>
      </c>
      <c r="AO50" s="62">
        <f t="shared" si="36"/>
        <v>216.69635818716841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7.1076302332995181E-2</v>
      </c>
      <c r="AX50" s="23">
        <f t="shared" si="6"/>
        <v>7.1076302332995181E-2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26.832000000000011</v>
      </c>
      <c r="D51" s="12">
        <f t="shared" si="32"/>
        <v>8.4315980680326348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272.21023070060295</v>
      </c>
      <c r="H51" s="70">
        <f t="shared" si="1"/>
        <v>354.75076663515682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159.66426236964111</v>
      </c>
      <c r="T51" s="62">
        <f t="shared" si="34"/>
        <v>271.84289502949997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17.399999999999999</v>
      </c>
      <c r="AI51" s="14">
        <f>IF('Données projet'!$A$62&gt;35,AI50+AH51-AQ50,IF(A51&lt;'Données projet'!$A$62,$AF$205^A51,IF(A51='Données projet'!$A$62,'Données projet'!$B$62,AI50+AH51-AQ50)))</f>
        <v>305.2000000000001</v>
      </c>
      <c r="AJ51" s="14">
        <f>AI51*VLOOKUP('Données projet'!$B$10,Paramètres!$A$1:$I$89,3,0)*VLOOKUP('Données projet'!$B$10,Paramètres!$A$1:$I$89,5,0)</f>
        <v>182.50960000000006</v>
      </c>
      <c r="AK51" s="14">
        <f t="shared" si="35"/>
        <v>45.880075205637056</v>
      </c>
      <c r="AL51" s="22">
        <f t="shared" si="4"/>
        <v>397.77868431648454</v>
      </c>
      <c r="AM51" s="62">
        <f t="shared" si="5"/>
        <v>691.11201764981786</v>
      </c>
      <c r="AN51" s="62">
        <f ca="1">AVERAGE(OFFSET($AM$3,0,0,'Données projet'!$E$10+1,1))-AVERAGE(OFFSET($H$3,0,0,'Données projet'!$E$10+1,1))</f>
        <v>280.57175994295949</v>
      </c>
      <c r="AO51" s="62">
        <f t="shared" si="36"/>
        <v>216.69635818716841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5.0258535361326122E-2</v>
      </c>
      <c r="AX51" s="23">
        <f t="shared" si="6"/>
        <v>5.0258535361326122E-2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27.391000000000012</v>
      </c>
      <c r="D52" s="12">
        <f t="shared" si="32"/>
        <v>8.586622984805059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277.72200198796901</v>
      </c>
      <c r="H52" s="70">
        <f t="shared" si="1"/>
        <v>355.99436003186884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159.66426236964111</v>
      </c>
      <c r="T52" s="62">
        <f t="shared" si="34"/>
        <v>271.84289502949997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17.399999999999999</v>
      </c>
      <c r="AI52" s="14">
        <f>IF('Données projet'!$A$62&gt;35,AI51+AH52-AQ51,IF(A52&lt;'Données projet'!$A$62,$AF$205^A52,IF(A52='Données projet'!$A$62,'Données projet'!$B$62,AI51+AH52-AQ51)))</f>
        <v>322.60000000000008</v>
      </c>
      <c r="AJ52" s="14">
        <f>AI52*VLOOKUP('Données projet'!$B$10,Paramètres!$A$1:$I$89,3,0)*VLOOKUP('Données projet'!$B$10,Paramètres!$A$1:$I$89,5,0)</f>
        <v>192.91480000000007</v>
      </c>
      <c r="AK52" s="14">
        <f t="shared" si="35"/>
        <v>48.18380163388656</v>
      </c>
      <c r="AL52" s="22">
        <f t="shared" si="4"/>
        <v>419.91339784568589</v>
      </c>
      <c r="AM52" s="62">
        <f t="shared" si="5"/>
        <v>713.24673117901921</v>
      </c>
      <c r="AN52" s="62">
        <f ca="1">AVERAGE(OFFSET($AM$3,0,0,'Données projet'!$E$10+1,1))-AVERAGE(OFFSET($H$3,0,0,'Données projet'!$E$10+1,1))</f>
        <v>280.57175994295949</v>
      </c>
      <c r="AO52" s="62">
        <f t="shared" si="36"/>
        <v>216.69635818716841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3.553815116649759E-2</v>
      </c>
      <c r="AX52" s="23">
        <f t="shared" si="6"/>
        <v>3.553815116649759E-2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27.950000000000014</v>
      </c>
      <c r="D53" s="12">
        <f t="shared" si="32"/>
        <v>8.7412800483747457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283.23093370675252</v>
      </c>
      <c r="H53" s="70">
        <f t="shared" si="1"/>
        <v>357.23731275091933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159.66426236964111</v>
      </c>
      <c r="T53" s="62">
        <f t="shared" si="34"/>
        <v>271.84289502949997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340</v>
      </c>
      <c r="AG53" s="13">
        <f>VLOOKUP(A53,'Données projet'!$A$61:$I$81,9,0)</f>
        <v>17.399999999999999</v>
      </c>
      <c r="AH53" s="13">
        <f t="array" ref="AH53">INDEX(AG:AG,MIN(IF(ISNUMBER(AG53:AG249),ROW(AG53:AG249),"")))</f>
        <v>17.399999999999999</v>
      </c>
      <c r="AI53" s="14">
        <f>IF('Données projet'!$A$62&gt;35,AI52+AH53-AQ52,IF(A53&lt;'Données projet'!$A$62,$AF$205^A53,IF(A53='Données projet'!$A$62,'Données projet'!$B$62,AI52+AH53-AQ52)))</f>
        <v>340.00000000000006</v>
      </c>
      <c r="AJ53" s="14">
        <f>AI53*VLOOKUP('Données projet'!$B$10,Paramètres!$A$1:$I$89,3,0)*VLOOKUP('Données projet'!$B$10,Paramètres!$A$1:$I$89,5,0)</f>
        <v>203.32000000000005</v>
      </c>
      <c r="AK53" s="14">
        <f t="shared" si="35"/>
        <v>50.473102640215579</v>
      </c>
      <c r="AL53" s="22">
        <f t="shared" si="4"/>
        <v>442.02298709837555</v>
      </c>
      <c r="AM53" s="62">
        <f t="shared" si="5"/>
        <v>735.35632043170881</v>
      </c>
      <c r="AN53" s="62">
        <f ca="1">AVERAGE(OFFSET($AM$3,0,0,'Données projet'!$E$10+1,1))-AVERAGE(OFFSET($H$3,0,0,'Données projet'!$E$10+1,1))</f>
        <v>280.57175994295949</v>
      </c>
      <c r="AO53" s="62">
        <f t="shared" si="36"/>
        <v>216.69635818716841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53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2.5129267680663061E-2</v>
      </c>
      <c r="AX53" s="23">
        <f t="shared" si="6"/>
        <v>2.5129267680663061E-2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28.509000000000015</v>
      </c>
      <c r="D54" s="12">
        <f t="shared" si="32"/>
        <v>8.8955774637189755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288.73708919362031</v>
      </c>
      <c r="H54" s="70">
        <f t="shared" si="1"/>
        <v>358.47963908264387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159.66426236964111</v>
      </c>
      <c r="T54" s="62">
        <f t="shared" si="34"/>
        <v>271.84289502949997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17.625</v>
      </c>
      <c r="AI54" s="14">
        <f>IF('Données projet'!$A$62&gt;35,AI53+AH54-AQ53,IF(A54&lt;'Données projet'!$A$62,$AF$205^A54,IF(A54='Données projet'!$A$62,'Données projet'!$B$62,AI53+AH54-AQ53)))</f>
        <v>304.62500000000006</v>
      </c>
      <c r="AJ54" s="14">
        <f>AI54*VLOOKUP('Données projet'!$B$10,Paramètres!$A$1:$I$89,3,0)*VLOOKUP('Données projet'!$B$10,Paramètres!$A$1:$I$89,5,0)</f>
        <v>182.16575000000003</v>
      </c>
      <c r="AK54" s="14">
        <f t="shared" si="35"/>
        <v>45.803689728693968</v>
      </c>
      <c r="AL54" s="22">
        <f t="shared" si="4"/>
        <v>397.04677419414202</v>
      </c>
      <c r="AM54" s="62">
        <f t="shared" si="5"/>
        <v>690.38010752747527</v>
      </c>
      <c r="AN54" s="62">
        <f ca="1">AVERAGE(OFFSET($AM$3,0,0,'Données projet'!$E$10+1,1))-AVERAGE(OFFSET($H$3,0,0,'Données projet'!$E$10+1,1))</f>
        <v>280.57175994295949</v>
      </c>
      <c r="AO54" s="62">
        <f t="shared" si="36"/>
        <v>216.69635818716841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1.7769075583248795E-2</v>
      </c>
      <c r="AX54" s="23">
        <f t="shared" si="6"/>
        <v>1.7769075583248795E-2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29.068000000000016</v>
      </c>
      <c r="D55" s="12">
        <f t="shared" si="32"/>
        <v>9.0495230956474586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294.24052915938398</v>
      </c>
      <c r="H55" s="70">
        <f t="shared" si="1"/>
        <v>359.72135272491931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159.66426236964111</v>
      </c>
      <c r="T55" s="62">
        <f t="shared" si="34"/>
        <v>271.84289502949997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17.625</v>
      </c>
      <c r="AI55" s="14">
        <f>IF('Données projet'!$A$62&gt;35,AI54+AH55-AQ54,IF(A55&lt;'Données projet'!$A$62,$AF$205^A55,IF(A55='Données projet'!$A$62,'Données projet'!$B$62,AI54+AH55-AQ54)))</f>
        <v>322.25000000000006</v>
      </c>
      <c r="AJ55" s="14">
        <f>AI55*VLOOKUP('Données projet'!$B$10,Paramètres!$A$1:$I$89,3,0)*VLOOKUP('Données projet'!$B$10,Paramètres!$A$1:$I$89,5,0)</f>
        <v>192.70550000000006</v>
      </c>
      <c r="AK55" s="14">
        <f t="shared" si="35"/>
        <v>48.137607387789963</v>
      </c>
      <c r="AL55" s="22">
        <f t="shared" si="4"/>
        <v>419.46841203373424</v>
      </c>
      <c r="AM55" s="62">
        <f t="shared" si="5"/>
        <v>712.8017453670675</v>
      </c>
      <c r="AN55" s="62">
        <f ca="1">AVERAGE(OFFSET($AM$3,0,0,'Données projet'!$E$10+1,1))-AVERAGE(OFFSET($H$3,0,0,'Données projet'!$E$10+1,1))</f>
        <v>280.57175994295949</v>
      </c>
      <c r="AO55" s="62">
        <f t="shared" si="36"/>
        <v>216.69635818716841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1.256463384033153E-2</v>
      </c>
      <c r="AX55" s="23">
        <f t="shared" si="6"/>
        <v>1.256463384033153E-2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29.627000000000017</v>
      </c>
      <c r="D56" s="12">
        <f t="shared" si="32"/>
        <v>9.2031244891710831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299.74131184623303</v>
      </c>
      <c r="H56" s="70">
        <f t="shared" si="1"/>
        <v>360.96246681863965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159.66426236964111</v>
      </c>
      <c r="T56" s="62">
        <f t="shared" si="34"/>
        <v>271.84289502949997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17.625</v>
      </c>
      <c r="AI56" s="14">
        <f>IF('Données projet'!$A$62&gt;35,AI55+AH56-AQ55,IF(A56&lt;'Données projet'!$A$62,$AF$205^A56,IF(A56='Données projet'!$A$62,'Données projet'!$B$62,AI55+AH56-AQ55)))</f>
        <v>339.87500000000006</v>
      </c>
      <c r="AJ56" s="14">
        <f>AI56*VLOOKUP('Données projet'!$B$10,Paramètres!$A$1:$I$89,3,0)*VLOOKUP('Données projet'!$B$10,Paramètres!$A$1:$I$89,5,0)</f>
        <v>203.24525000000006</v>
      </c>
      <c r="AK56" s="14">
        <f t="shared" si="35"/>
        <v>50.45670595349123</v>
      </c>
      <c r="AL56" s="22">
        <f t="shared" si="4"/>
        <v>441.86423995233059</v>
      </c>
      <c r="AM56" s="62">
        <f t="shared" si="5"/>
        <v>735.19757328566391</v>
      </c>
      <c r="AN56" s="62">
        <f ca="1">AVERAGE(OFFSET($AM$3,0,0,'Données projet'!$E$10+1,1))-AVERAGE(OFFSET($H$3,0,0,'Données projet'!$E$10+1,1))</f>
        <v>280.57175994295949</v>
      </c>
      <c r="AO56" s="62">
        <f t="shared" si="36"/>
        <v>216.69635818716841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8.8845377916243976E-3</v>
      </c>
      <c r="AX56" s="23">
        <f t="shared" si="6"/>
        <v>8.8845377916243976E-3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30.186000000000018</v>
      </c>
      <c r="D57" s="12">
        <f t="shared" si="32"/>
        <v>9.3563888882898691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305.23949317276401</v>
      </c>
      <c r="H57" s="70">
        <f t="shared" si="1"/>
        <v>362.20299398043818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159.66426236964111</v>
      </c>
      <c r="T57" s="62">
        <f t="shared" si="34"/>
        <v>271.84289502949997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17.625</v>
      </c>
      <c r="AI57" s="14">
        <f>IF('Données projet'!$A$62&gt;35,AI56+AH57-AQ56,IF(A57&lt;'Données projet'!$A$62,$AF$205^A57,IF(A57='Données projet'!$A$62,'Données projet'!$B$62,AI56+AH57-AQ56)))</f>
        <v>357.50000000000006</v>
      </c>
      <c r="AJ57" s="14">
        <f>AI57*VLOOKUP('Données projet'!$B$10,Paramètres!$A$1:$I$89,3,0)*VLOOKUP('Données projet'!$B$10,Paramètres!$A$1:$I$89,5,0)</f>
        <v>213.78500000000005</v>
      </c>
      <c r="AK57" s="14">
        <f t="shared" si="35"/>
        <v>52.761841557402377</v>
      </c>
      <c r="AL57" s="22">
        <f t="shared" si="4"/>
        <v>464.2357490458092</v>
      </c>
      <c r="AM57" s="62">
        <f t="shared" si="5"/>
        <v>757.56908237914251</v>
      </c>
      <c r="AN57" s="62">
        <f ca="1">AVERAGE(OFFSET($AM$3,0,0,'Données projet'!$E$10+1,1))-AVERAGE(OFFSET($H$3,0,0,'Données projet'!$E$10+1,1))</f>
        <v>280.57175994295949</v>
      </c>
      <c r="AO57" s="62">
        <f t="shared" si="36"/>
        <v>216.69635818716841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6.2823169201657652E-3</v>
      </c>
      <c r="AX57" s="23">
        <f t="shared" si="6"/>
        <v>6.2823169201657652E-3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30.745000000000019</v>
      </c>
      <c r="D58" s="12">
        <f t="shared" si="32"/>
        <v>9.5093232533499261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310.73512686796454</v>
      </c>
      <c r="H58" s="70">
        <f t="shared" si="1"/>
        <v>363.44294633291781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159.66426236964111</v>
      </c>
      <c r="T58" s="62">
        <f t="shared" si="34"/>
        <v>271.84289502949997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17.625</v>
      </c>
      <c r="AI58" s="14">
        <f>IF('Données projet'!$A$62&gt;35,AI57+AH58-AQ57,IF(A58&lt;'Données projet'!$A$62,$AF$205^A58,IF(A58='Données projet'!$A$62,'Données projet'!$B$62,AI57+AH58-AQ57)))</f>
        <v>375.12500000000006</v>
      </c>
      <c r="AJ58" s="14">
        <f>AI58*VLOOKUP('Données projet'!$B$10,Paramètres!$A$1:$I$89,3,0)*VLOOKUP('Données projet'!$B$10,Paramètres!$A$1:$I$89,5,0)</f>
        <v>224.32475000000005</v>
      </c>
      <c r="AK58" s="14">
        <f t="shared" si="35"/>
        <v>55.053781146410472</v>
      </c>
      <c r="AL58" s="22">
        <f t="shared" si="4"/>
        <v>486.58427507999835</v>
      </c>
      <c r="AM58" s="62">
        <f t="shared" si="5"/>
        <v>779.91760841333166</v>
      </c>
      <c r="AN58" s="62">
        <f ca="1">AVERAGE(OFFSET($AM$3,0,0,'Données projet'!$E$10+1,1))-AVERAGE(OFFSET($H$3,0,0,'Données projet'!$E$10+1,1))</f>
        <v>280.57175994295949</v>
      </c>
      <c r="AO58" s="62">
        <f t="shared" si="36"/>
        <v>216.69635818716841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4.4422688958121988E-3</v>
      </c>
      <c r="AX58" s="23">
        <f t="shared" si="6"/>
        <v>4.4422688958121988E-3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31.30400000000002</v>
      </c>
      <c r="D59" s="12">
        <f t="shared" si="32"/>
        <v>9.6619342771023238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316.22826459517597</v>
      </c>
      <c r="H59" s="70">
        <f t="shared" si="1"/>
        <v>364.6823355326199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159.66426236964111</v>
      </c>
      <c r="T59" s="62">
        <f t="shared" si="34"/>
        <v>271.84289502949997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17.625</v>
      </c>
      <c r="AI59" s="14">
        <f>IF('Données projet'!$A$62&gt;35,AI58+AH59-AQ58,IF(A59&lt;'Données projet'!$A$62,$AF$205^A59,IF(A59='Données projet'!$A$62,'Données projet'!$B$62,AI58+AH59-AQ58)))</f>
        <v>392.75000000000006</v>
      </c>
      <c r="AJ59" s="14">
        <f>AI59*VLOOKUP('Données projet'!$B$10,Paramètres!$A$1:$I$89,3,0)*VLOOKUP('Données projet'!$B$10,Paramètres!$A$1:$I$89,5,0)</f>
        <v>234.86450000000002</v>
      </c>
      <c r="AK59" s="14">
        <f t="shared" si="35"/>
        <v>57.33321552572081</v>
      </c>
      <c r="AL59" s="22">
        <f t="shared" si="4"/>
        <v>508.9110212072971</v>
      </c>
      <c r="AM59" s="62">
        <f t="shared" si="5"/>
        <v>802.24435454063041</v>
      </c>
      <c r="AN59" s="62">
        <f ca="1">AVERAGE(OFFSET($AM$3,0,0,'Données projet'!$E$10+1,1))-AVERAGE(OFFSET($H$3,0,0,'Données projet'!$E$10+1,1))</f>
        <v>280.57175994295949</v>
      </c>
      <c r="AO59" s="62">
        <f t="shared" si="36"/>
        <v>216.69635818716841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3.1411584600828826E-3</v>
      </c>
      <c r="AX59" s="23">
        <f t="shared" si="6"/>
        <v>3.1411584600828826E-3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31.863000000000021</v>
      </c>
      <c r="D60" s="12">
        <f t="shared" si="32"/>
        <v>9.814228399582424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321.71895606695222</v>
      </c>
      <c r="H60" s="70">
        <f t="shared" si="1"/>
        <v>365.92117279593941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159.66426236964111</v>
      </c>
      <c r="T60" s="62">
        <f t="shared" si="34"/>
        <v>271.84289502949997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17.625</v>
      </c>
      <c r="AI60" s="14">
        <f>IF('Données projet'!$A$62&gt;35,AI59+AH60-AQ59,IF(A60&lt;'Données projet'!$A$62,$AF$205^A60,IF(A60='Données projet'!$A$62,'Données projet'!$B$62,AI59+AH60-AQ59)))</f>
        <v>410.37500000000006</v>
      </c>
      <c r="AJ60" s="14">
        <f>AI60*VLOOKUP('Données projet'!$B$10,Paramètres!$A$1:$I$89,3,0)*VLOOKUP('Données projet'!$B$10,Paramètres!$A$1:$I$89,5,0)</f>
        <v>245.40425000000005</v>
      </c>
      <c r="AK60" s="14">
        <f t="shared" si="35"/>
        <v>59.60076999447687</v>
      </c>
      <c r="AL60" s="22">
        <f t="shared" si="4"/>
        <v>531.21707649038069</v>
      </c>
      <c r="AM60" s="62">
        <f t="shared" si="5"/>
        <v>824.55040982371406</v>
      </c>
      <c r="AN60" s="62">
        <f ca="1">AVERAGE(OFFSET($AM$3,0,0,'Données projet'!$E$10+1,1))-AVERAGE(OFFSET($H$3,0,0,'Données projet'!$E$10+1,1))</f>
        <v>280.57175994295949</v>
      </c>
      <c r="AO60" s="62">
        <f t="shared" si="36"/>
        <v>216.69635818716841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2.2211344479060994E-3</v>
      </c>
      <c r="AX60" s="23">
        <f t="shared" si="6"/>
        <v>2.2211344479060994E-3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32.422000000000018</v>
      </c>
      <c r="D61" s="12">
        <f t="shared" si="32"/>
        <v>9.9662118219155289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327.20724915162879</v>
      </c>
      <c r="H61" s="70">
        <f t="shared" si="1"/>
        <v>367.15946892316958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159.66426236964111</v>
      </c>
      <c r="T61" s="62">
        <f t="shared" si="34"/>
        <v>271.84289502949997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>
        <f>VLOOKUP(A61,'Données projet'!$A$61:$I$81,2,0)</f>
        <v>428</v>
      </c>
      <c r="AG61" s="13">
        <f>VLOOKUP(A61,'Données projet'!$A$61:$I$81,9,0)</f>
        <v>17.625</v>
      </c>
      <c r="AH61" s="13">
        <f t="array" ref="AH61">INDEX(AG:AG,MIN(IF(ISNUMBER(AG61:AG257),ROW(AG61:AG257),"")))</f>
        <v>17.625</v>
      </c>
      <c r="AI61" s="14">
        <f>IF('Données projet'!$A$62&gt;35,AI60+AH61-AQ60,IF(A61&lt;'Données projet'!$A$62,$AF$205^A61,IF(A61='Données projet'!$A$62,'Données projet'!$B$62,AI60+AH61-AQ60)))</f>
        <v>428.00000000000006</v>
      </c>
      <c r="AJ61" s="14">
        <f>AI61*VLOOKUP('Données projet'!$B$10,Paramètres!$A$1:$I$89,3,0)*VLOOKUP('Données projet'!$B$10,Paramètres!$A$1:$I$89,5,0)</f>
        <v>255.94400000000005</v>
      </c>
      <c r="AK61" s="14">
        <f t="shared" si="35"/>
        <v>61.857013102708898</v>
      </c>
      <c r="AL61" s="22">
        <f t="shared" si="4"/>
        <v>553.50343115388478</v>
      </c>
      <c r="AM61" s="62">
        <f t="shared" si="5"/>
        <v>846.83676448721803</v>
      </c>
      <c r="AN61" s="62">
        <f ca="1">AVERAGE(OFFSET($AM$3,0,0,'Données projet'!$E$10+1,1))-AVERAGE(OFFSET($H$3,0,0,'Données projet'!$E$10+1,1))</f>
        <v>280.57175994295949</v>
      </c>
      <c r="AO61" s="62">
        <f t="shared" si="36"/>
        <v>216.69635818716841</v>
      </c>
      <c r="AP61" s="16">
        <f>IF(ISNA(VLOOKUP(A61,'Données projet'!$A$61:$I$81,3,0)),0,VLOOKUP(A61,'Données projet'!$A$61:$I$81,3,0))</f>
        <v>8</v>
      </c>
      <c r="AQ61" s="16">
        <f>IF(ISNA(VLOOKUP(A61,'Données projet'!$A$61:$I$81,4,0)),0,VLOOKUP(A61,'Données projet'!$A$61:$I$81,4,0))</f>
        <v>78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1.5705792300414413E-3</v>
      </c>
      <c r="AX61" s="23">
        <f t="shared" si="6"/>
        <v>1.5705792300414413E-3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32.981000000000016</v>
      </c>
      <c r="D62" s="12">
        <f t="shared" si="32"/>
        <v>10.117890519143426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332.69318997233535</v>
      </c>
      <c r="H62" s="70">
        <f t="shared" si="1"/>
        <v>368.39723432084145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159.66426236964111</v>
      </c>
      <c r="T62" s="62">
        <f t="shared" si="34"/>
        <v>271.84289502949997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16.625</v>
      </c>
      <c r="AI62" s="14">
        <f>IF('Données projet'!$A$62&gt;35,AI61+AH62-AQ61,IF(A62&lt;'Données projet'!$A$62,$AF$205^A62,IF(A62='Données projet'!$A$62,'Données projet'!$B$62,AI61+AH62-AQ61)))</f>
        <v>366.62500000000006</v>
      </c>
      <c r="AJ62" s="14">
        <f>AI62*VLOOKUP('Données projet'!$B$10,Paramètres!$A$1:$I$89,3,0)*VLOOKUP('Données projet'!$B$10,Paramètres!$A$1:$I$89,5,0)</f>
        <v>219.24175000000005</v>
      </c>
      <c r="AK62" s="14">
        <f t="shared" si="35"/>
        <v>53.950050729111297</v>
      </c>
      <c r="AL62" s="22">
        <f t="shared" si="4"/>
        <v>475.80905293653558</v>
      </c>
      <c r="AM62" s="62">
        <f t="shared" si="5"/>
        <v>769.14238626986889</v>
      </c>
      <c r="AN62" s="62">
        <f ca="1">AVERAGE(OFFSET($AM$3,0,0,'Données projet'!$E$10+1,1))-AVERAGE(OFFSET($H$3,0,0,'Données projet'!$E$10+1,1))</f>
        <v>280.57175994295949</v>
      </c>
      <c r="AO62" s="62">
        <f t="shared" si="36"/>
        <v>216.69635818716841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1.1105672239530497E-3</v>
      </c>
      <c r="AX62" s="23">
        <f t="shared" si="6"/>
        <v>1.1105672239530497E-3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33.540000000000013</v>
      </c>
      <c r="D63" s="12">
        <f t="shared" si="32"/>
        <v>10.269270252156671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338.17682299910427</v>
      </c>
      <c r="H63" s="70">
        <f t="shared" si="1"/>
        <v>369.63447902250618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159.66426236964111</v>
      </c>
      <c r="T63" s="62">
        <f t="shared" si="34"/>
        <v>271.84289502949997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16.625</v>
      </c>
      <c r="AI63" s="14">
        <f>IF('Données projet'!$A$62&gt;35,AI62+AH63-AQ62,IF(A63&lt;'Données projet'!$A$62,$AF$205^A63,IF(A63='Données projet'!$A$62,'Données projet'!$B$62,AI62+AH63-AQ62)))</f>
        <v>383.25000000000006</v>
      </c>
      <c r="AJ63" s="14">
        <f>AI63*VLOOKUP('Données projet'!$B$10,Paramètres!$A$1:$I$89,3,0)*VLOOKUP('Données projet'!$B$10,Paramètres!$A$1:$I$89,5,0)</f>
        <v>229.18350000000007</v>
      </c>
      <c r="AK63" s="14">
        <f t="shared" si="35"/>
        <v>56.106098616839645</v>
      </c>
      <c r="AL63" s="22">
        <f t="shared" si="4"/>
        <v>496.87938425766248</v>
      </c>
      <c r="AM63" s="62">
        <f t="shared" si="5"/>
        <v>790.21271759099579</v>
      </c>
      <c r="AN63" s="62">
        <f ca="1">AVERAGE(OFFSET($AM$3,0,0,'Données projet'!$E$10+1,1))-AVERAGE(OFFSET($H$3,0,0,'Données projet'!$E$10+1,1))</f>
        <v>280.57175994295949</v>
      </c>
      <c r="AO63" s="62">
        <f t="shared" si="36"/>
        <v>216.69635818716841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7.8528961502072065E-4</v>
      </c>
      <c r="AX63" s="23">
        <f t="shared" si="6"/>
        <v>7.8528961502072065E-4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34.099000000000011</v>
      </c>
      <c r="D64" s="12">
        <f t="shared" si="32"/>
        <v>10.420356578808908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343.65819113466529</v>
      </c>
      <c r="H64" s="70">
        <f t="shared" si="1"/>
        <v>370.87121270809217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159.66426236964111</v>
      </c>
      <c r="T64" s="62">
        <f t="shared" si="34"/>
        <v>271.84289502949997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16.625</v>
      </c>
      <c r="AI64" s="14">
        <f>IF('Données projet'!$A$62&gt;35,AI63+AH64-AQ63,IF(A64&lt;'Données projet'!$A$62,$AF$205^A64,IF(A64='Données projet'!$A$62,'Données projet'!$B$62,AI63+AH64-AQ63)))</f>
        <v>399.87500000000006</v>
      </c>
      <c r="AJ64" s="14">
        <f>AI64*VLOOKUP('Données projet'!$B$10,Paramètres!$A$1:$I$89,3,0)*VLOOKUP('Données projet'!$B$10,Paramètres!$A$1:$I$89,5,0)</f>
        <v>239.12525000000005</v>
      </c>
      <c r="AK64" s="14">
        <f t="shared" si="35"/>
        <v>58.251283780505084</v>
      </c>
      <c r="AL64" s="22">
        <f t="shared" si="4"/>
        <v>517.93079633437981</v>
      </c>
      <c r="AM64" s="62">
        <f t="shared" si="5"/>
        <v>811.26412966771318</v>
      </c>
      <c r="AN64" s="62">
        <f ca="1">AVERAGE(OFFSET($AM$3,0,0,'Données projet'!$E$10+1,1))-AVERAGE(OFFSET($H$3,0,0,'Données projet'!$E$10+1,1))</f>
        <v>280.57175994295949</v>
      </c>
      <c r="AO64" s="62">
        <f t="shared" si="36"/>
        <v>216.69635818716841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5.5528361197652485E-4</v>
      </c>
      <c r="AX64" s="23">
        <f t="shared" si="6"/>
        <v>5.5528361197652485E-4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34.658000000000008</v>
      </c>
      <c r="D65" s="12">
        <f t="shared" si="32"/>
        <v>10.571154864281649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349.13733579445488</v>
      </c>
      <c r="H65" s="70">
        <f t="shared" si="1"/>
        <v>372.10744472195717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159.66426236964111</v>
      </c>
      <c r="T65" s="62">
        <f t="shared" si="34"/>
        <v>271.84289502949997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16.625</v>
      </c>
      <c r="AI65" s="14">
        <f>IF('Données projet'!$A$62&gt;35,AI64+AH65-AQ64,IF(A65&lt;'Données projet'!$A$62,$AF$205^A65,IF(A65='Données projet'!$A$62,'Données projet'!$B$62,AI64+AH65-AQ64)))</f>
        <v>416.50000000000006</v>
      </c>
      <c r="AJ65" s="14">
        <f>AI65*VLOOKUP('Données projet'!$B$10,Paramètres!$A$1:$I$89,3,0)*VLOOKUP('Données projet'!$B$10,Paramètres!$A$1:$I$89,5,0)</f>
        <v>249.06700000000004</v>
      </c>
      <c r="AK65" s="14">
        <f t="shared" si="35"/>
        <v>60.386109489804014</v>
      </c>
      <c r="AL65" s="22">
        <f t="shared" si="4"/>
        <v>538.96416569474195</v>
      </c>
      <c r="AM65" s="62">
        <f t="shared" si="5"/>
        <v>832.29749902807521</v>
      </c>
      <c r="AN65" s="62">
        <f ca="1">AVERAGE(OFFSET($AM$3,0,0,'Données projet'!$E$10+1,1))-AVERAGE(OFFSET($H$3,0,0,'Données projet'!$E$10+1,1))</f>
        <v>280.57175994295949</v>
      </c>
      <c r="AO65" s="62">
        <f t="shared" si="36"/>
        <v>216.69635818716841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3.9264480751036033E-4</v>
      </c>
      <c r="AX65" s="23">
        <f t="shared" si="6"/>
        <v>3.9264480751036033E-4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35.217000000000006</v>
      </c>
      <c r="D66" s="12">
        <f t="shared" si="32"/>
        <v>10.721670290761447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354.6142969813165</v>
      </c>
      <c r="H66" s="70">
        <f t="shared" si="1"/>
        <v>373.34318408974286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159.66426236964111</v>
      </c>
      <c r="T66" s="62">
        <f t="shared" si="34"/>
        <v>271.84289502949997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16.625</v>
      </c>
      <c r="AI66" s="14">
        <f>IF('Données projet'!$A$62&gt;35,AI65+AH66-AQ65,IF(A66&lt;'Données projet'!$A$62,$AF$205^A66,IF(A66='Données projet'!$A$62,'Données projet'!$B$62,AI65+AH66-AQ65)))</f>
        <v>433.12500000000006</v>
      </c>
      <c r="AJ66" s="14">
        <f>AI66*VLOOKUP('Données projet'!$B$10,Paramètres!$A$1:$I$89,3,0)*VLOOKUP('Données projet'!$B$10,Paramètres!$A$1:$I$89,5,0)</f>
        <v>259.00875000000008</v>
      </c>
      <c r="AK66" s="14">
        <f t="shared" si="35"/>
        <v>62.511036563235727</v>
      </c>
      <c r="AL66" s="22">
        <f t="shared" si="4"/>
        <v>559.98029493096897</v>
      </c>
      <c r="AM66" s="62">
        <f t="shared" si="5"/>
        <v>853.31362826430222</v>
      </c>
      <c r="AN66" s="62">
        <f ca="1">AVERAGE(OFFSET($AM$3,0,0,'Données projet'!$E$10+1,1))-AVERAGE(OFFSET($H$3,0,0,'Données projet'!$E$10+1,1))</f>
        <v>280.57175994295949</v>
      </c>
      <c r="AO66" s="62">
        <f t="shared" si="36"/>
        <v>216.69635818716841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2.7764180598826243E-4</v>
      </c>
      <c r="AX66" s="23">
        <f t="shared" si="6"/>
        <v>2.7764180598826243E-4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35.776000000000003</v>
      </c>
      <c r="D67" s="12">
        <f t="shared" si="32"/>
        <v>10.871907866485202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360.0891133553244</v>
      </c>
      <c r="H67" s="70">
        <f t="shared" si="1"/>
        <v>374.57843953412839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159.66426236964111</v>
      </c>
      <c r="T67" s="62">
        <f t="shared" si="34"/>
        <v>271.84289502949997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16.625</v>
      </c>
      <c r="AI67" s="14">
        <f>IF('Données projet'!$A$62&gt;35,AI66+AH67-AQ66,IF(A67&lt;'Données projet'!$A$62,$AF$205^A67,IF(A67='Données projet'!$A$62,'Données projet'!$B$62,AI66+AH67-AQ66)))</f>
        <v>449.75000000000006</v>
      </c>
      <c r="AJ67" s="14">
        <f>AI67*VLOOKUP('Données projet'!$B$10,Paramètres!$A$1:$I$89,3,0)*VLOOKUP('Données projet'!$B$10,Paramètres!$A$1:$I$89,5,0)</f>
        <v>268.95050000000009</v>
      </c>
      <c r="AK67" s="14">
        <f t="shared" si="35"/>
        <v>64.626488439895155</v>
      </c>
      <c r="AL67" s="22">
        <f t="shared" si="4"/>
        <v>580.97992153281746</v>
      </c>
      <c r="AM67" s="62">
        <f t="shared" si="5"/>
        <v>874.31325486615083</v>
      </c>
      <c r="AN67" s="62">
        <f ca="1">AVERAGE(OFFSET($AM$3,0,0,'Données projet'!$E$10+1,1))-AVERAGE(OFFSET($H$3,0,0,'Données projet'!$E$10+1,1))</f>
        <v>280.57175994295949</v>
      </c>
      <c r="AO67" s="62">
        <f t="shared" si="36"/>
        <v>216.69635818716841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1.9632240375518016E-4</v>
      </c>
      <c r="AX67" s="23">
        <f t="shared" si="6"/>
        <v>1.9632240375518016E-4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36.335000000000001</v>
      </c>
      <c r="D68" s="12">
        <f t="shared" si="32"/>
        <v>11.02187243420407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365.56182229911923</v>
      </c>
      <c r="H68" s="70">
        <f t="shared" ref="H68:H131" si="56">(B68+E68+F68)*44/12+(C68+D68)*0.475*44/12</f>
        <v>375.81321948957208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159.66426236964111</v>
      </c>
      <c r="T68" s="62">
        <f t="shared" si="34"/>
        <v>271.84289502949997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16.625</v>
      </c>
      <c r="AI68" s="14">
        <f>IF('Données projet'!$A$62&gt;35,AI67+AH68-AQ67,IF(A68&lt;'Données projet'!$A$62,$AF$205^A68,IF(A68='Données projet'!$A$62,'Données projet'!$B$62,AI67+AH68-AQ67)))</f>
        <v>466.37500000000006</v>
      </c>
      <c r="AJ68" s="14">
        <f>AI68*VLOOKUP('Données projet'!$B$10,Paramètres!$A$1:$I$89,3,0)*VLOOKUP('Données projet'!$B$10,Paramètres!$A$1:$I$89,5,0)</f>
        <v>278.89225000000005</v>
      </c>
      <c r="AK68" s="14">
        <f t="shared" si="35"/>
        <v>66.732855480271084</v>
      </c>
      <c r="AL68" s="22">
        <f t="shared" ref="AL68:AL131" si="58">(AJ68+AK68)*0.475*44/12</f>
        <v>601.96372537813886</v>
      </c>
      <c r="AM68" s="62">
        <f t="shared" ref="AM68:AM131" si="59">AL68+(AD68+AE68)*44/12</f>
        <v>895.29705871147212</v>
      </c>
      <c r="AN68" s="62">
        <f ca="1">AVERAGE(OFFSET($AM$3,0,0,'Données projet'!$E$10+1,1))-AVERAGE(OFFSET($H$3,0,0,'Données projet'!$E$10+1,1))</f>
        <v>280.57175994295949</v>
      </c>
      <c r="AO68" s="62">
        <f t="shared" si="36"/>
        <v>216.69635818716841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1.3882090299413121E-4</v>
      </c>
      <c r="AX68" s="23">
        <f t="shared" ref="AX68:AX131" si="60">SUM(AU68:AW68)</f>
        <v>1.3882090299413121E-4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36.893999999999998</v>
      </c>
      <c r="D69" s="12">
        <f t="shared" ref="D69:D132" si="86">IFERROR(EXP(-1.0587+0.8836*LN(C69)+0.284),0)</f>
        <v>11.17156867911179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371.03245997910858</v>
      </c>
      <c r="H69" s="70">
        <f t="shared" si="56"/>
        <v>377.04753211611967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159.66426236964111</v>
      </c>
      <c r="T69" s="62">
        <f t="shared" ref="T69:T132" si="88">$T$3</f>
        <v>271.84289502949997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483</v>
      </c>
      <c r="AG69" s="13">
        <f>VLOOKUP(A69,'Données projet'!$A$61:$I$81,9,0)</f>
        <v>16.625</v>
      </c>
      <c r="AH69" s="13">
        <f t="array" ref="AH69">INDEX(AG:AG,MIN(IF(ISNUMBER(AG69:AG265),ROW(AG69:AG265),"")))</f>
        <v>16.625</v>
      </c>
      <c r="AI69" s="14">
        <f>IF('Données projet'!$A$62&gt;35,AI68+AH69-AQ68,IF(A69&lt;'Données projet'!$A$62,$AF$205^A69,IF(A69='Données projet'!$A$62,'Données projet'!$B$62,AI68+AH69-AQ68)))</f>
        <v>483.00000000000006</v>
      </c>
      <c r="AJ69" s="14">
        <f>AI69*VLOOKUP('Données projet'!$B$10,Paramètres!$A$1:$I$89,3,0)*VLOOKUP('Données projet'!$B$10,Paramètres!$A$1:$I$89,5,0)</f>
        <v>288.83400000000006</v>
      </c>
      <c r="AK69" s="14">
        <f t="shared" ref="AK69:AK132" si="89">EXP(-1.0587+0.8836*LN(AJ69)+0.284)</f>
        <v>68.830498636563377</v>
      </c>
      <c r="AL69" s="22">
        <f t="shared" si="58"/>
        <v>622.932335125348</v>
      </c>
      <c r="AM69" s="62">
        <f t="shared" si="59"/>
        <v>916.26566845868138</v>
      </c>
      <c r="AN69" s="62">
        <f ca="1">AVERAGE(OFFSET($AM$3,0,0,'Données projet'!$E$10+1,1))-AVERAGE(OFFSET($H$3,0,0,'Données projet'!$E$10+1,1))</f>
        <v>280.57175994295949</v>
      </c>
      <c r="AO69" s="62">
        <f t="shared" ref="AO69:AO132" si="90">$AO$3</f>
        <v>216.69635818716841</v>
      </c>
      <c r="AP69" s="16">
        <f>IF(ISNA(VLOOKUP(A69,'Données projet'!$A$61:$I$81,3,0)),0,VLOOKUP(A69,'Données projet'!$A$61:$I$81,3,0))</f>
        <v>9</v>
      </c>
      <c r="AQ69" s="16">
        <f>IF(ISNA(VLOOKUP(A69,'Données projet'!$A$61:$I$81,4,0)),0,VLOOKUP(A69,'Données projet'!$A$61:$I$81,4,0))</f>
        <v>65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9.8161201877590082E-5</v>
      </c>
      <c r="AX69" s="23">
        <f t="shared" si="60"/>
        <v>9.8161201877590082E-5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37.452999999999996</v>
      </c>
      <c r="D70" s="12">
        <f t="shared" si="86"/>
        <v>11.321001136278802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376.50106140285385</v>
      </c>
      <c r="H70" s="70">
        <f t="shared" si="56"/>
        <v>378.2813853123522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159.66426236964111</v>
      </c>
      <c r="T70" s="62">
        <f t="shared" si="88"/>
        <v>271.84289502949997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12.875</v>
      </c>
      <c r="AI70" s="14">
        <f>IF('Données projet'!$A$62&gt;35,AI69+AH70-AQ69,IF(A70&lt;'Données projet'!$A$62,$AF$205^A70,IF(A70='Données projet'!$A$62,'Données projet'!$B$62,AI69+AH70-AQ69)))</f>
        <v>430.87500000000006</v>
      </c>
      <c r="AJ70" s="14">
        <f>AI70*VLOOKUP('Données projet'!$B$10,Paramètres!$A$1:$I$89,3,0)*VLOOKUP('Données projet'!$B$10,Paramètres!$A$1:$I$89,5,0)</f>
        <v>257.66325000000006</v>
      </c>
      <c r="AK70" s="14">
        <f t="shared" si="89"/>
        <v>62.224015868041043</v>
      </c>
      <c r="AL70" s="22">
        <f t="shared" si="58"/>
        <v>557.13698805350487</v>
      </c>
      <c r="AM70" s="62">
        <f t="shared" si="59"/>
        <v>850.47032138683812</v>
      </c>
      <c r="AN70" s="62">
        <f ca="1">AVERAGE(OFFSET($AM$3,0,0,'Données projet'!$E$10+1,1))-AVERAGE(OFFSET($H$3,0,0,'Données projet'!$E$10+1,1))</f>
        <v>280.57175994295949</v>
      </c>
      <c r="AO70" s="62">
        <f t="shared" si="90"/>
        <v>216.69635818716841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6.9410451497065606E-5</v>
      </c>
      <c r="AX70" s="23">
        <f t="shared" si="60"/>
        <v>6.9410451497065606E-5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38.011999999999993</v>
      </c>
      <c r="D71" s="12">
        <f t="shared" si="86"/>
        <v>11.470174197629985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381.96766047293323</v>
      </c>
      <c r="H71" s="70">
        <f t="shared" si="56"/>
        <v>379.51478672753888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159.66426236964111</v>
      </c>
      <c r="T71" s="62">
        <f t="shared" si="88"/>
        <v>271.84289502949997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12.875</v>
      </c>
      <c r="AI71" s="14">
        <f>IF('Données projet'!$A$62&gt;35,AI70+AH71-AQ70,IF(A71&lt;'Données projet'!$A$62,$AF$205^A71,IF(A71='Données projet'!$A$62,'Données projet'!$B$62,AI70+AH71-AQ70)))</f>
        <v>443.75000000000006</v>
      </c>
      <c r="AJ71" s="14">
        <f>AI71*VLOOKUP('Données projet'!$B$10,Paramètres!$A$1:$I$89,3,0)*VLOOKUP('Données projet'!$B$10,Paramètres!$A$1:$I$89,5,0)</f>
        <v>265.36250000000007</v>
      </c>
      <c r="AK71" s="14">
        <f t="shared" si="89"/>
        <v>63.864084559847946</v>
      </c>
      <c r="AL71" s="22">
        <f t="shared" si="58"/>
        <v>573.40296810840198</v>
      </c>
      <c r="AM71" s="62">
        <f t="shared" si="59"/>
        <v>866.73630144173535</v>
      </c>
      <c r="AN71" s="62">
        <f ca="1">AVERAGE(OFFSET($AM$3,0,0,'Données projet'!$E$10+1,1))-AVERAGE(OFFSET($H$3,0,0,'Données projet'!$E$10+1,1))</f>
        <v>280.57175994295949</v>
      </c>
      <c r="AO71" s="62">
        <f t="shared" si="90"/>
        <v>216.69635818716841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4.9080600938795041E-5</v>
      </c>
      <c r="AX71" s="23">
        <f t="shared" si="60"/>
        <v>4.9080600938795041E-5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38.570999999999991</v>
      </c>
      <c r="D72" s="12">
        <f t="shared" si="86"/>
        <v>11.619092118500239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387.43229003754567</v>
      </c>
      <c r="H72" s="70">
        <f t="shared" si="56"/>
        <v>380.74774377305454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159.66426236964111</v>
      </c>
      <c r="T72" s="62">
        <f t="shared" si="88"/>
        <v>271.84289502949997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12.875</v>
      </c>
      <c r="AI72" s="14">
        <f>IF('Données projet'!$A$62&gt;35,AI71+AH72-AQ71,IF(A72&lt;'Données projet'!$A$62,$AF$205^A72,IF(A72='Données projet'!$A$62,'Données projet'!$B$62,AI71+AH72-AQ71)))</f>
        <v>456.62500000000006</v>
      </c>
      <c r="AJ72" s="14">
        <f>AI72*VLOOKUP('Données projet'!$B$10,Paramètres!$A$1:$I$89,3,0)*VLOOKUP('Données projet'!$B$10,Paramètres!$A$1:$I$89,5,0)</f>
        <v>273.06175000000007</v>
      </c>
      <c r="AK72" s="14">
        <f t="shared" si="89"/>
        <v>65.49862286970442</v>
      </c>
      <c r="AL72" s="22">
        <f t="shared" si="58"/>
        <v>589.65931608140193</v>
      </c>
      <c r="AM72" s="62">
        <f t="shared" si="59"/>
        <v>882.9926494147353</v>
      </c>
      <c r="AN72" s="62">
        <f ca="1">AVERAGE(OFFSET($AM$3,0,0,'Données projet'!$E$10+1,1))-AVERAGE(OFFSET($H$3,0,0,'Données projet'!$E$10+1,1))</f>
        <v>280.57175994295949</v>
      </c>
      <c r="AO72" s="62">
        <f t="shared" si="90"/>
        <v>216.69635818716841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3.4705225748532803E-5</v>
      </c>
      <c r="AX72" s="23">
        <f t="shared" si="60"/>
        <v>3.4705225748532803E-5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39.129999999999988</v>
      </c>
      <c r="D73" s="12">
        <f t="shared" si="86"/>
        <v>11.767759023799293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392.89498193809976</v>
      </c>
      <c r="H73" s="70">
        <f t="shared" si="56"/>
        <v>381.98026363311709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159.66426236964111</v>
      </c>
      <c r="T73" s="62">
        <f t="shared" si="88"/>
        <v>271.84289502949997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12.875</v>
      </c>
      <c r="AI73" s="14">
        <f>IF('Données projet'!$A$62&gt;35,AI72+AH73-AQ72,IF(A73&lt;'Données projet'!$A$62,$AF$205^A73,IF(A73='Données projet'!$A$62,'Données projet'!$B$62,AI72+AH73-AQ72)))</f>
        <v>469.50000000000006</v>
      </c>
      <c r="AJ73" s="14">
        <f>AI73*VLOOKUP('Données projet'!$B$10,Paramètres!$A$1:$I$89,3,0)*VLOOKUP('Données projet'!$B$10,Paramètres!$A$1:$I$89,5,0)</f>
        <v>280.76100000000002</v>
      </c>
      <c r="AK73" s="14">
        <f t="shared" si="89"/>
        <v>67.12780464438184</v>
      </c>
      <c r="AL73" s="22">
        <f t="shared" si="58"/>
        <v>605.90633475563175</v>
      </c>
      <c r="AM73" s="62">
        <f t="shared" si="59"/>
        <v>899.23966808896512</v>
      </c>
      <c r="AN73" s="62">
        <f ca="1">AVERAGE(OFFSET($AM$3,0,0,'Données projet'!$E$10+1,1))-AVERAGE(OFFSET($H$3,0,0,'Données projet'!$E$10+1,1))</f>
        <v>280.57175994295949</v>
      </c>
      <c r="AO73" s="62">
        <f t="shared" si="90"/>
        <v>216.69635818716841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2.454030046939752E-5</v>
      </c>
      <c r="AX73" s="23">
        <f t="shared" si="60"/>
        <v>2.454030046939752E-5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39.688999999999986</v>
      </c>
      <c r="D74" s="12">
        <f t="shared" si="86"/>
        <v>11.916178913814131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398.35576705400371</v>
      </c>
      <c r="H74" s="70">
        <f t="shared" si="56"/>
        <v>383.21235327489291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159.66426236964111</v>
      </c>
      <c r="T74" s="62">
        <f t="shared" si="88"/>
        <v>271.84289502949997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12.875</v>
      </c>
      <c r="AI74" s="14">
        <f>IF('Données projet'!$A$62&gt;35,AI73+AH74-AQ73,IF(A74&lt;'Données projet'!$A$62,$AF$205^A74,IF(A74='Données projet'!$A$62,'Données projet'!$B$62,AI73+AH74-AQ73)))</f>
        <v>482.37500000000006</v>
      </c>
      <c r="AJ74" s="14">
        <f>AI74*VLOOKUP('Données projet'!$B$10,Paramètres!$A$1:$I$89,3,0)*VLOOKUP('Données projet'!$B$10,Paramètres!$A$1:$I$89,5,0)</f>
        <v>288.46025000000009</v>
      </c>
      <c r="AK74" s="14">
        <f t="shared" si="89"/>
        <v>68.75179365327233</v>
      </c>
      <c r="AL74" s="22">
        <f t="shared" si="58"/>
        <v>622.14430936278279</v>
      </c>
      <c r="AM74" s="62">
        <f t="shared" si="59"/>
        <v>915.47764269611616</v>
      </c>
      <c r="AN74" s="62">
        <f ca="1">AVERAGE(OFFSET($AM$3,0,0,'Données projet'!$E$10+1,1))-AVERAGE(OFFSET($H$3,0,0,'Données projet'!$E$10+1,1))</f>
        <v>280.57175994295949</v>
      </c>
      <c r="AO74" s="62">
        <f t="shared" si="90"/>
        <v>216.69635818716841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1.7352612874266402E-5</v>
      </c>
      <c r="AX74" s="23">
        <f t="shared" si="60"/>
        <v>1.7352612874266402E-5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40.247999999999983</v>
      </c>
      <c r="D75" s="12">
        <f t="shared" si="86"/>
        <v>12.064355669675358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403.81467534486228</v>
      </c>
      <c r="H75" s="70">
        <f t="shared" si="56"/>
        <v>384.44401945801786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159.66426236964111</v>
      </c>
      <c r="T75" s="62">
        <f t="shared" si="88"/>
        <v>271.84289502949997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12.875</v>
      </c>
      <c r="AI75" s="14">
        <f>IF('Données projet'!$A$62&gt;35,AI74+AH75-AQ74,IF(A75&lt;'Données projet'!$A$62,$AF$205^A75,IF(A75='Données projet'!$A$62,'Données projet'!$B$62,AI74+AH75-AQ74)))</f>
        <v>495.25000000000006</v>
      </c>
      <c r="AJ75" s="14">
        <f>AI75*VLOOKUP('Données projet'!$B$10,Paramètres!$A$1:$I$89,3,0)*VLOOKUP('Données projet'!$B$10,Paramètres!$A$1:$I$89,5,0)</f>
        <v>296.15950000000004</v>
      </c>
      <c r="AK75" s="14">
        <f t="shared" si="89"/>
        <v>70.370744425720076</v>
      </c>
      <c r="AL75" s="22">
        <f t="shared" si="58"/>
        <v>638.37350904146251</v>
      </c>
      <c r="AM75" s="62">
        <f t="shared" si="59"/>
        <v>931.70684237479577</v>
      </c>
      <c r="AN75" s="62">
        <f ca="1">AVERAGE(OFFSET($AM$3,0,0,'Données projet'!$E$10+1,1))-AVERAGE(OFFSET($H$3,0,0,'Données projet'!$E$10+1,1))</f>
        <v>280.57175994295949</v>
      </c>
      <c r="AO75" s="62">
        <f t="shared" si="90"/>
        <v>216.69635818716841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1.227015023469876E-5</v>
      </c>
      <c r="AX75" s="23">
        <f t="shared" si="60"/>
        <v>1.227015023469876E-5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40.806999999999981</v>
      </c>
      <c r="D76" s="12">
        <f t="shared" si="86"/>
        <v>12.212293058511113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409.27173589026114</v>
      </c>
      <c r="H76" s="70">
        <f t="shared" si="56"/>
        <v>385.67526874357344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159.66426236964111</v>
      </c>
      <c r="T76" s="62">
        <f t="shared" si="88"/>
        <v>271.84289502949997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12.875</v>
      </c>
      <c r="AI76" s="14">
        <f>IF('Données projet'!$A$62&gt;35,AI75+AH76-AQ75,IF(A76&lt;'Données projet'!$A$62,$AF$205^A76,IF(A76='Données projet'!$A$62,'Données projet'!$B$62,AI75+AH76-AQ75)))</f>
        <v>508.12500000000006</v>
      </c>
      <c r="AJ76" s="14">
        <f>AI76*VLOOKUP('Données projet'!$B$10,Paramètres!$A$1:$I$89,3,0)*VLOOKUP('Données projet'!$B$10,Paramètres!$A$1:$I$89,5,0)</f>
        <v>303.85875000000004</v>
      </c>
      <c r="AK76" s="14">
        <f t="shared" si="89"/>
        <v>71.984802998830631</v>
      </c>
      <c r="AL76" s="22">
        <f t="shared" si="58"/>
        <v>654.59418813963009</v>
      </c>
      <c r="AM76" s="62">
        <f t="shared" si="59"/>
        <v>947.92752147296346</v>
      </c>
      <c r="AN76" s="62">
        <f ca="1">AVERAGE(OFFSET($AM$3,0,0,'Données projet'!$E$10+1,1))-AVERAGE(OFFSET($H$3,0,0,'Données projet'!$E$10+1,1))</f>
        <v>280.57175994295949</v>
      </c>
      <c r="AO76" s="62">
        <f t="shared" si="90"/>
        <v>216.69635818716841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8.6763064371332008E-6</v>
      </c>
      <c r="AX76" s="23">
        <f t="shared" si="60"/>
        <v>8.6763064371332008E-6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41.365999999999978</v>
      </c>
      <c r="D77" s="12">
        <f t="shared" si="86"/>
        <v>12.359994738310659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414.72697692731026</v>
      </c>
      <c r="H77" s="70">
        <f t="shared" si="56"/>
        <v>386.90610750255769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159.66426236964111</v>
      </c>
      <c r="T77" s="62">
        <f t="shared" si="88"/>
        <v>271.84289502949997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>
        <f>VLOOKUP(A77,'Données projet'!$A$61:$I$81,2,0)</f>
        <v>521</v>
      </c>
      <c r="AG77" s="13">
        <f>VLOOKUP(A77,'Données projet'!$A$61:$I$81,9,0)</f>
        <v>12.875</v>
      </c>
      <c r="AH77" s="13">
        <f t="array" ref="AH77">INDEX(AG:AG,MIN(IF(ISNUMBER(AG77:AG273),ROW(AG77:AG273),"")))</f>
        <v>12.875</v>
      </c>
      <c r="AI77" s="14">
        <f>IF('Données projet'!$A$62&gt;35,AI76+AH77-AQ76,IF(A77&lt;'Données projet'!$A$62,$AF$205^A77,IF(A77='Données projet'!$A$62,'Données projet'!$B$62,AI76+AH77-AQ76)))</f>
        <v>521</v>
      </c>
      <c r="AJ77" s="14">
        <f>AI77*VLOOKUP('Données projet'!$B$10,Paramètres!$A$1:$I$89,3,0)*VLOOKUP('Données projet'!$B$10,Paramètres!$A$1:$I$89,5,0)</f>
        <v>311.55799999999999</v>
      </c>
      <c r="AK77" s="14">
        <f t="shared" si="89"/>
        <v>73.594107587354372</v>
      </c>
      <c r="AL77" s="22">
        <f t="shared" si="58"/>
        <v>670.80658738130876</v>
      </c>
      <c r="AM77" s="62">
        <f t="shared" si="59"/>
        <v>964.13992071464213</v>
      </c>
      <c r="AN77" s="62">
        <f ca="1">AVERAGE(OFFSET($AM$3,0,0,'Données projet'!$E$10+1,1))-AVERAGE(OFFSET($H$3,0,0,'Données projet'!$E$10+1,1))</f>
        <v>280.57175994295949</v>
      </c>
      <c r="AO77" s="62">
        <f t="shared" si="90"/>
        <v>216.69635818716841</v>
      </c>
      <c r="AP77" s="16">
        <f>IF(ISNA(VLOOKUP(A77,'Données projet'!$A$61:$I$81,3,0)),0,VLOOKUP(A77,'Données projet'!$A$61:$I$81,3,0))</f>
        <v>10</v>
      </c>
      <c r="AQ77" s="16">
        <f>IF(ISNA(VLOOKUP(A77,'Données projet'!$A$61:$I$81,4,0)),0,VLOOKUP(A77,'Données projet'!$A$61:$I$81,4,0))</f>
        <v>37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6.1350751173493801E-6</v>
      </c>
      <c r="AX77" s="23">
        <f t="shared" si="60"/>
        <v>6.1350751173493801E-6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41.924999999999976</v>
      </c>
      <c r="D78" s="12">
        <f t="shared" si="86"/>
        <v>12.507464262517514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420.18042588609995</v>
      </c>
      <c r="H78" s="70">
        <f t="shared" si="56"/>
        <v>388.13654192388464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159.66426236964111</v>
      </c>
      <c r="T78" s="62">
        <f t="shared" si="88"/>
        <v>271.84289502949997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8.875</v>
      </c>
      <c r="AI78" s="14">
        <f>IF('Données projet'!$A$62&gt;35,AI77+AH78-AQ77,IF(A78&lt;'Données projet'!$A$62,$AF$205^A78,IF(A78='Données projet'!$A$62,'Données projet'!$B$62,AI77+AH78-AQ77)))</f>
        <v>492.875</v>
      </c>
      <c r="AJ78" s="14">
        <f>AI78*VLOOKUP('Données projet'!$B$10,Paramètres!$A$1:$I$89,3,0)*VLOOKUP('Données projet'!$B$10,Paramètres!$A$1:$I$89,5,0)</f>
        <v>294.73925000000003</v>
      </c>
      <c r="AK78" s="14">
        <f t="shared" si="89"/>
        <v>70.072475236035828</v>
      </c>
      <c r="AL78" s="22">
        <f t="shared" si="58"/>
        <v>635.38042145276233</v>
      </c>
      <c r="AM78" s="62">
        <f t="shared" si="59"/>
        <v>928.71375478609571</v>
      </c>
      <c r="AN78" s="62">
        <f ca="1">AVERAGE(OFFSET($AM$3,0,0,'Données projet'!$E$10+1,1))-AVERAGE(OFFSET($H$3,0,0,'Données projet'!$E$10+1,1))</f>
        <v>280.57175994295949</v>
      </c>
      <c r="AO78" s="62">
        <f t="shared" si="90"/>
        <v>216.69635818716841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4.3381532185666004E-6</v>
      </c>
      <c r="AX78" s="23">
        <f t="shared" si="60"/>
        <v>4.3381532185666004E-6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42.483999999999973</v>
      </c>
      <c r="D79" s="12">
        <f t="shared" si="86"/>
        <v>12.654705084370672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425.63210942321194</v>
      </c>
      <c r="H79" s="70">
        <f t="shared" si="56"/>
        <v>389.36657802194554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159.66426236964111</v>
      </c>
      <c r="T79" s="62">
        <f t="shared" si="88"/>
        <v>271.84289502949997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8.875</v>
      </c>
      <c r="AI79" s="14">
        <f>IF('Données projet'!$A$62&gt;35,AI78+AH79-AQ78,IF(A79&lt;'Données projet'!$A$62,$AF$205^A79,IF(A79='Données projet'!$A$62,'Données projet'!$B$62,AI78+AH79-AQ78)))</f>
        <v>501.75</v>
      </c>
      <c r="AJ79" s="14">
        <f>AI79*VLOOKUP('Données projet'!$B$10,Paramètres!$A$1:$I$89,3,0)*VLOOKUP('Données projet'!$B$10,Paramètres!$A$1:$I$89,5,0)</f>
        <v>300.04650000000004</v>
      </c>
      <c r="AK79" s="14">
        <f t="shared" si="89"/>
        <v>71.186211573839699</v>
      </c>
      <c r="AL79" s="22">
        <f t="shared" si="58"/>
        <v>646.56363932443753</v>
      </c>
      <c r="AM79" s="62">
        <f t="shared" si="59"/>
        <v>939.8969726577709</v>
      </c>
      <c r="AN79" s="62">
        <f ca="1">AVERAGE(OFFSET($AM$3,0,0,'Données projet'!$E$10+1,1))-AVERAGE(OFFSET($H$3,0,0,'Données projet'!$E$10+1,1))</f>
        <v>280.57175994295949</v>
      </c>
      <c r="AO79" s="62">
        <f t="shared" si="90"/>
        <v>216.69635818716841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3.0675375586746901E-6</v>
      </c>
      <c r="AX79" s="23">
        <f t="shared" si="60"/>
        <v>3.0675375586746901E-6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43.042999999999971</v>
      </c>
      <c r="D80" s="12">
        <f t="shared" si="86"/>
        <v>12.80172056101086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431.08205345341702</v>
      </c>
      <c r="H80" s="70">
        <f t="shared" si="56"/>
        <v>390.59622164376049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159.66426236964111</v>
      </c>
      <c r="T80" s="62">
        <f t="shared" si="88"/>
        <v>271.84289502949997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8.875</v>
      </c>
      <c r="AI80" s="14">
        <f>IF('Données projet'!$A$62&gt;35,AI79+AH80-AQ79,IF(A80&lt;'Données projet'!$A$62,$AF$205^A80,IF(A80='Données projet'!$A$62,'Données projet'!$B$62,AI79+AH80-AQ79)))</f>
        <v>510.625</v>
      </c>
      <c r="AJ80" s="14">
        <f>AI80*VLOOKUP('Données projet'!$B$10,Paramètres!$A$1:$I$89,3,0)*VLOOKUP('Données projet'!$B$10,Paramètres!$A$1:$I$89,5,0)</f>
        <v>305.35375000000005</v>
      </c>
      <c r="AK80" s="14">
        <f t="shared" si="89"/>
        <v>72.297657079406008</v>
      </c>
      <c r="AL80" s="22">
        <f t="shared" si="58"/>
        <v>657.74286732996552</v>
      </c>
      <c r="AM80" s="62">
        <f t="shared" si="59"/>
        <v>951.07620066329878</v>
      </c>
      <c r="AN80" s="62">
        <f ca="1">AVERAGE(OFFSET($AM$3,0,0,'Données projet'!$E$10+1,1))-AVERAGE(OFFSET($H$3,0,0,'Données projet'!$E$10+1,1))</f>
        <v>280.57175994295949</v>
      </c>
      <c r="AO80" s="62">
        <f t="shared" si="90"/>
        <v>216.69635818716841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2.1690766092833002E-6</v>
      </c>
      <c r="AX80" s="23">
        <f t="shared" si="60"/>
        <v>2.1690766092833002E-6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43.601999999999968</v>
      </c>
      <c r="D81" s="12">
        <f t="shared" si="86"/>
        <v>12.948513957367386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436.53028317967784</v>
      </c>
      <c r="H81" s="70">
        <f t="shared" si="56"/>
        <v>391.82547847574813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159.66426236964111</v>
      </c>
      <c r="T81" s="62">
        <f t="shared" si="88"/>
        <v>271.84289502949997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8.875</v>
      </c>
      <c r="AI81" s="14">
        <f>IF('Données projet'!$A$62&gt;35,AI80+AH81-AQ80,IF(A81&lt;'Données projet'!$A$62,$AF$205^A81,IF(A81='Données projet'!$A$62,'Données projet'!$B$62,AI80+AH81-AQ80)))</f>
        <v>519.5</v>
      </c>
      <c r="AJ81" s="14">
        <f>AI81*VLOOKUP('Données projet'!$B$10,Paramètres!$A$1:$I$89,3,0)*VLOOKUP('Données projet'!$B$10,Paramètres!$A$1:$I$89,5,0)</f>
        <v>310.661</v>
      </c>
      <c r="AK81" s="14">
        <f t="shared" si="89"/>
        <v>73.406856163089444</v>
      </c>
      <c r="AL81" s="22">
        <f t="shared" si="58"/>
        <v>668.91818281738085</v>
      </c>
      <c r="AM81" s="62">
        <f t="shared" si="59"/>
        <v>962.25151615071422</v>
      </c>
      <c r="AN81" s="62">
        <f ca="1">AVERAGE(OFFSET($AM$3,0,0,'Données projet'!$E$10+1,1))-AVERAGE(OFFSET($H$3,0,0,'Données projet'!$E$10+1,1))</f>
        <v>280.57175994295949</v>
      </c>
      <c r="AO81" s="62">
        <f t="shared" si="90"/>
        <v>216.69635818716841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1.533768779337345E-6</v>
      </c>
      <c r="AX81" s="23">
        <f t="shared" si="60"/>
        <v>1.533768779337345E-6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44.160999999999966</v>
      </c>
      <c r="D82" s="12">
        <f t="shared" si="86"/>
        <v>13.095088449839977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441.9768231215715</v>
      </c>
      <c r="H82" s="70">
        <f t="shared" si="56"/>
        <v>393.05435405013787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159.66426236964111</v>
      </c>
      <c r="T82" s="62">
        <f t="shared" si="88"/>
        <v>271.84289502949997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8.875</v>
      </c>
      <c r="AI82" s="14">
        <f>IF('Données projet'!$A$62&gt;35,AI81+AH82-AQ81,IF(A82&lt;'Données projet'!$A$62,$AF$205^A82,IF(A82='Données projet'!$A$62,'Données projet'!$B$62,AI81+AH82-AQ81)))</f>
        <v>528.375</v>
      </c>
      <c r="AJ82" s="14">
        <f>AI82*VLOOKUP('Données projet'!$B$10,Paramètres!$A$1:$I$89,3,0)*VLOOKUP('Données projet'!$B$10,Paramètres!$A$1:$I$89,5,0)</f>
        <v>315.96825000000001</v>
      </c>
      <c r="AK82" s="14">
        <f t="shared" si="89"/>
        <v>74.513851630905478</v>
      </c>
      <c r="AL82" s="22">
        <f t="shared" si="58"/>
        <v>680.08966034049365</v>
      </c>
      <c r="AM82" s="62">
        <f t="shared" si="59"/>
        <v>973.42299367382702</v>
      </c>
      <c r="AN82" s="62">
        <f ca="1">AVERAGE(OFFSET($AM$3,0,0,'Données projet'!$E$10+1,1))-AVERAGE(OFFSET($H$3,0,0,'Données projet'!$E$10+1,1))</f>
        <v>280.57175994295949</v>
      </c>
      <c r="AO82" s="62">
        <f t="shared" si="90"/>
        <v>216.69635818716841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1.0845383046416501E-6</v>
      </c>
      <c r="AX82" s="23">
        <f t="shared" si="60"/>
        <v>1.0845383046416501E-6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44.719999999999963</v>
      </c>
      <c r="D83" s="12">
        <f t="shared" si="86"/>
        <v>13.24144712978892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447.42169714222996</v>
      </c>
      <c r="H83" s="70">
        <f t="shared" si="56"/>
        <v>394.28285375104895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159.66426236964111</v>
      </c>
      <c r="T83" s="62">
        <f t="shared" si="88"/>
        <v>271.84289502949997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8.875</v>
      </c>
      <c r="AI83" s="14">
        <f>IF('Données projet'!$A$62&gt;35,AI82+AH83-AQ82,IF(A83&lt;'Données projet'!$A$62,$AF$205^A83,IF(A83='Données projet'!$A$62,'Données projet'!$B$62,AI82+AH83-AQ82)))</f>
        <v>537.25</v>
      </c>
      <c r="AJ83" s="14">
        <f>AI83*VLOOKUP('Données projet'!$B$10,Paramètres!$A$1:$I$89,3,0)*VLOOKUP('Données projet'!$B$10,Paramètres!$A$1:$I$89,5,0)</f>
        <v>321.27550000000002</v>
      </c>
      <c r="AK83" s="14">
        <f t="shared" si="89"/>
        <v>75.618684768443416</v>
      </c>
      <c r="AL83" s="22">
        <f t="shared" si="58"/>
        <v>691.25737180503893</v>
      </c>
      <c r="AM83" s="62">
        <f t="shared" si="59"/>
        <v>984.59070513837219</v>
      </c>
      <c r="AN83" s="62">
        <f ca="1">AVERAGE(OFFSET($AM$3,0,0,'Données projet'!$E$10+1,1))-AVERAGE(OFFSET($H$3,0,0,'Données projet'!$E$10+1,1))</f>
        <v>280.57175994295949</v>
      </c>
      <c r="AO83" s="62">
        <f t="shared" si="90"/>
        <v>216.69635818716841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7.6688438966867251E-7</v>
      </c>
      <c r="AX83" s="23">
        <f t="shared" si="60"/>
        <v>7.6688438966867251E-7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45.278999999999961</v>
      </c>
      <c r="D84" s="12">
        <f t="shared" si="86"/>
        <v>13.387593006845686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452.86492847389621</v>
      </c>
      <c r="H84" s="70">
        <f t="shared" si="56"/>
        <v>395.51098282025612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159.66426236964111</v>
      </c>
      <c r="T84" s="62">
        <f t="shared" si="88"/>
        <v>271.84289502949997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8.875</v>
      </c>
      <c r="AI84" s="14">
        <f>IF('Données projet'!$A$62&gt;35,AI83+AH84-AQ83,IF(A84&lt;'Données projet'!$A$62,$AF$205^A84,IF(A84='Données projet'!$A$62,'Données projet'!$B$62,AI83+AH84-AQ83)))</f>
        <v>546.125</v>
      </c>
      <c r="AJ84" s="14">
        <f>AI84*VLOOKUP('Données projet'!$B$10,Paramètres!$A$1:$I$89,3,0)*VLOOKUP('Données projet'!$B$10,Paramètres!$A$1:$I$89,5,0)</f>
        <v>326.58275000000003</v>
      </c>
      <c r="AK84" s="14">
        <f t="shared" si="89"/>
        <v>76.72139541907876</v>
      </c>
      <c r="AL84" s="22">
        <f t="shared" si="58"/>
        <v>702.42138660489547</v>
      </c>
      <c r="AM84" s="62">
        <f t="shared" si="59"/>
        <v>995.75471993822885</v>
      </c>
      <c r="AN84" s="62">
        <f ca="1">AVERAGE(OFFSET($AM$3,0,0,'Données projet'!$E$10+1,1))-AVERAGE(OFFSET($H$3,0,0,'Données projet'!$E$10+1,1))</f>
        <v>280.57175994295949</v>
      </c>
      <c r="AO84" s="62">
        <f t="shared" si="90"/>
        <v>216.69635818716841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5.4226915232082505E-7</v>
      </c>
      <c r="AX84" s="23">
        <f t="shared" si="60"/>
        <v>5.4226915232082505E-7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45.837999999999958</v>
      </c>
      <c r="D85" s="12">
        <f t="shared" si="86"/>
        <v>13.533529012055453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458.30653974218217</v>
      </c>
      <c r="H85" s="70">
        <f t="shared" si="56"/>
        <v>396.73874636266316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159.66426236964111</v>
      </c>
      <c r="T85" s="62">
        <f t="shared" si="88"/>
        <v>271.84289502949997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>
        <f>VLOOKUP(A85,'Données projet'!$A$61:$I$81,2,0)</f>
        <v>555</v>
      </c>
      <c r="AG85" s="13">
        <f>VLOOKUP(A85,'Données projet'!$A$61:$I$81,9,0)</f>
        <v>8.875</v>
      </c>
      <c r="AH85" s="13">
        <f t="array" ref="AH85">INDEX(AG:AG,MIN(IF(ISNUMBER(AG85:AG281),ROW(AG85:AG281),"")))</f>
        <v>8.875</v>
      </c>
      <c r="AI85" s="14">
        <f>IF('Données projet'!$A$62&gt;35,AI84+AH85-AQ84,IF(A85&lt;'Données projet'!$A$62,$AF$205^A85,IF(A85='Données projet'!$A$62,'Données projet'!$B$62,AI84+AH85-AQ84)))</f>
        <v>555</v>
      </c>
      <c r="AJ85" s="14">
        <f>AI85*VLOOKUP('Données projet'!$B$10,Paramètres!$A$1:$I$89,3,0)*VLOOKUP('Données projet'!$B$10,Paramètres!$A$1:$I$89,5,0)</f>
        <v>331.89000000000004</v>
      </c>
      <c r="AK85" s="14">
        <f t="shared" si="89"/>
        <v>77.822022056956186</v>
      </c>
      <c r="AL85" s="22">
        <f t="shared" si="58"/>
        <v>713.58177174919865</v>
      </c>
      <c r="AM85" s="62">
        <f t="shared" si="59"/>
        <v>1006.9151050825319</v>
      </c>
      <c r="AN85" s="62">
        <f ca="1">AVERAGE(OFFSET($AM$3,0,0,'Données projet'!$E$10+1,1))-AVERAGE(OFFSET($H$3,0,0,'Données projet'!$E$10+1,1))</f>
        <v>280.57175994295949</v>
      </c>
      <c r="AO85" s="62">
        <f t="shared" si="90"/>
        <v>216.69635818716841</v>
      </c>
      <c r="AP85" s="16">
        <f>IF(ISNA(VLOOKUP(A85,'Données projet'!$A$61:$I$81,3,0)),0,VLOOKUP(A85,'Données projet'!$A$61:$I$81,3,0))</f>
        <v>11</v>
      </c>
      <c r="AQ85" s="16">
        <f>IF(ISNA(VLOOKUP(A85,'Données projet'!$A$61:$I$81,4,0)),0,VLOOKUP(A85,'Données projet'!$A$61:$I$81,4,0))</f>
        <v>555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3.8344219483433626E-7</v>
      </c>
      <c r="AX85" s="23">
        <f t="shared" si="60"/>
        <v>3.8344219483433626E-7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46.396999999999956</v>
      </c>
      <c r="D86" s="12">
        <f t="shared" si="86"/>
        <v>13.679258000861923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463.7465529891092</v>
      </c>
      <c r="H86" s="70">
        <f t="shared" si="56"/>
        <v>397.96614935150109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159.66426236964111</v>
      </c>
      <c r="T86" s="62">
        <f t="shared" si="88"/>
        <v>271.84289502949997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280.57175994295949</v>
      </c>
      <c r="AO86" s="62">
        <f t="shared" si="90"/>
        <v>216.69635818716841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2.7113457616041253E-7</v>
      </c>
      <c r="AX86" s="23">
        <f t="shared" si="60"/>
        <v>2.7113457616041253E-7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46.955999999999953</v>
      </c>
      <c r="D87" s="12">
        <f t="shared" si="86"/>
        <v>13.824782755944199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469.18498969500752</v>
      </c>
      <c r="H87" s="70">
        <f t="shared" si="56"/>
        <v>399.19319663326939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159.66426236964111</v>
      </c>
      <c r="T87" s="62">
        <f t="shared" si="88"/>
        <v>271.84289502949997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280.57175994295949</v>
      </c>
      <c r="AO87" s="62">
        <f t="shared" si="90"/>
        <v>216.69635818716841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1.9172109741716813E-7</v>
      </c>
      <c r="AX87" s="23">
        <f t="shared" si="60"/>
        <v>1.9172109741716813E-7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47.514999999999951</v>
      </c>
      <c r="D88" s="12">
        <f t="shared" si="86"/>
        <v>13.970105989914776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474.62187079934182</v>
      </c>
      <c r="H88" s="70">
        <f t="shared" si="56"/>
        <v>400.41989293243478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159.66426236964111</v>
      </c>
      <c r="T88" s="62">
        <f t="shared" si="88"/>
        <v>271.84289502949997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280.57175994295949</v>
      </c>
      <c r="AO88" s="62">
        <f t="shared" si="90"/>
        <v>216.69635818716841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1.3556728808020626E-7</v>
      </c>
      <c r="AX88" s="23">
        <f t="shared" si="60"/>
        <v>1.3556728808020626E-7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48.073999999999948</v>
      </c>
      <c r="D89" s="12">
        <f t="shared" si="86"/>
        <v>14.115230347886868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480.05721672052988</v>
      </c>
      <c r="H89" s="70">
        <f t="shared" si="56"/>
        <v>401.64624285590287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159.66426236964111</v>
      </c>
      <c r="T89" s="62">
        <f t="shared" si="88"/>
        <v>271.84289502949997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280.57175994295949</v>
      </c>
      <c r="AO89" s="62">
        <f t="shared" si="90"/>
        <v>216.69635818716841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9.5860548708584064E-8</v>
      </c>
      <c r="AX89" s="23">
        <f t="shared" si="60"/>
        <v>9.5860548708584064E-8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48.632999999999946</v>
      </c>
      <c r="D90" s="12">
        <f t="shared" si="86"/>
        <v>14.260158409918965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485.49104737481269</v>
      </c>
      <c r="H90" s="70">
        <f t="shared" si="56"/>
        <v>402.87225089727542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159.66426236964111</v>
      </c>
      <c r="T90" s="62">
        <f t="shared" si="88"/>
        <v>271.84289502949997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280.57175994295949</v>
      </c>
      <c r="AO90" s="62">
        <f t="shared" si="90"/>
        <v>216.69635818716841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6.7783644040103131E-8</v>
      </c>
      <c r="AX90" s="23">
        <f t="shared" si="60"/>
        <v>6.7783644040103131E-8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49.191999999999943</v>
      </c>
      <c r="D91" s="12">
        <f t="shared" si="86"/>
        <v>14.404892693343806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490.92338219423249</v>
      </c>
      <c r="H91" s="70">
        <f t="shared" si="56"/>
        <v>404.09792144090699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159.66426236964111</v>
      </c>
      <c r="T91" s="62">
        <f t="shared" si="88"/>
        <v>271.84289502949997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280.57175994295949</v>
      </c>
      <c r="AO91" s="62">
        <f t="shared" si="90"/>
        <v>216.69635818716841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4.7930274354292032E-8</v>
      </c>
      <c r="AX91" s="23">
        <f t="shared" si="60"/>
        <v>4.7930274354292032E-8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49.750999999999941</v>
      </c>
      <c r="D92" s="12">
        <f t="shared" si="86"/>
        <v>14.549435654988406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496.35424014376969</v>
      </c>
      <c r="H92" s="70">
        <f t="shared" si="56"/>
        <v>405.32325876577136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159.66426236964111</v>
      </c>
      <c r="T92" s="62">
        <f t="shared" si="88"/>
        <v>271.84289502949997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280.57175994295949</v>
      </c>
      <c r="AO92" s="62">
        <f t="shared" si="90"/>
        <v>216.69635818716841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3.3891822020051566E-8</v>
      </c>
      <c r="AX92" s="23">
        <f t="shared" si="60"/>
        <v>3.3891822020051566E-8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50.309999999999938</v>
      </c>
      <c r="D93" s="12">
        <f t="shared" si="86"/>
        <v>14.693789693291537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501.7836397376887</v>
      </c>
      <c r="H93" s="70">
        <f t="shared" si="56"/>
        <v>406.54826704914933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159.66426236964111</v>
      </c>
      <c r="T93" s="62">
        <f t="shared" si="88"/>
        <v>271.84289502949997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280.57175994295949</v>
      </c>
      <c r="AO93" s="62">
        <f t="shared" si="90"/>
        <v>216.69635818716841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2.3965137177146016E-8</v>
      </c>
      <c r="AX93" s="23">
        <f t="shared" si="60"/>
        <v>2.3965137177146016E-8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50.868999999999936</v>
      </c>
      <c r="D94" s="12">
        <f t="shared" si="86"/>
        <v>14.837957150324335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507.21159905513474</v>
      </c>
      <c r="H94" s="70">
        <f t="shared" si="56"/>
        <v>407.77295037014807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159.66426236964111</v>
      </c>
      <c r="T94" s="62">
        <f t="shared" si="88"/>
        <v>271.84289502949997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280.57175994295949</v>
      </c>
      <c r="AO94" s="62">
        <f t="shared" si="90"/>
        <v>216.69635818716841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1.6945911010025783E-8</v>
      </c>
      <c r="AX94" s="23">
        <f t="shared" si="60"/>
        <v>1.6945911010025783E-8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51.427999999999933</v>
      </c>
      <c r="D95" s="12">
        <f t="shared" si="86"/>
        <v>14.981940313719656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512.63813575502843</v>
      </c>
      <c r="H95" s="70">
        <f t="shared" si="56"/>
        <v>408.9973127130616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159.66426236964111</v>
      </c>
      <c r="T95" s="62">
        <f t="shared" si="88"/>
        <v>271.84289502949997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280.57175994295949</v>
      </c>
      <c r="AO95" s="62">
        <f t="shared" si="90"/>
        <v>216.69635818716841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1.1982568588573008E-8</v>
      </c>
      <c r="AX95" s="23">
        <f t="shared" si="60"/>
        <v>1.1982568588573008E-8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51.986999999999931</v>
      </c>
      <c r="D96" s="12">
        <f t="shared" si="86"/>
        <v>15.125741418515025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518.06326709029088</v>
      </c>
      <c r="H96" s="70">
        <f t="shared" si="56"/>
        <v>410.22135797058019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159.66426236964111</v>
      </c>
      <c r="T96" s="62">
        <f t="shared" si="88"/>
        <v>271.84289502949997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280.57175994295949</v>
      </c>
      <c r="AO96" s="62">
        <f t="shared" si="90"/>
        <v>216.69635818716841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8.4729555050128914E-9</v>
      </c>
      <c r="AX96" s="23">
        <f t="shared" si="60"/>
        <v>8.4729555050128914E-9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52.545999999999928</v>
      </c>
      <c r="D97" s="12">
        <f t="shared" si="86"/>
        <v>15.269362648914145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523.487009921442</v>
      </c>
      <c r="H97" s="70">
        <f t="shared" si="56"/>
        <v>411.44508994685867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159.66426236964111</v>
      </c>
      <c r="T97" s="62">
        <f t="shared" si="88"/>
        <v>271.84289502949997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280.57175994295949</v>
      </c>
      <c r="AO97" s="62">
        <f t="shared" si="90"/>
        <v>216.69635818716841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5.991284294286504E-9</v>
      </c>
      <c r="AX97" s="23">
        <f t="shared" si="60"/>
        <v>5.991284294286504E-9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53.104999999999926</v>
      </c>
      <c r="D98" s="12">
        <f t="shared" si="86"/>
        <v>15.412806139971298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528.9093807296025</v>
      </c>
      <c r="H98" s="70">
        <f t="shared" si="56"/>
        <v>412.66851236044988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159.66426236964111</v>
      </c>
      <c r="T98" s="62">
        <f t="shared" si="88"/>
        <v>271.84289502949997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280.57175994295949</v>
      </c>
      <c r="AO98" s="62">
        <f t="shared" si="90"/>
        <v>216.69635818716841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4.2364777525064457E-9</v>
      </c>
      <c r="AX98" s="23">
        <f t="shared" si="60"/>
        <v>4.2364777525064457E-9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53.663999999999923</v>
      </c>
      <c r="D99" s="12">
        <f t="shared" si="86"/>
        <v>15.556073979202761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534.33039562893293</v>
      </c>
      <c r="H99" s="70">
        <f t="shared" si="56"/>
        <v>413.89162884711129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159.66426236964111</v>
      </c>
      <c r="T99" s="62">
        <f t="shared" si="88"/>
        <v>271.84289502949997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280.57175994295949</v>
      </c>
      <c r="AO99" s="62">
        <f t="shared" si="90"/>
        <v>216.69635818716841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2.995642147143252E-9</v>
      </c>
      <c r="AX99" s="23">
        <f t="shared" si="60"/>
        <v>2.995642147143252E-9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54.222999999999921</v>
      </c>
      <c r="D100" s="12">
        <f t="shared" si="86"/>
        <v>15.699168208129208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539.75007037854073</v>
      </c>
      <c r="H100" s="70">
        <f t="shared" si="56"/>
        <v>415.11444296249152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159.66426236964111</v>
      </c>
      <c r="T100" s="62">
        <f t="shared" si="88"/>
        <v>271.84289502949997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280.57175994295949</v>
      </c>
      <c r="AO100" s="62">
        <f t="shared" si="90"/>
        <v>216.69635818716841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2.1182388762532229E-9</v>
      </c>
      <c r="AX100" s="23">
        <f t="shared" si="60"/>
        <v>2.1182388762532229E-9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54.781999999999918</v>
      </c>
      <c r="D101" s="12">
        <f t="shared" si="86"/>
        <v>15.842090823752644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545.1684203938795</v>
      </c>
      <c r="H101" s="70">
        <f t="shared" si="56"/>
        <v>416.33695818470238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159.66426236964111</v>
      </c>
      <c r="T101" s="62">
        <f t="shared" si="88"/>
        <v>271.84289502949997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280.57175994295949</v>
      </c>
      <c r="AO101" s="62">
        <f t="shared" si="90"/>
        <v>216.69635818716841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1.497821073571626E-9</v>
      </c>
      <c r="AX101" s="23">
        <f t="shared" si="60"/>
        <v>1.497821073571626E-9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55.340999999999916</v>
      </c>
      <c r="D102" s="12">
        <f t="shared" si="86"/>
        <v>15.984843779971341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550.58546075767288</v>
      </c>
      <c r="H102" s="70">
        <f t="shared" si="56"/>
        <v>417.55917791678326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159.66426236964111</v>
      </c>
      <c r="T102" s="62">
        <f t="shared" si="88"/>
        <v>271.84289502949997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280.57175994295949</v>
      </c>
      <c r="AO102" s="62">
        <f t="shared" si="90"/>
        <v>216.69635818716841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1.0591194381266114E-9</v>
      </c>
      <c r="AX102" s="23">
        <f t="shared" si="60"/>
        <v>1.0591194381266114E-9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55.899999999999913</v>
      </c>
      <c r="D103" s="12">
        <f t="shared" si="86"/>
        <v>16.127428988936046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556.00120623038276</v>
      </c>
      <c r="H103" s="70">
        <f t="shared" si="56"/>
        <v>418.78110548906341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159.66426236964111</v>
      </c>
      <c r="T103" s="62">
        <f t="shared" si="88"/>
        <v>271.84289502949997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280.57175994295949</v>
      </c>
      <c r="AO103" s="62">
        <f t="shared" si="90"/>
        <v>216.69635818716841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7.48910536785813E-10</v>
      </c>
      <c r="AX103" s="23">
        <f t="shared" si="60"/>
        <v>7.48910536785813E-10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56.458999999999911</v>
      </c>
      <c r="D104" s="12">
        <f t="shared" si="86"/>
        <v>16.269848322350242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561.41567126024688</v>
      </c>
      <c r="H104" s="70">
        <f t="shared" si="56"/>
        <v>420.00274416142651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159.66426236964111</v>
      </c>
      <c r="T104" s="62">
        <f t="shared" si="88"/>
        <v>271.84289502949997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280.57175994295949</v>
      </c>
      <c r="AO104" s="62">
        <f t="shared" si="90"/>
        <v>216.69635818716841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5.2955971906330571E-10</v>
      </c>
      <c r="AX104" s="23">
        <f t="shared" si="60"/>
        <v>5.2955971906330571E-10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57.017999999999908</v>
      </c>
      <c r="D105" s="12">
        <f t="shared" si="86"/>
        <v>16.412103612717605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566.82886999290713</v>
      </c>
      <c r="H105" s="70">
        <f t="shared" si="56"/>
        <v>421.22409712548301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159.66426236964111</v>
      </c>
      <c r="T105" s="62">
        <f t="shared" si="88"/>
        <v>271.84289502949997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280.57175994295949</v>
      </c>
      <c r="AO105" s="62">
        <f t="shared" si="90"/>
        <v>216.69635818716841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3.744552683929065E-10</v>
      </c>
      <c r="AX105" s="23">
        <f t="shared" si="60"/>
        <v>3.744552683929065E-10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57.576999999999906</v>
      </c>
      <c r="D106" s="12">
        <f t="shared" si="86"/>
        <v>16.554196654539041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572.24081628065153</v>
      </c>
      <c r="H106" s="70">
        <f t="shared" si="56"/>
        <v>422.44516750665525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159.66426236964111</v>
      </c>
      <c r="T106" s="62">
        <f t="shared" si="88"/>
        <v>271.84289502949997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280.57175994295949</v>
      </c>
      <c r="AO106" s="62">
        <f t="shared" si="90"/>
        <v>216.69635818716841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2.6477985953165286E-10</v>
      </c>
      <c r="AX106" s="23">
        <f t="shared" si="60"/>
        <v>2.6477985953165286E-10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58.135999999999903</v>
      </c>
      <c r="D107" s="12">
        <f t="shared" si="86"/>
        <v>16.696129205461904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577.65152369128418</v>
      </c>
      <c r="H107" s="70">
        <f t="shared" si="56"/>
        <v>423.66595836617932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159.66426236964111</v>
      </c>
      <c r="T107" s="62">
        <f t="shared" si="88"/>
        <v>271.84289502949997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280.57175994295949</v>
      </c>
      <c r="AO107" s="62">
        <f t="shared" si="90"/>
        <v>216.69635818716841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1.8722763419645325E-10</v>
      </c>
      <c r="AX107" s="23">
        <f t="shared" si="60"/>
        <v>1.8722763419645325E-10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58.694999999999901</v>
      </c>
      <c r="D108" s="12">
        <f t="shared" si="86"/>
        <v>16.837902987383803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583.06100551664622</v>
      </c>
      <c r="H108" s="70">
        <f t="shared" si="56"/>
        <v>424.88647270302658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159.66426236964111</v>
      </c>
      <c r="T108" s="62">
        <f t="shared" si="88"/>
        <v>271.84289502949997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280.57175994295949</v>
      </c>
      <c r="AO108" s="62">
        <f t="shared" si="90"/>
        <v>216.69635818716841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1.3238992976582643E-10</v>
      </c>
      <c r="AX108" s="23">
        <f t="shared" si="60"/>
        <v>1.3238992976582643E-10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59.253999999999898</v>
      </c>
      <c r="D109" s="12">
        <f t="shared" si="86"/>
        <v>16.97951968751314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588.46927478080249</v>
      </c>
      <c r="H109" s="70">
        <f t="shared" si="56"/>
        <v>426.10671345575184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159.66426236964111</v>
      </c>
      <c r="T109" s="62">
        <f t="shared" si="88"/>
        <v>271.84289502949997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280.57175994295949</v>
      </c>
      <c r="AO109" s="62">
        <f t="shared" si="90"/>
        <v>216.69635818716841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9.3613817098226625E-11</v>
      </c>
      <c r="AX109" s="23">
        <f t="shared" si="60"/>
        <v>9.3613817098226625E-11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59.812999999999896</v>
      </c>
      <c r="D110" s="12">
        <f t="shared" si="86"/>
        <v>17.12098095938844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593.87634424790997</v>
      </c>
      <c r="H110" s="70">
        <f t="shared" si="56"/>
        <v>427.32668350426798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159.66426236964111</v>
      </c>
      <c r="T110" s="62">
        <f t="shared" si="88"/>
        <v>271.84289502949997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280.57175994295949</v>
      </c>
      <c r="AO110" s="62">
        <f t="shared" si="90"/>
        <v>216.69635818716841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6.6194964882913214E-11</v>
      </c>
      <c r="AX110" s="23">
        <f t="shared" si="60"/>
        <v>6.6194964882913214E-11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60.371999999999893</v>
      </c>
      <c r="D111" s="12">
        <f t="shared" si="86"/>
        <v>17.26228842385855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599.28222642978437</v>
      </c>
      <c r="H111" s="70">
        <f t="shared" si="56"/>
        <v>428.54638567155342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159.66426236964111</v>
      </c>
      <c r="T111" s="62">
        <f t="shared" si="88"/>
        <v>271.84289502949997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280.57175994295949</v>
      </c>
      <c r="AO111" s="62">
        <f t="shared" si="90"/>
        <v>216.69635818716841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4.6806908549113313E-11</v>
      </c>
      <c r="AX111" s="23">
        <f t="shared" si="60"/>
        <v>4.6806908549113313E-11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60.930999999999891</v>
      </c>
      <c r="D112" s="12">
        <f t="shared" si="86"/>
        <v>17.403443670025414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604.68693359317786</v>
      </c>
      <c r="H112" s="70">
        <f t="shared" si="56"/>
        <v>429.76582272529407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159.66426236964111</v>
      </c>
      <c r="T112" s="62">
        <f t="shared" si="88"/>
        <v>271.84289502949997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280.57175994295949</v>
      </c>
      <c r="AO112" s="62">
        <f t="shared" si="90"/>
        <v>216.69635818716841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3.3097482441456607E-11</v>
      </c>
      <c r="AX112" s="23">
        <f t="shared" si="60"/>
        <v>3.3097482441456607E-11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61.489999999999888</v>
      </c>
      <c r="D113" s="12">
        <f t="shared" si="86"/>
        <v>17.544448256151377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610.09047776678176</v>
      </c>
      <c r="H113" s="70">
        <f t="shared" si="56"/>
        <v>430.98499737946338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159.66426236964111</v>
      </c>
      <c r="T113" s="62">
        <f t="shared" si="88"/>
        <v>271.84289502949997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280.57175994295949</v>
      </c>
      <c r="AO113" s="62">
        <f t="shared" si="90"/>
        <v>216.69635818716841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2.3403454274556656E-11</v>
      </c>
      <c r="AX113" s="23">
        <f t="shared" si="60"/>
        <v>2.3403454274556656E-11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62.048999999999886</v>
      </c>
      <c r="D114" s="12">
        <f t="shared" si="86"/>
        <v>17.685303710532441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615.49287074796894</v>
      </c>
      <c r="H114" s="70">
        <f t="shared" si="56"/>
        <v>432.20391229584379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159.66426236964111</v>
      </c>
      <c r="T114" s="62">
        <f t="shared" si="88"/>
        <v>271.84289502949997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280.57175994295949</v>
      </c>
      <c r="AO114" s="62">
        <f t="shared" si="90"/>
        <v>216.69635818716841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1.6548741220728304E-11</v>
      </c>
      <c r="AX114" s="23">
        <f t="shared" si="60"/>
        <v>1.6548741220728304E-11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62.607999999999883</v>
      </c>
      <c r="D115" s="12">
        <f t="shared" si="86"/>
        <v>17.826011532339194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620.89412410928401</v>
      </c>
      <c r="H115" s="70">
        <f t="shared" si="56"/>
        <v>433.42257008549052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159.66426236964111</v>
      </c>
      <c r="T115" s="62">
        <f t="shared" si="88"/>
        <v>271.84289502949997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280.57175994295949</v>
      </c>
      <c r="AO115" s="62">
        <f t="shared" si="90"/>
        <v>216.69635818716841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1.1701727137278328E-11</v>
      </c>
      <c r="AX115" s="23">
        <f t="shared" si="60"/>
        <v>1.1701727137278328E-11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63.166999999999881</v>
      </c>
      <c r="D116" s="12">
        <f t="shared" si="86"/>
        <v>17.966573192426846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626.29424920469751</v>
      </c>
      <c r="H116" s="70">
        <f t="shared" si="56"/>
        <v>434.64097331014318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159.66426236964111</v>
      </c>
      <c r="T116" s="62">
        <f t="shared" si="88"/>
        <v>271.84289502949997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280.57175994295949</v>
      </c>
      <c r="AO116" s="62">
        <f t="shared" si="90"/>
        <v>216.69635818716841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8.2743706103641518E-12</v>
      </c>
      <c r="AX116" s="23">
        <f t="shared" si="60"/>
        <v>8.2743706103641518E-12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63.725999999999878</v>
      </c>
      <c r="D117" s="12">
        <f t="shared" si="86"/>
        <v>18.106990134115801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631.69325717562981</v>
      </c>
      <c r="H117" s="70">
        <f t="shared" si="56"/>
        <v>435.85912448358476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159.66426236964111</v>
      </c>
      <c r="T117" s="62">
        <f t="shared" si="88"/>
        <v>271.84289502949997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280.57175994295949</v>
      </c>
      <c r="AO117" s="62">
        <f t="shared" si="90"/>
        <v>216.69635818716841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5.8508635686391641E-12</v>
      </c>
      <c r="AX117" s="23">
        <f t="shared" si="60"/>
        <v>5.8508635686391641E-12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64.284999999999883</v>
      </c>
      <c r="D118" s="12">
        <f t="shared" si="86"/>
        <v>18.247263773943999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637.09115895675984</v>
      </c>
      <c r="H118" s="70">
        <f t="shared" si="56"/>
        <v>437.07702607295221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159.66426236964111</v>
      </c>
      <c r="T118" s="62">
        <f t="shared" si="88"/>
        <v>271.84289502949997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280.57175994295949</v>
      </c>
      <c r="AO118" s="62">
        <f t="shared" si="90"/>
        <v>216.69635818716841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4.1371853051820759E-12</v>
      </c>
      <c r="AX118" s="23">
        <f t="shared" si="60"/>
        <v>4.1371853051820759E-12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64.84399999999988</v>
      </c>
      <c r="D119" s="12">
        <f t="shared" si="86"/>
        <v>18.387395502392327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642.48796528162404</v>
      </c>
      <c r="H119" s="70">
        <f t="shared" si="56"/>
        <v>438.29468049999969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159.66426236964111</v>
      </c>
      <c r="T119" s="62">
        <f t="shared" si="88"/>
        <v>271.84289502949997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280.57175994295949</v>
      </c>
      <c r="AO119" s="62">
        <f t="shared" si="90"/>
        <v>216.69635818716841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2.925431784319582E-12</v>
      </c>
      <c r="AX119" s="23">
        <f t="shared" si="60"/>
        <v>2.925431784319582E-12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65.402999999999878</v>
      </c>
      <c r="D120" s="12">
        <f t="shared" si="86"/>
        <v>18.527386684584421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647.88368668801934</v>
      </c>
      <c r="H120" s="70">
        <f t="shared" si="56"/>
        <v>439.51209014231767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159.66426236964111</v>
      </c>
      <c r="T120" s="62">
        <f t="shared" si="88"/>
        <v>271.84289502949997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280.57175994295949</v>
      </c>
      <c r="AO120" s="62">
        <f t="shared" si="90"/>
        <v>216.69635818716841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2.0685926525910379E-12</v>
      </c>
      <c r="AX120" s="23">
        <f t="shared" si="60"/>
        <v>2.0685926525910379E-12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65.961999999999875</v>
      </c>
      <c r="D121" s="12">
        <f t="shared" si="86"/>
        <v>18.667238660961754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653.27833352321261</v>
      </c>
      <c r="H121" s="70">
        <f t="shared" si="56"/>
        <v>440.72925733450813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159.66426236964111</v>
      </c>
      <c r="T121" s="62">
        <f t="shared" si="88"/>
        <v>271.84289502949997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280.57175994295949</v>
      </c>
      <c r="AO121" s="62">
        <f t="shared" si="90"/>
        <v>216.69635818716841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1.462715892159791E-12</v>
      </c>
      <c r="AX121" s="23">
        <f t="shared" si="60"/>
        <v>1.462715892159791E-12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66.520999999999873</v>
      </c>
      <c r="D122" s="12">
        <f t="shared" si="86"/>
        <v>18.806952747935146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658.67191594897213</v>
      </c>
      <c r="H122" s="70">
        <f t="shared" si="56"/>
        <v>441.94618436932012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159.66426236964111</v>
      </c>
      <c r="T122" s="62">
        <f t="shared" si="88"/>
        <v>271.84289502949997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280.57175994295949</v>
      </c>
      <c r="AO122" s="62">
        <f t="shared" si="90"/>
        <v>216.69635818716841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1.034296326295519E-12</v>
      </c>
      <c r="AX122" s="23">
        <f t="shared" si="60"/>
        <v>1.034296326295519E-12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67.07999999999987</v>
      </c>
      <c r="D123" s="12">
        <f t="shared" si="86"/>
        <v>18.946530238513862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664.06444394642187</v>
      </c>
      <c r="H123" s="70">
        <f t="shared" si="56"/>
        <v>443.16287349874472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159.66426236964111</v>
      </c>
      <c r="T123" s="62">
        <f t="shared" si="88"/>
        <v>271.84289502949997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280.57175994295949</v>
      </c>
      <c r="AO123" s="62">
        <f t="shared" si="90"/>
        <v>216.69635818716841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7.3135794607989551E-13</v>
      </c>
      <c r="AX123" s="23">
        <f t="shared" si="60"/>
        <v>7.3135794607989551E-13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67.638999999999868</v>
      </c>
      <c r="D124" s="12">
        <f t="shared" si="86"/>
        <v>19.085972402913047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669.45592732073135</v>
      </c>
      <c r="H124" s="70">
        <f t="shared" si="56"/>
        <v>444.37932693507332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159.66426236964111</v>
      </c>
      <c r="T124" s="62">
        <f t="shared" si="88"/>
        <v>271.84289502949997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280.57175994295949</v>
      </c>
      <c r="AO124" s="62">
        <f t="shared" si="90"/>
        <v>216.69635818716841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5.1714816314775949E-13</v>
      </c>
      <c r="AX124" s="23">
        <f t="shared" si="60"/>
        <v>5.1714816314775949E-13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68.197999999999865</v>
      </c>
      <c r="D125" s="12">
        <f t="shared" si="86"/>
        <v>19.225280489140612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674.84637570564576</v>
      </c>
      <c r="H125" s="70">
        <f t="shared" si="56"/>
        <v>445.59554685191961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159.66426236964111</v>
      </c>
      <c r="T125" s="62">
        <f t="shared" si="88"/>
        <v>271.84289502949997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280.57175994295949</v>
      </c>
      <c r="AO125" s="62">
        <f t="shared" si="90"/>
        <v>216.69635818716841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3.6567897303994775E-13</v>
      </c>
      <c r="AX125" s="23">
        <f t="shared" si="60"/>
        <v>3.6567897303994775E-13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68.756999999999863</v>
      </c>
      <c r="D126" s="12">
        <f t="shared" si="86"/>
        <v>19.364455723564159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680.23579856786262</v>
      </c>
      <c r="H126" s="70">
        <f t="shared" si="56"/>
        <v>446.81153538520732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159.66426236964111</v>
      </c>
      <c r="T126" s="62">
        <f t="shared" si="88"/>
        <v>271.84289502949997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280.57175994295949</v>
      </c>
      <c r="AO126" s="62">
        <f t="shared" si="90"/>
        <v>216.69635818716841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2.5857408157387974E-13</v>
      </c>
      <c r="AX126" s="23">
        <f t="shared" si="60"/>
        <v>2.5857408157387974E-13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69.31599999999986</v>
      </c>
      <c r="D127" s="12">
        <f t="shared" si="86"/>
        <v>19.503499311459102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685.62420521126216</v>
      </c>
      <c r="H127" s="70">
        <f t="shared" si="56"/>
        <v>448.02729463412436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159.66426236964111</v>
      </c>
      <c r="T127" s="62">
        <f t="shared" si="88"/>
        <v>271.84289502949997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280.57175994295949</v>
      </c>
      <c r="AO127" s="62">
        <f t="shared" si="90"/>
        <v>216.69635818716841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1.8283948651997388E-13</v>
      </c>
      <c r="AX127" s="23">
        <f t="shared" si="60"/>
        <v>1.8283948651997388E-13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69.874999999999858</v>
      </c>
      <c r="D128" s="12">
        <f t="shared" si="86"/>
        <v>19.642412437538525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691.01160478099803</v>
      </c>
      <c r="H128" s="70">
        <f t="shared" si="56"/>
        <v>449.24282666204601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159.66426236964111</v>
      </c>
      <c r="T128" s="62">
        <f t="shared" si="88"/>
        <v>271.84289502949997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280.57175994295949</v>
      </c>
      <c r="AO128" s="62">
        <f t="shared" si="90"/>
        <v>216.69635818716841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1.2928704078693987E-13</v>
      </c>
      <c r="AX128" s="23">
        <f t="shared" si="60"/>
        <v>1.2928704078693987E-13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70.433999999999855</v>
      </c>
      <c r="D129" s="12">
        <f t="shared" si="86"/>
        <v>19.781196266465557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696.39800626745227</v>
      </c>
      <c r="H129" s="70">
        <f t="shared" si="56"/>
        <v>450.45813349742724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159.66426236964111</v>
      </c>
      <c r="T129" s="62">
        <f t="shared" si="88"/>
        <v>271.84289502949997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280.57175994295949</v>
      </c>
      <c r="AO129" s="62">
        <f t="shared" si="90"/>
        <v>216.69635818716841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9.1419743259986939E-14</v>
      </c>
      <c r="AX129" s="23">
        <f t="shared" si="60"/>
        <v>9.1419743259986939E-14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70.992999999999853</v>
      </c>
      <c r="D130" s="12">
        <f t="shared" si="86"/>
        <v>19.919851943349197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701.78341851006292</v>
      </c>
      <c r="H130" s="70">
        <f t="shared" si="56"/>
        <v>451.67321713466623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159.66426236964111</v>
      </c>
      <c r="T130" s="62">
        <f t="shared" si="88"/>
        <v>271.84289502949997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280.57175994295949</v>
      </c>
      <c r="AO130" s="62">
        <f t="shared" si="90"/>
        <v>216.69635818716841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6.4643520393469936E-14</v>
      </c>
      <c r="AX130" s="23">
        <f t="shared" si="60"/>
        <v>6.4643520393469936E-14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71.55199999999985</v>
      </c>
      <c r="D131" s="12">
        <f t="shared" si="86"/>
        <v>20.058380594223749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707.16785020102441</v>
      </c>
      <c r="H131" s="70">
        <f t="shared" si="56"/>
        <v>452.88807953493938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159.66426236964111</v>
      </c>
      <c r="T131" s="62">
        <f t="shared" si="88"/>
        <v>271.84289502949997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280.57175994295949</v>
      </c>
      <c r="AO131" s="62">
        <f t="shared" si="90"/>
        <v>216.69635818716841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4.5709871629993469E-14</v>
      </c>
      <c r="AX131" s="23">
        <f t="shared" si="60"/>
        <v>4.5709871629993469E-14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72.110999999999848</v>
      </c>
      <c r="D132" s="12">
        <f t="shared" si="86"/>
        <v>20.19678332651322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712.55130988887277</v>
      </c>
      <c r="H132" s="70">
        <f t="shared" ref="H132:H195" si="110">(B132+E132+F132)*44/12+(C132+D132)*0.475*44/12</f>
        <v>454.10272262701022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159.66426236964111</v>
      </c>
      <c r="T132" s="62">
        <f t="shared" si="88"/>
        <v>271.84289502949997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280.57175994295949</v>
      </c>
      <c r="AO132" s="62">
        <f t="shared" si="90"/>
        <v>216.69635818716841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3.2321760196734968E-14</v>
      </c>
      <c r="AX132" s="23">
        <f t="shared" ref="AX132:AX153" si="114">SUM(AU132:AW132)</f>
        <v>3.2321760196734968E-14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72.669999999999845</v>
      </c>
      <c r="D133" s="12">
        <f t="shared" ref="D133:D196" si="140">IFERROR(EXP(-1.0587+0.8836*LN(C133)+0.284),0)</f>
        <v>20.335061229480619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717.93380598195461</v>
      </c>
      <c r="H133" s="70">
        <f t="shared" si="110"/>
        <v>455.31714830801172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159.66426236964111</v>
      </c>
      <c r="T133" s="62">
        <f t="shared" ref="T133:T196" si="142">$T$3</f>
        <v>271.84289502949997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280.57175994295949</v>
      </c>
      <c r="AO133" s="62">
        <f t="shared" ref="AO133:AO196" si="144">$AO$3</f>
        <v>216.69635818716841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2.2854935814996735E-14</v>
      </c>
      <c r="AX133" s="23">
        <f t="shared" si="114"/>
        <v>2.2854935814996735E-14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73.228999999999843</v>
      </c>
      <c r="D134" s="12">
        <f t="shared" si="140"/>
        <v>20.473215374663191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723.31534675178489</v>
      </c>
      <c r="H134" s="70">
        <f t="shared" si="110"/>
        <v>456.53135844420478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159.66426236964111</v>
      </c>
      <c r="T134" s="62">
        <f t="shared" si="142"/>
        <v>271.84289502949997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280.57175994295949</v>
      </c>
      <c r="AO134" s="62">
        <f t="shared" si="144"/>
        <v>216.69635818716841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1.6160880098367484E-14</v>
      </c>
      <c r="AX134" s="23">
        <f t="shared" si="114"/>
        <v>1.6160880098367484E-14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73.78799999999984</v>
      </c>
      <c r="D135" s="12">
        <f t="shared" si="140"/>
        <v>20.611246816293903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728.69594033630256</v>
      </c>
      <c r="H135" s="70">
        <f t="shared" si="110"/>
        <v>457.74535487171158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159.66426236964111</v>
      </c>
      <c r="T135" s="62">
        <f t="shared" si="142"/>
        <v>271.84289502949997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280.57175994295949</v>
      </c>
      <c r="AO135" s="62">
        <f t="shared" si="144"/>
        <v>216.69635818716841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1.1427467907498367E-14</v>
      </c>
      <c r="AX135" s="23">
        <f t="shared" si="114"/>
        <v>1.1427467907498367E-14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74.346999999999838</v>
      </c>
      <c r="D136" s="12">
        <f t="shared" si="140"/>
        <v>20.749156591709802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734.07559474302195</v>
      </c>
      <c r="H136" s="70">
        <f t="shared" si="110"/>
        <v>458.9591393972276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159.66426236964111</v>
      </c>
      <c r="T136" s="62">
        <f t="shared" si="142"/>
        <v>271.84289502949997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280.57175994295949</v>
      </c>
      <c r="AO136" s="62">
        <f t="shared" si="144"/>
        <v>216.69635818716841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8.080440049183742E-15</v>
      </c>
      <c r="AX136" s="23">
        <f t="shared" si="114"/>
        <v>8.080440049183742E-15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74.905999999999835</v>
      </c>
      <c r="D137" s="12">
        <f t="shared" si="140"/>
        <v>20.886945721747846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739.45431785208746</v>
      </c>
      <c r="H137" s="70">
        <f t="shared" si="110"/>
        <v>460.17271379871056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159.66426236964111</v>
      </c>
      <c r="T137" s="62">
        <f t="shared" si="142"/>
        <v>271.84289502949997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280.57175994295949</v>
      </c>
      <c r="AO137" s="62">
        <f t="shared" si="144"/>
        <v>216.69635818716841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5.7137339537491837E-15</v>
      </c>
      <c r="AX137" s="23">
        <f t="shared" si="114"/>
        <v>5.7137339537491837E-15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75.464999999999833</v>
      </c>
      <c r="D138" s="12">
        <f t="shared" si="140"/>
        <v>21.02461521112831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744.83211741923481</v>
      </c>
      <c r="H138" s="70">
        <f t="shared" si="110"/>
        <v>461.3860798260481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159.66426236964111</v>
      </c>
      <c r="T138" s="62">
        <f t="shared" si="142"/>
        <v>271.84289502949997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280.57175994295949</v>
      </c>
      <c r="AO138" s="62">
        <f t="shared" si="144"/>
        <v>216.69635818716841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4.040220024591871E-15</v>
      </c>
      <c r="AX138" s="23">
        <f t="shared" si="114"/>
        <v>4.040220024591871E-15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76.02399999999983</v>
      </c>
      <c r="D139" s="12">
        <f t="shared" si="140"/>
        <v>21.162166048826901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750.20900107866248</v>
      </c>
      <c r="H139" s="70">
        <f t="shared" si="110"/>
        <v>462.59923920170655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159.66426236964111</v>
      </c>
      <c r="T139" s="62">
        <f t="shared" si="142"/>
        <v>271.84289502949997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280.57175994295949</v>
      </c>
      <c r="AO139" s="62">
        <f t="shared" si="144"/>
        <v>216.69635818716841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2.8568669768745918E-15</v>
      </c>
      <c r="AX139" s="23">
        <f t="shared" si="114"/>
        <v>2.8568669768745918E-15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76.582999999999828</v>
      </c>
      <c r="D140" s="12">
        <f t="shared" si="140"/>
        <v>21.299599208435229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755.58497634581454</v>
      </c>
      <c r="H140" s="70">
        <f t="shared" si="110"/>
        <v>463.81219362135766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159.66426236964111</v>
      </c>
      <c r="T140" s="62">
        <f t="shared" si="142"/>
        <v>271.84289502949997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280.57175994295949</v>
      </c>
      <c r="AO140" s="62">
        <f t="shared" si="144"/>
        <v>216.69635818716841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2.0201100122959355E-15</v>
      </c>
      <c r="AX140" s="23">
        <f t="shared" si="114"/>
        <v>2.0201100122959355E-15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77.141999999999825</v>
      </c>
      <c r="D141" s="12">
        <f t="shared" si="140"/>
        <v>21.43691564851072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760.96005062008135</v>
      </c>
      <c r="H141" s="70">
        <f t="shared" si="110"/>
        <v>465.02494475448918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159.66426236964111</v>
      </c>
      <c r="T141" s="62">
        <f t="shared" si="142"/>
        <v>271.84289502949997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280.57175994295949</v>
      </c>
      <c r="AO141" s="62">
        <f t="shared" si="144"/>
        <v>216.69635818716841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1.4284334884372959E-15</v>
      </c>
      <c r="AX141" s="23">
        <f t="shared" si="114"/>
        <v>1.4284334884372959E-15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77.700999999999823</v>
      </c>
      <c r="D142" s="12">
        <f t="shared" si="140"/>
        <v>21.574116312915926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766.33423118741973</v>
      </c>
      <c r="H142" s="70">
        <f t="shared" si="110"/>
        <v>466.23749424499488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159.66426236964111</v>
      </c>
      <c r="T142" s="62">
        <f t="shared" si="142"/>
        <v>271.84289502949997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280.57175994295949</v>
      </c>
      <c r="AO142" s="62">
        <f t="shared" si="144"/>
        <v>216.69635818716841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1.0100550061479677E-15</v>
      </c>
      <c r="AX142" s="23">
        <f t="shared" si="114"/>
        <v>1.0100550061479677E-15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78.25999999999982</v>
      </c>
      <c r="D143" s="12">
        <f t="shared" si="140"/>
        <v>21.7112021311479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771.70752522289467</v>
      </c>
      <c r="H143" s="70">
        <f t="shared" si="110"/>
        <v>467.44984371174894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159.66426236964111</v>
      </c>
      <c r="T143" s="62">
        <f t="shared" si="142"/>
        <v>271.84289502949997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280.57175994295949</v>
      </c>
      <c r="AO143" s="62">
        <f t="shared" si="144"/>
        <v>216.69635818716841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7.1421674421864796E-16</v>
      </c>
      <c r="AX143" s="23">
        <f t="shared" si="114"/>
        <v>7.1421674421864796E-16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78.818999999999818</v>
      </c>
      <c r="D144" s="12">
        <f t="shared" si="140"/>
        <v>21.848174018657858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777.07993979314699</v>
      </c>
      <c r="H144" s="70">
        <f t="shared" si="110"/>
        <v>468.66199474916209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159.66426236964111</v>
      </c>
      <c r="T144" s="62">
        <f t="shared" si="142"/>
        <v>271.84289502949997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280.57175994295949</v>
      </c>
      <c r="AO144" s="62">
        <f t="shared" si="144"/>
        <v>216.69635818716841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5.0502750307398387E-16</v>
      </c>
      <c r="AX144" s="23">
        <f t="shared" si="114"/>
        <v>5.0502750307398387E-16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79.377999999999815</v>
      </c>
      <c r="D145" s="12">
        <f t="shared" si="140"/>
        <v>21.985032877161469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782.45148185878895</v>
      </c>
      <c r="H145" s="70">
        <f t="shared" si="110"/>
        <v>469.87394892772255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159.66426236964111</v>
      </c>
      <c r="T145" s="62">
        <f t="shared" si="142"/>
        <v>271.84289502949997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280.57175994295949</v>
      </c>
      <c r="AO145" s="62">
        <f t="shared" si="144"/>
        <v>216.69635818716841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3.5710837210932398E-16</v>
      </c>
      <c r="AX145" s="23">
        <f t="shared" si="114"/>
        <v>3.5710837210932398E-16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79.936999999999813</v>
      </c>
      <c r="D146" s="12">
        <f t="shared" si="140"/>
        <v>22.121779594940222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787.82215827673008</v>
      </c>
      <c r="H146" s="70">
        <f t="shared" si="110"/>
        <v>471.08570779452054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159.66426236964111</v>
      </c>
      <c r="T146" s="62">
        <f t="shared" si="142"/>
        <v>271.84289502949997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280.57175994295949</v>
      </c>
      <c r="AO146" s="62">
        <f t="shared" si="144"/>
        <v>216.69635818716841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2.5251375153699194E-16</v>
      </c>
      <c r="AX146" s="23">
        <f t="shared" si="114"/>
        <v>2.5251375153699194E-16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80.49599999999981</v>
      </c>
      <c r="D147" s="12">
        <f t="shared" si="140"/>
        <v>22.258415047134058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793.1919758024369</v>
      </c>
      <c r="H147" s="70">
        <f t="shared" si="110"/>
        <v>472.29727287375817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159.66426236964111</v>
      </c>
      <c r="T147" s="62">
        <f t="shared" si="142"/>
        <v>271.84289502949997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280.57175994295949</v>
      </c>
      <c r="AO147" s="62">
        <f t="shared" si="144"/>
        <v>216.69635818716841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1.7855418605466199E-16</v>
      </c>
      <c r="AX147" s="23">
        <f t="shared" si="114"/>
        <v>1.7855418605466199E-16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81.054999999999808</v>
      </c>
      <c r="D148" s="12">
        <f t="shared" si="140"/>
        <v>22.394940096025689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798.56094109212665</v>
      </c>
      <c r="H148" s="70">
        <f t="shared" si="110"/>
        <v>473.50864566724437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159.66426236964111</v>
      </c>
      <c r="T148" s="62">
        <f t="shared" si="142"/>
        <v>271.84289502949997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280.57175994295949</v>
      </c>
      <c r="AO148" s="62">
        <f t="shared" si="144"/>
        <v>216.69635818716841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1.2625687576849597E-16</v>
      </c>
      <c r="AX148" s="23">
        <f t="shared" si="114"/>
        <v>1.2625687576849597E-16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81.613999999999805</v>
      </c>
      <c r="D149" s="12">
        <f t="shared" si="140"/>
        <v>22.531355591316824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803.92906070490028</v>
      </c>
      <c r="H149" s="70">
        <f t="shared" si="110"/>
        <v>474.71982765487644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159.66426236964111</v>
      </c>
      <c r="T149" s="62">
        <f t="shared" si="142"/>
        <v>271.84289502949997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280.57175994295949</v>
      </c>
      <c r="AO149" s="62">
        <f t="shared" si="144"/>
        <v>216.69635818716841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8.9277093027330995E-17</v>
      </c>
      <c r="AX149" s="23">
        <f t="shared" si="114"/>
        <v>8.9277093027330995E-17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82.172999999999803</v>
      </c>
      <c r="D150" s="12">
        <f t="shared" si="140"/>
        <v>22.667662370396606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809.29634110481447</v>
      </c>
      <c r="H150" s="70">
        <f t="shared" si="110"/>
        <v>475.93082029510708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159.66426236964111</v>
      </c>
      <c r="T150" s="62">
        <f t="shared" si="142"/>
        <v>271.84289502949997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280.57175994295949</v>
      </c>
      <c r="AO150" s="62">
        <f t="shared" si="144"/>
        <v>216.69635818716841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6.3128437884247984E-17</v>
      </c>
      <c r="AX150" s="23">
        <f t="shared" si="114"/>
        <v>6.3128437884247984E-17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82.7319999999998</v>
      </c>
      <c r="D151" s="12">
        <f t="shared" si="140"/>
        <v>22.803861258602545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814.66278866289542</v>
      </c>
      <c r="H151" s="70">
        <f t="shared" si="110"/>
        <v>477.14162502539909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159.66426236964111</v>
      </c>
      <c r="T151" s="62">
        <f t="shared" si="142"/>
        <v>271.84289502949997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280.57175994295949</v>
      </c>
      <c r="AO151" s="62">
        <f t="shared" si="144"/>
        <v>216.69635818716841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4.4638546513665497E-17</v>
      </c>
      <c r="AX151" s="23">
        <f t="shared" si="114"/>
        <v>4.4638546513665497E-17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83.290999999999798</v>
      </c>
      <c r="D152" s="12">
        <f t="shared" si="140"/>
        <v>22.939953069474232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820.02840965909775</v>
      </c>
      <c r="H152" s="70">
        <f t="shared" si="110"/>
        <v>478.35224326266723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159.66426236964111</v>
      </c>
      <c r="T152" s="62">
        <f t="shared" si="142"/>
        <v>271.84289502949997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280.57175994295949</v>
      </c>
      <c r="AO152" s="62">
        <f t="shared" si="144"/>
        <v>216.69635818716841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3.1564218942123992E-17</v>
      </c>
      <c r="AX152" s="23">
        <f t="shared" si="114"/>
        <v>3.1564218942123992E-17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83.849999999999795</v>
      </c>
      <c r="D153" s="12">
        <f t="shared" si="140"/>
        <v>23.075938604999934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825.39321028420852</v>
      </c>
      <c r="H153" s="70">
        <f t="shared" si="110"/>
        <v>479.56267640370783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159.66426236964111</v>
      </c>
      <c r="T153" s="62">
        <f t="shared" si="142"/>
        <v>271.84289502949997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280.57175994295949</v>
      </c>
      <c r="AO153" s="62">
        <f t="shared" si="144"/>
        <v>216.69635818716841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2.2319273256832749E-17</v>
      </c>
      <c r="AX153" s="23">
        <f t="shared" si="114"/>
        <v>2.2319273256832749E-17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84.408999999999793</v>
      </c>
      <c r="D154" s="12">
        <f t="shared" si="140"/>
        <v>23.211818655856568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830.75719664169821</v>
      </c>
      <c r="H154" s="70">
        <f t="shared" si="110"/>
        <v>480.77292582561648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159.66426236964111</v>
      </c>
      <c r="T154" s="62">
        <f t="shared" si="142"/>
        <v>271.84289502949997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280.57175994295949</v>
      </c>
      <c r="AO154" s="62">
        <f t="shared" si="144"/>
        <v>216.69635818716841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1.5782109471061996E-17</v>
      </c>
      <c r="AX154" s="23">
        <f t="shared" ref="AX154:AX203" si="166">SUM(AU154:AW154)</f>
        <v>1.5782109471061996E-17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84.96799999999979</v>
      </c>
      <c r="D155" s="12">
        <f t="shared" si="140"/>
        <v>23.347594001643007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836.12037474952342</v>
      </c>
      <c r="H155" s="70">
        <f t="shared" si="110"/>
        <v>481.98299288619449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159.66426236964111</v>
      </c>
      <c r="T155" s="62">
        <f t="shared" si="142"/>
        <v>271.84289502949997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280.57175994295949</v>
      </c>
      <c r="AO155" s="62">
        <f t="shared" si="144"/>
        <v>216.69635818716841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1.1159636628416374E-17</v>
      </c>
      <c r="AX155" s="23">
        <f t="shared" si="166"/>
        <v>1.1159636628416374E-17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85.526999999999788</v>
      </c>
      <c r="D156" s="12">
        <f t="shared" si="140"/>
        <v>23.483265411107197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841.48275054187854</v>
      </c>
      <c r="H156" s="70">
        <f t="shared" si="110"/>
        <v>483.19287892434465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159.66426236964111</v>
      </c>
      <c r="T156" s="62">
        <f t="shared" si="142"/>
        <v>271.84289502949997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280.57175994295949</v>
      </c>
      <c r="AO156" s="62">
        <f t="shared" si="144"/>
        <v>216.69635818716841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7.891054735530998E-18</v>
      </c>
      <c r="AX156" s="23">
        <f t="shared" si="166"/>
        <v>7.891054735530998E-18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86.085999999999785</v>
      </c>
      <c r="D157" s="12">
        <f t="shared" si="140"/>
        <v>23.618833642367036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846.84432987090179</v>
      </c>
      <c r="H157" s="70">
        <f t="shared" si="110"/>
        <v>484.40258526045551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159.66426236964111</v>
      </c>
      <c r="T157" s="62">
        <f t="shared" si="142"/>
        <v>271.84289502949997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280.57175994295949</v>
      </c>
      <c r="AO157" s="62">
        <f t="shared" si="144"/>
        <v>216.69635818716841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5.5798183142081872E-18</v>
      </c>
      <c r="AX157" s="23">
        <f t="shared" si="166"/>
        <v>5.5798183142081872E-18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86.644999999999783</v>
      </c>
      <c r="D158" s="12">
        <f t="shared" si="140"/>
        <v>23.75429944312544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852.20511850833509</v>
      </c>
      <c r="H158" s="70">
        <f t="shared" si="110"/>
        <v>485.61211319677642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159.66426236964111</v>
      </c>
      <c r="T158" s="62">
        <f t="shared" si="142"/>
        <v>271.84289502949997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280.57175994295949</v>
      </c>
      <c r="AO158" s="62">
        <f t="shared" si="144"/>
        <v>216.69635818716841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3.945527367765499E-18</v>
      </c>
      <c r="AX158" s="23">
        <f t="shared" si="166"/>
        <v>3.945527367765499E-18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87.20399999999978</v>
      </c>
      <c r="D159" s="12">
        <f t="shared" si="140"/>
        <v>23.889663550879664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857.5651221471395</v>
      </c>
      <c r="H159" s="70">
        <f t="shared" si="110"/>
        <v>486.82146401778164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159.66426236964111</v>
      </c>
      <c r="T159" s="62">
        <f t="shared" si="142"/>
        <v>271.84289502949997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280.57175994295949</v>
      </c>
      <c r="AO159" s="62">
        <f t="shared" si="144"/>
        <v>216.69635818716841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2.7899091571040936E-18</v>
      </c>
      <c r="AX159" s="23">
        <f t="shared" si="166"/>
        <v>2.7899091571040936E-18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87.762999999999778</v>
      </c>
      <c r="D160" s="12">
        <f t="shared" si="140"/>
        <v>24.024926693125117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862.92434640306931</v>
      </c>
      <c r="H160" s="70">
        <f t="shared" si="110"/>
        <v>488.03063899052586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159.66426236964111</v>
      </c>
      <c r="T160" s="62">
        <f t="shared" si="142"/>
        <v>271.84289502949997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280.57175994295949</v>
      </c>
      <c r="AO160" s="62">
        <f t="shared" si="144"/>
        <v>216.69635818716841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1.9727636838827495E-18</v>
      </c>
      <c r="AX160" s="23">
        <f t="shared" si="166"/>
        <v>1.9727636838827495E-18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88.321999999999775</v>
      </c>
      <c r="D161" s="12">
        <f t="shared" si="140"/>
        <v>24.160089587553845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868.28279681620336</v>
      </c>
      <c r="H161" s="70">
        <f t="shared" si="110"/>
        <v>489.23963936498916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159.66426236964111</v>
      </c>
      <c r="T161" s="62">
        <f t="shared" si="142"/>
        <v>271.84289502949997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280.57175994295949</v>
      </c>
      <c r="AO161" s="62">
        <f t="shared" si="144"/>
        <v>216.69635818716841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1.3949545785520468E-18</v>
      </c>
      <c r="AX161" s="23">
        <f t="shared" si="166"/>
        <v>1.3949545785520468E-18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88.880999999999773</v>
      </c>
      <c r="D162" s="12">
        <f t="shared" si="140"/>
        <v>24.295152942247746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873.64047885243701</v>
      </c>
      <c r="H162" s="70">
        <f t="shared" si="110"/>
        <v>490.44846637441435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159.66426236964111</v>
      </c>
      <c r="T162" s="62">
        <f t="shared" si="142"/>
        <v>271.84289502949997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280.57175994295949</v>
      </c>
      <c r="AO162" s="62">
        <f t="shared" si="144"/>
        <v>216.69635818716841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9.8638184194137475E-19</v>
      </c>
      <c r="AX162" s="23">
        <f t="shared" si="166"/>
        <v>9.8638184194137475E-19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89.43999999999977</v>
      </c>
      <c r="D163" s="12">
        <f t="shared" si="140"/>
        <v>24.430117455866995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878.99739790493641</v>
      </c>
      <c r="H163" s="70">
        <f t="shared" si="110"/>
        <v>491.65712123563458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159.66426236964111</v>
      </c>
      <c r="T163" s="62">
        <f t="shared" si="142"/>
        <v>271.84289502949997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280.57175994295949</v>
      </c>
      <c r="AO163" s="62">
        <f t="shared" si="144"/>
        <v>216.69635818716841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6.974772892760234E-19</v>
      </c>
      <c r="AX163" s="23">
        <f t="shared" si="166"/>
        <v>6.974772892760234E-19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89.998999999999768</v>
      </c>
      <c r="D164" s="12">
        <f t="shared" si="140"/>
        <v>24.564983817833372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884.35355929555408</v>
      </c>
      <c r="H164" s="70">
        <f t="shared" si="110"/>
        <v>492.86560514939265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159.66426236964111</v>
      </c>
      <c r="T164" s="62">
        <f t="shared" si="142"/>
        <v>271.84289502949997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280.57175994295949</v>
      </c>
      <c r="AO164" s="62">
        <f t="shared" si="144"/>
        <v>216.69635818716841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4.9319092097068738E-19</v>
      </c>
      <c r="AX164" s="23">
        <f t="shared" si="166"/>
        <v>4.9319092097068738E-19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90.557999999999765</v>
      </c>
      <c r="D165" s="12">
        <f t="shared" si="140"/>
        <v>24.699752708509081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889.70896827620857</v>
      </c>
      <c r="H165" s="70">
        <f t="shared" si="110"/>
        <v>494.0739193006529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159.66426236964111</v>
      </c>
      <c r="T165" s="62">
        <f t="shared" si="142"/>
        <v>271.84289502949997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280.57175994295949</v>
      </c>
      <c r="AO165" s="62">
        <f t="shared" si="144"/>
        <v>216.69635818716841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3.487386446380117E-19</v>
      </c>
      <c r="AX165" s="23">
        <f t="shared" si="166"/>
        <v>3.487386446380117E-19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91.116999999999763</v>
      </c>
      <c r="D166" s="12">
        <f t="shared" si="140"/>
        <v>24.834424799371007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895.06363003023068</v>
      </c>
      <c r="H166" s="70">
        <f t="shared" si="110"/>
        <v>495.28206485890405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159.66426236964111</v>
      </c>
      <c r="T166" s="62">
        <f t="shared" si="142"/>
        <v>271.84289502949997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280.57175994295949</v>
      </c>
      <c r="AO166" s="62">
        <f t="shared" si="144"/>
        <v>216.69635818716841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2.4659546048534369E-19</v>
      </c>
      <c r="AX166" s="23">
        <f t="shared" si="166"/>
        <v>2.4659546048534369E-19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91.67599999999976</v>
      </c>
      <c r="D167" s="12">
        <f t="shared" si="140"/>
        <v>24.969000753180424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900.4175496736716</v>
      </c>
      <c r="H167" s="70">
        <f t="shared" si="110"/>
        <v>496.49004297845545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159.66426236964111</v>
      </c>
      <c r="T167" s="62">
        <f t="shared" si="142"/>
        <v>271.84289502949997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280.57175994295949</v>
      </c>
      <c r="AO167" s="62">
        <f t="shared" si="144"/>
        <v>216.69635818716841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1.7436932231900585E-19</v>
      </c>
      <c r="AX167" s="23">
        <f t="shared" si="166"/>
        <v>1.7436932231900585E-19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92.234999999999758</v>
      </c>
      <c r="D168" s="12">
        <f t="shared" si="140"/>
        <v>25.103481224148709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905.77073225658467</v>
      </c>
      <c r="H168" s="70">
        <f t="shared" si="110"/>
        <v>497.69785479872519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159.66426236964111</v>
      </c>
      <c r="T168" s="62">
        <f t="shared" si="142"/>
        <v>271.84289502949997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280.57175994295949</v>
      </c>
      <c r="AO168" s="62">
        <f t="shared" si="144"/>
        <v>216.69635818716841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1.2329773024267184E-19</v>
      </c>
      <c r="AX168" s="23">
        <f t="shared" si="166"/>
        <v>1.2329773024267184E-19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92.793999999999755</v>
      </c>
      <c r="D169" s="12">
        <f t="shared" si="140"/>
        <v>25.237866858098624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911.12318276426822</v>
      </c>
      <c r="H169" s="70">
        <f t="shared" si="110"/>
        <v>498.90550144452129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159.66426236964111</v>
      </c>
      <c r="T169" s="62">
        <f t="shared" si="142"/>
        <v>271.84289502949997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280.57175994295949</v>
      </c>
      <c r="AO169" s="62">
        <f t="shared" si="144"/>
        <v>216.69635818716841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8.7184661159502925E-20</v>
      </c>
      <c r="AX169" s="23">
        <f t="shared" si="166"/>
        <v>8.7184661159502925E-20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93.352999999999753</v>
      </c>
      <c r="D170" s="12">
        <f t="shared" si="140"/>
        <v>25.372158292621872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916.47490611848286</v>
      </c>
      <c r="H170" s="70">
        <f t="shared" si="110"/>
        <v>500.11298402631598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159.66426236964111</v>
      </c>
      <c r="T170" s="62">
        <f t="shared" si="142"/>
        <v>271.84289502949997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280.57175994295949</v>
      </c>
      <c r="AO170" s="62">
        <f t="shared" si="144"/>
        <v>216.69635818716841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6.1648865121335922E-20</v>
      </c>
      <c r="AX170" s="23">
        <f t="shared" si="166"/>
        <v>6.1648865121335922E-20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93.91199999999975</v>
      </c>
      <c r="D171" s="12">
        <f t="shared" si="140"/>
        <v>25.506356157232599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921.8259071786357</v>
      </c>
      <c r="H171" s="70">
        <f t="shared" si="110"/>
        <v>501.32030364051298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159.66426236964111</v>
      </c>
      <c r="T171" s="62">
        <f t="shared" si="142"/>
        <v>271.84289502949997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280.57175994295949</v>
      </c>
      <c r="AO171" s="62">
        <f t="shared" si="144"/>
        <v>216.69635818716841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4.3592330579751462E-20</v>
      </c>
      <c r="AX171" s="23">
        <f t="shared" si="166"/>
        <v>4.3592330579751462E-20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94.470999999999748</v>
      </c>
      <c r="D172" s="12">
        <f t="shared" si="140"/>
        <v>25.640461073517091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927.17619074293691</v>
      </c>
      <c r="H172" s="70">
        <f t="shared" si="110"/>
        <v>502.52746136970848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159.66426236964111</v>
      </c>
      <c r="T172" s="62">
        <f t="shared" si="142"/>
        <v>271.84289502949997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280.57175994295949</v>
      </c>
      <c r="AO172" s="62">
        <f t="shared" si="144"/>
        <v>216.69635818716841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3.0824432560667961E-20</v>
      </c>
      <c r="AX172" s="23">
        <f t="shared" si="166"/>
        <v>3.0824432560667961E-20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95.029999999999745</v>
      </c>
      <c r="D173" s="12">
        <f t="shared" si="140"/>
        <v>25.774473655280115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932.52576154952885</v>
      </c>
      <c r="H173" s="70">
        <f t="shared" si="110"/>
        <v>503.73445828294575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159.66426236964111</v>
      </c>
      <c r="T173" s="62">
        <f t="shared" si="142"/>
        <v>271.84289502949997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280.57175994295949</v>
      </c>
      <c r="AO173" s="62">
        <f t="shared" si="144"/>
        <v>216.69635818716841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2.1796165289875731E-20</v>
      </c>
      <c r="AX173" s="23">
        <f t="shared" si="166"/>
        <v>2.1796165289875731E-20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95.588999999999743</v>
      </c>
      <c r="D174" s="12">
        <f t="shared" si="140"/>
        <v>25.908394508687365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937.87462427758476</v>
      </c>
      <c r="H174" s="70">
        <f t="shared" si="110"/>
        <v>504.94129543596335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159.66426236964111</v>
      </c>
      <c r="T174" s="62">
        <f t="shared" si="142"/>
        <v>271.84289502949997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280.57175994295949</v>
      </c>
      <c r="AO174" s="62">
        <f t="shared" si="144"/>
        <v>216.69635818716841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1.541221628033398E-20</v>
      </c>
      <c r="AX174" s="23">
        <f t="shared" si="166"/>
        <v>1.541221628033398E-20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96.14799999999974</v>
      </c>
      <c r="D175" s="12">
        <f t="shared" si="140"/>
        <v>26.042224232404703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943.22278354838511</v>
      </c>
      <c r="H175" s="70">
        <f t="shared" si="110"/>
        <v>506.14797387143773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159.66426236964111</v>
      </c>
      <c r="T175" s="62">
        <f t="shared" si="142"/>
        <v>271.84289502949997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280.57175994295949</v>
      </c>
      <c r="AO175" s="62">
        <f t="shared" si="144"/>
        <v>216.69635818716841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1.0898082644937866E-20</v>
      </c>
      <c r="AX175" s="23">
        <f t="shared" si="166"/>
        <v>1.0898082644937866E-20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96.706999999999738</v>
      </c>
      <c r="D176" s="12">
        <f t="shared" si="140"/>
        <v>26.175963417733936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948.57024392636515</v>
      </c>
      <c r="H176" s="70">
        <f t="shared" si="110"/>
        <v>507.35449461921945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159.66426236964111</v>
      </c>
      <c r="T176" s="62">
        <f t="shared" si="142"/>
        <v>271.84289502949997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280.57175994295949</v>
      </c>
      <c r="AO176" s="62">
        <f t="shared" si="144"/>
        <v>216.69635818716841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7.7061081401669902E-21</v>
      </c>
      <c r="AX176" s="23">
        <f t="shared" si="166"/>
        <v>7.7061081401669902E-21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97.265999999999735</v>
      </c>
      <c r="D177" s="12">
        <f t="shared" si="140"/>
        <v>26.30961264874556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953.91700992013909</v>
      </c>
      <c r="H177" s="70">
        <f t="shared" si="110"/>
        <v>508.56085869656471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159.66426236964111</v>
      </c>
      <c r="T177" s="62">
        <f t="shared" si="142"/>
        <v>271.84289502949997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280.57175994295949</v>
      </c>
      <c r="AO177" s="62">
        <f t="shared" si="144"/>
        <v>216.69635818716841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5.4490413224689328E-21</v>
      </c>
      <c r="AX177" s="23">
        <f t="shared" si="166"/>
        <v>5.4490413224689328E-21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97.824999999999733</v>
      </c>
      <c r="D178" s="12">
        <f t="shared" si="140"/>
        <v>26.443172502408078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959.26308598349897</v>
      </c>
      <c r="H178" s="70">
        <f t="shared" si="110"/>
        <v>509.76706710836027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159.66426236964111</v>
      </c>
      <c r="T178" s="62">
        <f t="shared" si="142"/>
        <v>271.84289502949997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280.57175994295949</v>
      </c>
      <c r="AO178" s="62">
        <f t="shared" si="144"/>
        <v>216.69635818716841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3.8530540700834951E-21</v>
      </c>
      <c r="AX178" s="23">
        <f t="shared" si="166"/>
        <v>3.8530540700834951E-21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98.38399999999973</v>
      </c>
      <c r="D179" s="12">
        <f t="shared" si="140"/>
        <v>26.576643548714546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964.60847651639085</v>
      </c>
      <c r="H179" s="70">
        <f t="shared" si="110"/>
        <v>510.97312084734403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159.66426236964111</v>
      </c>
      <c r="T179" s="62">
        <f t="shared" si="142"/>
        <v>271.84289502949997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280.57175994295949</v>
      </c>
      <c r="AO179" s="62">
        <f t="shared" si="144"/>
        <v>216.69635818716841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2.7245206612344664E-21</v>
      </c>
      <c r="AX179" s="23">
        <f t="shared" si="166"/>
        <v>2.7245206612344664E-21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98.942999999999728</v>
      </c>
      <c r="D180" s="12">
        <f t="shared" si="140"/>
        <v>26.71002635080605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969.95318586586916</v>
      </c>
      <c r="H180" s="70">
        <f t="shared" si="110"/>
        <v>512.17902089432005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159.66426236964111</v>
      </c>
      <c r="T180" s="62">
        <f t="shared" si="142"/>
        <v>271.84289502949997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280.57175994295949</v>
      </c>
      <c r="AO180" s="62">
        <f t="shared" si="144"/>
        <v>216.69635818716841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1.9265270350417476E-21</v>
      </c>
      <c r="AX180" s="23">
        <f t="shared" si="166"/>
        <v>1.9265270350417476E-21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99.501999999999725</v>
      </c>
      <c r="D181" s="12">
        <f t="shared" si="140"/>
        <v>26.843321465092171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975.29721832702523</v>
      </c>
      <c r="H181" s="70">
        <f t="shared" si="110"/>
        <v>513.38476821836844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159.66426236964111</v>
      </c>
      <c r="T181" s="62">
        <f t="shared" si="142"/>
        <v>271.84289502949997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280.57175994295949</v>
      </c>
      <c r="AO181" s="62">
        <f t="shared" si="144"/>
        <v>216.69635818716841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1.3622603306172332E-21</v>
      </c>
      <c r="AX181" s="23">
        <f t="shared" si="166"/>
        <v>1.3622603306172332E-21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100.06099999999972</v>
      </c>
      <c r="D182" s="12">
        <f t="shared" si="140"/>
        <v>26.976529441368999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980.64057814389889</v>
      </c>
      <c r="H182" s="70">
        <f t="shared" si="110"/>
        <v>514.59036377705047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159.66426236964111</v>
      </c>
      <c r="T182" s="62">
        <f t="shared" si="142"/>
        <v>271.84289502949997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280.57175994295949</v>
      </c>
      <c r="AO182" s="62">
        <f t="shared" si="144"/>
        <v>216.69635818716841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9.6326351752087378E-22</v>
      </c>
      <c r="AX182" s="23">
        <f t="shared" si="166"/>
        <v>9.6326351752087378E-22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100.61999999999972</v>
      </c>
      <c r="D183" s="12">
        <f t="shared" si="140"/>
        <v>27.109650822934078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985.98326951036631</v>
      </c>
      <c r="H183" s="70">
        <f t="shared" si="110"/>
        <v>515.79580851660967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159.66426236964111</v>
      </c>
      <c r="T183" s="62">
        <f t="shared" si="142"/>
        <v>271.84289502949997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280.57175994295949</v>
      </c>
      <c r="AO183" s="62">
        <f t="shared" si="144"/>
        <v>216.69635818716841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6.811301653086166E-22</v>
      </c>
      <c r="AX183" s="23">
        <f t="shared" si="166"/>
        <v>6.811301653086166E-22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101.17899999999972</v>
      </c>
      <c r="D184" s="12">
        <f t="shared" si="140"/>
        <v>27.242686146698961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991.32529657100747</v>
      </c>
      <c r="H184" s="70">
        <f t="shared" si="110"/>
        <v>517.00110337216688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159.66426236964111</v>
      </c>
      <c r="T184" s="62">
        <f t="shared" si="142"/>
        <v>271.84289502949997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280.57175994295949</v>
      </c>
      <c r="AO184" s="62">
        <f t="shared" si="144"/>
        <v>216.69635818716841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4.8163175876043689E-22</v>
      </c>
      <c r="AX184" s="23">
        <f t="shared" si="166"/>
        <v>4.8163175876043689E-22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101.73799999999972</v>
      </c>
      <c r="D185" s="12">
        <f t="shared" si="140"/>
        <v>27.37563594329918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996.66666342195651</v>
      </c>
      <c r="H185" s="70">
        <f t="shared" si="110"/>
        <v>518.2062492679122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159.66426236964111</v>
      </c>
      <c r="T185" s="62">
        <f t="shared" si="142"/>
        <v>271.84289502949997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280.57175994295949</v>
      </c>
      <c r="AO185" s="62">
        <f t="shared" si="144"/>
        <v>216.69635818716841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3.405650826543083E-22</v>
      </c>
      <c r="AX185" s="23">
        <f t="shared" si="166"/>
        <v>3.405650826543083E-22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102.29699999999971</v>
      </c>
      <c r="D186" s="12">
        <f t="shared" si="140"/>
        <v>27.508500737201498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1002.0073741117286</v>
      </c>
      <c r="H186" s="70">
        <f t="shared" si="110"/>
        <v>519.41124711729208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159.66426236964111</v>
      </c>
      <c r="T186" s="62">
        <f t="shared" si="142"/>
        <v>271.84289502949997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280.57175994295949</v>
      </c>
      <c r="AO186" s="62">
        <f t="shared" si="144"/>
        <v>216.69635818716841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2.4081587938021845E-22</v>
      </c>
      <c r="AX186" s="23">
        <f t="shared" si="166"/>
        <v>2.4081587938021845E-22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102.85599999999971</v>
      </c>
      <c r="D187" s="12">
        <f t="shared" si="140"/>
        <v>27.641281046809159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1007.3474326420334</v>
      </c>
      <c r="H187" s="70">
        <f t="shared" si="110"/>
        <v>520.61609782319215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159.66426236964111</v>
      </c>
      <c r="T187" s="62">
        <f t="shared" si="142"/>
        <v>271.84289502949997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280.57175994295949</v>
      </c>
      <c r="AO187" s="62">
        <f t="shared" si="144"/>
        <v>216.69635818716841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1.7028254132715415E-22</v>
      </c>
      <c r="AX187" s="23">
        <f t="shared" si="166"/>
        <v>1.7028254132715415E-22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103.41499999999971</v>
      </c>
      <c r="D188" s="12">
        <f t="shared" si="140"/>
        <v>27.773977384564393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1012.6868429685651</v>
      </c>
      <c r="H188" s="70">
        <f t="shared" si="110"/>
        <v>521.82080227811582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159.66426236964111</v>
      </c>
      <c r="T188" s="62">
        <f t="shared" si="142"/>
        <v>271.84289502949997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280.57175994295949</v>
      </c>
      <c r="AO188" s="62">
        <f t="shared" si="144"/>
        <v>216.69635818716841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1.2040793969010922E-22</v>
      </c>
      <c r="AX188" s="23">
        <f t="shared" si="166"/>
        <v>1.2040793969010922E-22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103.97399999999971</v>
      </c>
      <c r="D189" s="12">
        <f t="shared" si="140"/>
        <v>27.906590257048816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1018.025609001778</v>
      </c>
      <c r="H189" s="70">
        <f t="shared" si="110"/>
        <v>523.02536136435947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159.66426236964111</v>
      </c>
      <c r="T189" s="62">
        <f t="shared" si="142"/>
        <v>271.84289502949997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280.57175994295949</v>
      </c>
      <c r="AO189" s="62">
        <f t="shared" si="144"/>
        <v>216.69635818716841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8.5141270663577075E-23</v>
      </c>
      <c r="AX189" s="23">
        <f t="shared" si="166"/>
        <v>8.5141270663577075E-23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104.5329999999997</v>
      </c>
      <c r="D190" s="12">
        <f t="shared" si="140"/>
        <v>28.039120165081656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1023.3637346076456</v>
      </c>
      <c r="H190" s="70">
        <f t="shared" si="110"/>
        <v>524.22977595418331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159.66426236964111</v>
      </c>
      <c r="T190" s="62">
        <f t="shared" si="142"/>
        <v>271.84289502949997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280.57175994295949</v>
      </c>
      <c r="AO190" s="62">
        <f t="shared" si="144"/>
        <v>216.69635818716841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6.0203969845054611E-23</v>
      </c>
      <c r="AX190" s="23">
        <f t="shared" si="166"/>
        <v>6.0203969845054611E-23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105.0919999999997</v>
      </c>
      <c r="D191" s="12">
        <f t="shared" si="140"/>
        <v>28.171567603815788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1028.7012236084001</v>
      </c>
      <c r="H191" s="70">
        <f t="shared" si="110"/>
        <v>525.43404690997863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159.66426236964111</v>
      </c>
      <c r="T191" s="62">
        <f t="shared" si="142"/>
        <v>271.84289502949997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280.57175994295949</v>
      </c>
      <c r="AO191" s="62">
        <f t="shared" si="144"/>
        <v>216.69635818716841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4.2570635331788537E-23</v>
      </c>
      <c r="AX191" s="23">
        <f t="shared" si="166"/>
        <v>4.2570635331788537E-23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105.6509999999997</v>
      </c>
      <c r="D192" s="12">
        <f t="shared" si="140"/>
        <v>28.303933062831472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1034.0380797832584</v>
      </c>
      <c r="H192" s="70">
        <f t="shared" si="110"/>
        <v>526.63817508443094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159.66426236964111</v>
      </c>
      <c r="T192" s="62">
        <f t="shared" si="142"/>
        <v>271.84289502949997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280.57175994295949</v>
      </c>
      <c r="AO192" s="62">
        <f t="shared" si="144"/>
        <v>216.69635818716841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3.0101984922527306E-23</v>
      </c>
      <c r="AX192" s="23">
        <f t="shared" si="166"/>
        <v>3.0101984922527306E-23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106.2099999999997</v>
      </c>
      <c r="D193" s="12">
        <f t="shared" si="140"/>
        <v>28.436217026228405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1039.3743068691292</v>
      </c>
      <c r="H193" s="70">
        <f t="shared" si="110"/>
        <v>527.84216132068059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159.66426236964111</v>
      </c>
      <c r="T193" s="62">
        <f t="shared" si="142"/>
        <v>271.84289502949997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280.57175994295949</v>
      </c>
      <c r="AO193" s="62">
        <f t="shared" si="144"/>
        <v>216.69635818716841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2.1285317665894269E-23</v>
      </c>
      <c r="AX193" s="23">
        <f t="shared" si="166"/>
        <v>2.1285317665894269E-23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106.76899999999969</v>
      </c>
      <c r="D194" s="12">
        <f t="shared" si="140"/>
        <v>28.568419972715443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1044.7099085613097</v>
      </c>
      <c r="H194" s="70">
        <f t="shared" si="110"/>
        <v>529.04600645247888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159.66426236964111</v>
      </c>
      <c r="T194" s="62">
        <f t="shared" si="142"/>
        <v>271.84289502949997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280.57175994295949</v>
      </c>
      <c r="AO194" s="62">
        <f t="shared" si="144"/>
        <v>216.69635818716841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1.5050992461263653E-23</v>
      </c>
      <c r="AX194" s="23">
        <f t="shared" si="166"/>
        <v>1.5050992461263653E-23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107.32799999999969</v>
      </c>
      <c r="D195" s="12">
        <f t="shared" si="140"/>
        <v>28.700542375698632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1050.0448885141625</v>
      </c>
      <c r="H195" s="70">
        <f t="shared" si="110"/>
        <v>530.24971130434119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159.66426236964111</v>
      </c>
      <c r="T195" s="62">
        <f t="shared" si="142"/>
        <v>271.84289502949997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280.57175994295949</v>
      </c>
      <c r="AO195" s="62">
        <f t="shared" si="144"/>
        <v>216.69635818716841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1.0642658832947134E-23</v>
      </c>
      <c r="AX195" s="23">
        <f t="shared" si="166"/>
        <v>1.0642658832947134E-23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107.88699999999969</v>
      </c>
      <c r="D196" s="12">
        <f t="shared" si="140"/>
        <v>28.832584703367186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1055.3792503417794</v>
      </c>
      <c r="H196" s="70">
        <f t="shared" ref="H196:H203" si="192">(B196+E196+F196)*44/12+(C196+D196)*0.475*44/12</f>
        <v>531.45327669169728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159.66426236964111</v>
      </c>
      <c r="T196" s="62">
        <f t="shared" si="142"/>
        <v>271.84289502949997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280.57175994295949</v>
      </c>
      <c r="AO196" s="62">
        <f t="shared" si="144"/>
        <v>216.69635818716841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7.5254962306318264E-24</v>
      </c>
      <c r="AX196" s="23">
        <f t="shared" si="166"/>
        <v>7.5254962306318264E-24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108.44599999999969</v>
      </c>
      <c r="D197" s="12">
        <f t="shared" ref="D197:D203" si="202">IFERROR(EXP(-1.0587+0.8836*LN(C197)+0.284),0)</f>
        <v>28.964547418777748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1060.7129976186329</v>
      </c>
      <c r="H197" s="70">
        <f t="shared" si="192"/>
        <v>532.65670342103738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159.66426236964111</v>
      </c>
      <c r="T197" s="62">
        <f t="shared" ref="T197:T203" si="204">$T$3</f>
        <v>271.84289502949997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280.57175994295949</v>
      </c>
      <c r="AO197" s="62">
        <f t="shared" ref="AO197:AO203" si="205">$AO$3</f>
        <v>216.69635818716841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5.3213294164735672E-24</v>
      </c>
      <c r="AX197" s="23">
        <f t="shared" si="166"/>
        <v>5.3213294164735672E-24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109.00499999999968</v>
      </c>
      <c r="D198" s="12">
        <f t="shared" si="202"/>
        <v>29.096430979936777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1066.0461338802113</v>
      </c>
      <c r="H198" s="70">
        <f t="shared" si="192"/>
        <v>533.85999229005597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159.66426236964111</v>
      </c>
      <c r="T198" s="62">
        <f t="shared" si="204"/>
        <v>271.84289502949997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280.57175994295949</v>
      </c>
      <c r="AO198" s="62">
        <f t="shared" si="205"/>
        <v>216.69635818716841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3.7627481153159132E-24</v>
      </c>
      <c r="AX198" s="23">
        <f t="shared" si="166"/>
        <v>3.7627481153159132E-24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109.56399999999968</v>
      </c>
      <c r="D199" s="12">
        <f t="shared" si="202"/>
        <v>29.228235839881293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1071.3786626236426</v>
      </c>
      <c r="H199" s="70">
        <f t="shared" si="192"/>
        <v>535.06314408779258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159.66426236964111</v>
      </c>
      <c r="T199" s="62">
        <f t="shared" si="204"/>
        <v>271.84289502949997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280.57175994295949</v>
      </c>
      <c r="AO199" s="62">
        <f t="shared" si="205"/>
        <v>216.69635818716841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2.6606647082367836E-24</v>
      </c>
      <c r="AX199" s="23">
        <f t="shared" si="166"/>
        <v>2.6606647082367836E-24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110.12299999999968</v>
      </c>
      <c r="D200" s="12">
        <f t="shared" si="202"/>
        <v>29.359962446757773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1076.7105873083033</v>
      </c>
      <c r="H200" s="70">
        <f t="shared" si="192"/>
        <v>536.26615959476919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159.66426236964111</v>
      </c>
      <c r="T200" s="62">
        <f t="shared" si="204"/>
        <v>271.84289502949997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280.57175994295949</v>
      </c>
      <c r="AO200" s="62">
        <f t="shared" si="205"/>
        <v>216.69635818716841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1.8813740576579566E-24</v>
      </c>
      <c r="AX200" s="23">
        <f t="shared" si="166"/>
        <v>1.8813740576579566E-24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110.68199999999968</v>
      </c>
      <c r="D201" s="12">
        <f t="shared" si="202"/>
        <v>29.491611243899612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1082.0419113564158</v>
      </c>
      <c r="H201" s="70">
        <f t="shared" si="192"/>
        <v>537.46903958312464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159.66426236964111</v>
      </c>
      <c r="T201" s="62">
        <f t="shared" si="204"/>
        <v>271.84289502949997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280.57175994295949</v>
      </c>
      <c r="AO201" s="62">
        <f t="shared" si="205"/>
        <v>216.69635818716841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1.3303323541183918E-24</v>
      </c>
      <c r="AX201" s="23">
        <f t="shared" si="166"/>
        <v>1.3303323541183918E-24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111.24099999999967</v>
      </c>
      <c r="D202" s="12">
        <f t="shared" si="202"/>
        <v>29.623182669902725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1087.3726381536326</v>
      </c>
      <c r="H202" s="70">
        <f t="shared" si="192"/>
        <v>538.67178481674659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159.66426236964111</v>
      </c>
      <c r="T202" s="62">
        <f t="shared" si="204"/>
        <v>271.84289502949997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280.57175994295949</v>
      </c>
      <c r="AO202" s="62">
        <f t="shared" si="205"/>
        <v>216.69635818716841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9.406870288289783E-25</v>
      </c>
      <c r="AX202" s="23">
        <f t="shared" si="166"/>
        <v>9.406870288289783E-25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111.79999999999967</v>
      </c>
      <c r="D203" s="12">
        <f t="shared" si="202"/>
        <v>29.754677158699842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1092.7027710496104</v>
      </c>
      <c r="H203" s="70">
        <f t="shared" si="192"/>
        <v>539.87439605140162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159.66426236964111</v>
      </c>
      <c r="T203" s="62">
        <f t="shared" si="204"/>
        <v>271.84289502949997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280.57175994295949</v>
      </c>
      <c r="AO203" s="62">
        <f t="shared" si="205"/>
        <v>216.69635818716841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6.651661770591959E-25</v>
      </c>
      <c r="AX203" s="23">
        <f t="shared" si="166"/>
        <v>6.651661770591959E-25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1.244502252163008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1.4850000000000001</v>
      </c>
      <c r="C6" s="156">
        <f ca="1">IF(OR('Données projet'!B9="",'Données projet'!C9="",'Données projet'!C9=0%),0,Calculateur!S3)</f>
        <v>159.66426236964111</v>
      </c>
      <c r="D6" s="156">
        <f>IF(OR('Données projet'!B9="",'Données projet'!C9="",'Données projet'!C9=0%),0,Calculateur!T3)</f>
        <v>271.84289502949997</v>
      </c>
      <c r="E6" s="156">
        <f ca="1">MIN(C6,D6)</f>
        <v>159.66426236964111</v>
      </c>
      <c r="F6" s="156">
        <f ca="1">E6*B6</f>
        <v>237.10142961891705</v>
      </c>
      <c r="G6" s="156">
        <f ca="1">F6*(100%-'Données projet'!$C$24)*(100%-'Données projet'!$C$25)*(100%-'Données projet'!$C$26)*(100%-'Données projet'!$C$27)</f>
        <v>192.05215799132282</v>
      </c>
      <c r="H6" s="157">
        <f>IF(OR('Données projet'!B9="",'Données projet'!C9="",'Données projet'!C9=0%),0,AVERAGE(Calculateur!$AC$3:$AC$33)*B6)</f>
        <v>12.15776876940066</v>
      </c>
      <c r="I6" s="158">
        <f>H6*(100%-'Données projet'!$C$24)*(100%-'Données projet'!$C$25)*(100%-'Données projet'!$C$26)*(100%-'Données projet'!$C$27)</f>
        <v>9.8477927032145356</v>
      </c>
      <c r="J6" s="159">
        <f>IF(OR('Données projet'!B9="",'Données projet'!C9="",'Données projet'!C9=0%),0,SUM(Calculateur!$V$3:$V$33)*VLOOKUP('Données projet'!$B$9,Paramètres!$A$1:$I$89,9,0)*B6)</f>
        <v>95.500350000000012</v>
      </c>
      <c r="K6" s="160">
        <f>J6*(100%-'Données projet'!$C$24)*(100%-'Données projet'!$C$25)*(100%-'Données projet'!$C$26)*(100%-'Données projet'!$C$27)</f>
        <v>77.355283500000013</v>
      </c>
      <c r="L6" s="161">
        <f ca="1">G6+I6+K6</f>
        <v>279.25523419453737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laricio</v>
      </c>
      <c r="B7" s="163">
        <f>'Données projet'!D10</f>
        <v>3.0150000000000001</v>
      </c>
      <c r="C7" s="156">
        <f ca="1">IF(OR('Données projet'!B10="",'Données projet'!C10="",'Données projet'!C10=0%),0,Calculateur!AN3)</f>
        <v>280.57175994295949</v>
      </c>
      <c r="D7" s="156">
        <f>IF(OR('Données projet'!B10="",'Données projet'!C10="",'Données projet'!C10=0%),0,Calculateur!AO3)</f>
        <v>216.69635818716841</v>
      </c>
      <c r="E7" s="156">
        <f t="shared" ref="E7:E15" ca="1" si="0">MIN(C7,D7)</f>
        <v>216.69635818716841</v>
      </c>
      <c r="F7" s="156">
        <f t="shared" ref="F7:F15" ca="1" si="1">E7*B7</f>
        <v>653.33951993431276</v>
      </c>
      <c r="G7" s="156">
        <f ca="1">F7*(100%-'Données projet'!$C$24)*(100%-'Données projet'!$C$25)*(100%-'Données projet'!$C$26)*(100%-'Données projet'!$C$27)</f>
        <v>529.20501114679337</v>
      </c>
      <c r="H7" s="164">
        <f>IF(OR('Données projet'!B10="",'Données projet'!C10="",'Données projet'!C10=0%),0,AVERAGE(Calculateur!$AX$3:$AX$33)*B7)</f>
        <v>9.0215620521844535</v>
      </c>
      <c r="I7" s="158">
        <f>H7*(100%-'Données projet'!$C$24)*(100%-'Données projet'!$C$25)*(100%-'Données projet'!$C$26)*(100%-'Données projet'!$C$27)</f>
        <v>7.3074652622694085</v>
      </c>
      <c r="J7" s="159">
        <f>IF(OR('Données projet'!B10="",'Données projet'!C10="",'Données projet'!C10=0%),0,SUM(Calculateur!$AQ$3:$AQ$33)*VLOOKUP('Données projet'!$B$10,Paramètres!$A$1:$I$89,9,0)*B7)</f>
        <v>86.86215</v>
      </c>
      <c r="K7" s="160">
        <f>J7*(100%-'Données projet'!$C$24)*(100%-'Données projet'!$C$25)*(100%-'Données projet'!$C$26)*(100%-'Données projet'!$C$27)</f>
        <v>70.358341499999995</v>
      </c>
      <c r="L7" s="161">
        <f t="shared" ref="L7:L15" ca="1" si="2">G7+I7+K7</f>
        <v>606.87081790906268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890.44094955322976</v>
      </c>
      <c r="G16" s="175">
        <f t="shared" ca="1" si="3"/>
        <v>721.25716913811618</v>
      </c>
      <c r="H16" s="176">
        <f t="shared" si="3"/>
        <v>21.179330821585111</v>
      </c>
      <c r="I16" s="176">
        <f t="shared" si="3"/>
        <v>17.155257965483944</v>
      </c>
      <c r="J16" s="177">
        <f t="shared" si="3"/>
        <v>182.36250000000001</v>
      </c>
      <c r="K16" s="177">
        <f t="shared" si="3"/>
        <v>147.71362500000001</v>
      </c>
      <c r="L16" s="178">
        <f t="shared" ca="1" si="3"/>
        <v>886.12605210360005</v>
      </c>
      <c r="M16" s="25">
        <f ca="1">L16/SUM(B6:B10)</f>
        <v>196.91690046746669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laricio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7" zoomScale="90" zoomScaleNormal="90" workbookViewId="0">
      <selection activeCell="I51" sqref="I5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635.45042205655773</v>
      </c>
      <c r="U10" s="190">
        <f>'Données projet'!D9</f>
        <v>1.4850000000000001</v>
      </c>
      <c r="V10" s="189">
        <f>U10*T10</f>
        <v>943.64387675398825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laricio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2426.2305358678695</v>
      </c>
      <c r="U11" s="190">
        <f>'Données projet'!D10</f>
        <v>3.0150000000000001</v>
      </c>
      <c r="V11" s="189">
        <f t="shared" ref="V11" si="0">U11*T11</f>
        <v>7315.0850656416269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60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60.000000000000021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2400.0000000000009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5436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297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448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>
        <v>6</v>
      </c>
      <c r="D23" s="194">
        <f>B23*C23</f>
        <v>90</v>
      </c>
      <c r="E23" s="206"/>
      <c r="F23" s="261"/>
      <c r="H23" s="203">
        <v>3</v>
      </c>
      <c r="I23" s="204">
        <v>560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-21536.597449938366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>
        <v>13</v>
      </c>
      <c r="D24" s="194">
        <f t="shared" ref="D24:D42" si="2">B24*C24</f>
        <v>520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769.92128943199066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>
        <v>20</v>
      </c>
      <c r="D25" s="194">
        <f t="shared" si="2"/>
        <v>1080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-22306.518739370356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>
        <v>30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laricio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22</v>
      </c>
      <c r="B54" s="193">
        <f>'Données projet'!D62</f>
        <v>16</v>
      </c>
      <c r="C54" s="204">
        <v>15</v>
      </c>
      <c r="D54" s="191">
        <f>B54*C54</f>
        <v>240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17</v>
      </c>
      <c r="C55" s="204">
        <v>22</v>
      </c>
      <c r="D55" s="191">
        <f t="shared" ref="D55:D73" si="4">B55*C55</f>
        <v>374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34</v>
      </c>
      <c r="C56" s="204">
        <v>25</v>
      </c>
      <c r="D56" s="191">
        <f t="shared" si="4"/>
        <v>850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41</v>
      </c>
      <c r="C57" s="204">
        <v>25</v>
      </c>
      <c r="D57" s="191">
        <f t="shared" si="4"/>
        <v>1025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41</v>
      </c>
      <c r="C58" s="204">
        <v>30</v>
      </c>
      <c r="D58" s="191">
        <f t="shared" si="4"/>
        <v>1230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53</v>
      </c>
      <c r="C59" s="204">
        <v>30</v>
      </c>
      <c r="D59" s="191">
        <f t="shared" si="4"/>
        <v>1590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53</v>
      </c>
      <c r="C60" s="204">
        <v>35</v>
      </c>
      <c r="D60" s="191">
        <f t="shared" si="4"/>
        <v>1855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58</v>
      </c>
      <c r="B61" s="193">
        <f>'Données projet'!D69</f>
        <v>78</v>
      </c>
      <c r="C61" s="204">
        <v>35</v>
      </c>
      <c r="D61" s="191">
        <f t="shared" si="4"/>
        <v>2730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66</v>
      </c>
      <c r="B62" s="193">
        <f>'Données projet'!D70</f>
        <v>65</v>
      </c>
      <c r="C62" s="204">
        <v>40</v>
      </c>
      <c r="D62" s="191">
        <f t="shared" si="4"/>
        <v>2600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74</v>
      </c>
      <c r="B63" s="193">
        <f>'Données projet'!D71</f>
        <v>37</v>
      </c>
      <c r="C63" s="204">
        <v>50</v>
      </c>
      <c r="D63" s="191">
        <f t="shared" si="4"/>
        <v>1850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82</v>
      </c>
      <c r="B64" s="193">
        <f>'Données projet'!D72</f>
        <v>555</v>
      </c>
      <c r="C64" s="204">
        <v>55</v>
      </c>
      <c r="D64" s="191">
        <f t="shared" si="4"/>
        <v>30525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2024-01-30T10:10:42Z</dcterms:modified>
</cp:coreProperties>
</file>